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activeX/activeX1.xml" ContentType="application/vnd.ms-office.activeX+xml"/>
  <Override PartName="/xl/activeX/activeX1.bin" ContentType="application/vnd.ms-office.activeX"/>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ml.chartshapes+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8.xml" ContentType="application/vnd.openxmlformats-officedocument.drawingml.chartshapes+xml"/>
  <Override PartName="/xl/charts/chart10.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1.xml" ContentType="application/vnd.openxmlformats-officedocument.drawingml.chartshapes+xml"/>
  <Override PartName="/xl/charts/chart12.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3.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4.xml" ContentType="application/vnd.openxmlformats-officedocument.drawingml.chartshapes+xml"/>
  <Override PartName="/xl/charts/chart14.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5.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7.xml" ContentType="application/vnd.openxmlformats-officedocument.drawingml.chartshapes+xml"/>
  <Override PartName="/xl/charts/chart16.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7.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0.xml" ContentType="application/vnd.openxmlformats-officedocument.drawingml.chartshapes+xml"/>
  <Override PartName="/xl/charts/chart18.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9.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3.xml" ContentType="application/vnd.openxmlformats-officedocument.drawingml.chartshapes+xml"/>
  <Override PartName="/xl/charts/chart20.xml" ContentType="application/vnd.openxmlformats-officedocument.drawingml.chart+xml"/>
  <Override PartName="/xl/drawings/drawing3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updateLinks="always" codeName="ThisWorkbook"/>
  <mc:AlternateContent xmlns:mc="http://schemas.openxmlformats.org/markup-compatibility/2006">
    <mc:Choice Requires="x15">
      <x15ac:absPath xmlns:x15ac="http://schemas.microsoft.com/office/spreadsheetml/2010/11/ac" url="\\mornt4\ANALISIS\Departamento\Gestión de la Información\Publicaciones e Informes\Mensual\Boletín&amp;Consejo\BOLETIN ELECTRONICO\2025\AGO\INF_ELABORADA\"/>
    </mc:Choice>
  </mc:AlternateContent>
  <xr:revisionPtr revIDLastSave="0" documentId="13_ncr:1_{CA7FE9D3-36C4-4711-B751-6140497A87FC}" xr6:coauthVersionLast="47" xr6:coauthVersionMax="47" xr10:uidLastSave="{00000000-0000-0000-0000-000000000000}"/>
  <bookViews>
    <workbookView xWindow="-120" yWindow="-120" windowWidth="29040" windowHeight="15720" tabRatio="847" firstSheet="5" activeTab="16" xr2:uid="{5759C3D2-C91E-426B-9199-6DCD323BBCB5}"/>
  </bookViews>
  <sheets>
    <sheet name="Mozart Reports" sheetId="95" state="veryHidden" r:id="rId1"/>
    <sheet name="Indice" sheetId="92" r:id="rId2"/>
    <sheet name="M1" sheetId="70" r:id="rId3"/>
    <sheet name="M2" sheetId="71" r:id="rId4"/>
    <sheet name="M3" sheetId="3" r:id="rId5"/>
    <sheet name="M4" sheetId="53" r:id="rId6"/>
    <sheet name="M5" sheetId="10" r:id="rId7"/>
    <sheet name="M6" sheetId="76" r:id="rId8"/>
    <sheet name="M7" sheetId="75" r:id="rId9"/>
    <sheet name="M8" sheetId="58" r:id="rId10"/>
    <sheet name="M9" sheetId="77" r:id="rId11"/>
    <sheet name="M10" sheetId="83" r:id="rId12"/>
    <sheet name="M11" sheetId="85" r:id="rId13"/>
    <sheet name="M12" sheetId="86" r:id="rId14"/>
    <sheet name="M13" sheetId="84" r:id="rId15"/>
    <sheet name="M14" sheetId="87" r:id="rId16"/>
    <sheet name="Dat_01" sheetId="96" r:id="rId17"/>
  </sheets>
  <definedNames>
    <definedName name="asd">#REF!</definedName>
    <definedName name="BALANCE3">#REF!</definedName>
    <definedName name="CUADRO_ANTERIOR">[0]!CUADRO_ANTERIOR</definedName>
    <definedName name="cuadro_anterior_jcol">[0]!CUADRO_ANTERIOR</definedName>
    <definedName name="CUADRO_PROXIMO">[0]!CUADRO_PROXIMO</definedName>
    <definedName name="cuadro_proximo_jcol">[0]!CUADRO_PROXIMO</definedName>
    <definedName name="de">#REF!</definedName>
    <definedName name="deem">#REF!</definedName>
    <definedName name="Demanda">#REF!</definedName>
    <definedName name="dif">#REF!</definedName>
    <definedName name="Fecha">#REF!</definedName>
    <definedName name="FINALIZAR">[0]!FINALIZAR</definedName>
    <definedName name="finalizar_jcol">[0]!FINALIZAR</definedName>
    <definedName name="fl">[0]!CUADRO_PROXIMO</definedName>
    <definedName name="hola">[0]!FINALIZAR</definedName>
    <definedName name="Horas">#REF!</definedName>
    <definedName name="IMPRESION">[0]!IMPRESION</definedName>
    <definedName name="impresion_jcol">[0]!IMPRESION</definedName>
    <definedName name="Índice">[0]!INDICE</definedName>
    <definedName name="indice_jcol">[0]!INDICE</definedName>
    <definedName name="INES_melilla">#REF!</definedName>
    <definedName name="jkhjklhjkhjkl">[0]!PRINCIPAL</definedName>
    <definedName name="lionel">[0]!CUADRO_PROXIMO</definedName>
    <definedName name="M1_Fechas">OFFSET(Dat_01!$A$8,0,0,COUNT(Dat_01!$B$8:$B$38),1)</definedName>
    <definedName name="M1_Max">OFFSET(Dat_01!$C$8,0,0,COUNT(Dat_01!$B$8:$B$38),1)</definedName>
    <definedName name="M1_Min">OFFSET(Dat_01!$B$8,0,0,COUNT(Dat_01!$B$8:$B$38),1)</definedName>
    <definedName name="M1_Pro">OFFSET(Dat_01!$D$8,0,0,COUNT(Dat_01!$B$8:$B$38),1)</definedName>
    <definedName name="mio">#REF!</definedName>
    <definedName name="MM">#REF!</definedName>
    <definedName name="MMM">#REF!</definedName>
    <definedName name="MSTR.1046078A4CF38ECA518880B55263B1D6">#REF!</definedName>
    <definedName name="MSTR.1046078A4CF38ECA518880B55263B1D6.1">#REF!</definedName>
    <definedName name="MSTR.1046078A4CF38ECA518880B55263B1D6.10">#REF!</definedName>
    <definedName name="MSTR.1046078A4CF38ECA518880B55263B1D6.11">#REF!</definedName>
    <definedName name="MSTR.1046078A4CF38ECA518880B55263B1D6.12">#REF!</definedName>
    <definedName name="MSTR.1046078A4CF38ECA518880B55263B1D6.13">#REF!</definedName>
    <definedName name="MSTR.1046078A4CF38ECA518880B55263B1D6.14">#REF!</definedName>
    <definedName name="MSTR.1046078A4CF38ECA518880B55263B1D6.15">#REF!</definedName>
    <definedName name="MSTR.1046078A4CF38ECA518880B55263B1D6.16">#REF!</definedName>
    <definedName name="MSTR.1046078A4CF38ECA518880B55263B1D6.17">#REF!</definedName>
    <definedName name="MSTR.1046078A4CF38ECA518880B55263B1D6.18">#REF!</definedName>
    <definedName name="MSTR.1046078A4CF38ECA518880B55263B1D6.2">#REF!</definedName>
    <definedName name="MSTR.1046078A4CF38ECA518880B55263B1D6.3">#REF!</definedName>
    <definedName name="MSTR.1046078A4CF38ECA518880B55263B1D6.4">#REF!</definedName>
    <definedName name="MSTR.1046078A4CF38ECA518880B55263B1D6.5">#REF!</definedName>
    <definedName name="MSTR.1046078A4CF38ECA518880B55263B1D6.6">#REF!</definedName>
    <definedName name="MSTR.1046078A4CF38ECA518880B55263B1D6.7">#REF!</definedName>
    <definedName name="MSTR.1046078A4CF38ECA518880B55263B1D6.8">#REF!</definedName>
    <definedName name="MSTR.1046078A4CF38ECA518880B55263B1D6.9">#REF!</definedName>
    <definedName name="MSTR.1609E10940836077440B01BE364D7C30">#REF!</definedName>
    <definedName name="MSTR.1609E10940836077440B01BE364D7C30.1">#REF!</definedName>
    <definedName name="MSTR.1609E10940836077440B01BE364D7C30.10">#REF!</definedName>
    <definedName name="MSTR.1609E10940836077440B01BE364D7C30.11">#REF!</definedName>
    <definedName name="MSTR.1609E10940836077440B01BE364D7C30.12">#REF!</definedName>
    <definedName name="MSTR.1609E10940836077440B01BE364D7C30.13">#REF!</definedName>
    <definedName name="MSTR.1609E10940836077440B01BE364D7C30.14">#REF!</definedName>
    <definedName name="MSTR.1609E10940836077440B01BE364D7C30.15">#REF!</definedName>
    <definedName name="MSTR.1609E10940836077440B01BE364D7C30.16">#REF!</definedName>
    <definedName name="MSTR.1609E10940836077440B01BE364D7C30.17">#REF!</definedName>
    <definedName name="MSTR.1609E10940836077440B01BE364D7C30.18">#REF!</definedName>
    <definedName name="MSTR.1609E10940836077440B01BE364D7C30.19">#REF!</definedName>
    <definedName name="MSTR.1609E10940836077440B01BE364D7C30.2">#REF!</definedName>
    <definedName name="MSTR.1609E10940836077440B01BE364D7C30.20">#REF!</definedName>
    <definedName name="MSTR.1609E10940836077440B01BE364D7C30.21">#REF!</definedName>
    <definedName name="MSTR.1609E10940836077440B01BE364D7C30.22">#REF!</definedName>
    <definedName name="MSTR.1609E10940836077440B01BE364D7C30.23">#REF!</definedName>
    <definedName name="MSTR.1609E10940836077440B01BE364D7C30.24">#REF!</definedName>
    <definedName name="MSTR.1609E10940836077440B01BE364D7C30.25">#REF!</definedName>
    <definedName name="MSTR.1609E10940836077440B01BE364D7C30.26">#REF!</definedName>
    <definedName name="MSTR.1609E10940836077440B01BE364D7C30.27">#REF!</definedName>
    <definedName name="MSTR.1609E10940836077440B01BE364D7C30.28">#REF!</definedName>
    <definedName name="MSTR.1609E10940836077440B01BE364D7C30.29">#REF!</definedName>
    <definedName name="MSTR.1609E10940836077440B01BE364D7C30.3">#REF!</definedName>
    <definedName name="MSTR.1609E10940836077440B01BE364D7C30.30">#REF!</definedName>
    <definedName name="MSTR.1609E10940836077440B01BE364D7C30.31">#REF!</definedName>
    <definedName name="MSTR.1609E10940836077440B01BE364D7C30.32">#REF!</definedName>
    <definedName name="MSTR.1609E10940836077440B01BE364D7C30.33">#REF!</definedName>
    <definedName name="MSTR.1609E10940836077440B01BE364D7C30.34">#REF!</definedName>
    <definedName name="MSTR.1609E10940836077440B01BE364D7C30.35">#REF!</definedName>
    <definedName name="MSTR.1609E10940836077440B01BE364D7C30.36">#REF!</definedName>
    <definedName name="MSTR.1609E10940836077440B01BE364D7C30.37">#REF!</definedName>
    <definedName name="MSTR.1609E10940836077440B01BE364D7C30.38">#REF!</definedName>
    <definedName name="MSTR.1609E10940836077440B01BE364D7C30.39">#REF!</definedName>
    <definedName name="MSTR.1609E10940836077440B01BE364D7C30.4">#REF!</definedName>
    <definedName name="MSTR.1609E10940836077440B01BE364D7C30.40">#REF!</definedName>
    <definedName name="MSTR.1609E10940836077440B01BE364D7C30.41">#REF!</definedName>
    <definedName name="MSTR.1609E10940836077440B01BE364D7C30.42">#REF!</definedName>
    <definedName name="MSTR.1609E10940836077440B01BE364D7C30.43">#REF!</definedName>
    <definedName name="MSTR.1609E10940836077440B01BE364D7C30.5">#REF!</definedName>
    <definedName name="MSTR.1609E10940836077440B01BE364D7C30.6">#REF!</definedName>
    <definedName name="MSTR.1609E10940836077440B01BE364D7C30.7">#REF!</definedName>
    <definedName name="MSTR.1609E10940836077440B01BE364D7C30.8">#REF!</definedName>
    <definedName name="MSTR.1609E10940836077440B01BE364D7C30.9">#REF!</definedName>
    <definedName name="MSTR.162524EA11E544CB00000080EF65CE84">#REF!</definedName>
    <definedName name="MSTR.162524EA11E544CB00000080EF65CE84.1">#REF!</definedName>
    <definedName name="MSTR.162524EA11E544CB00000080EF65CE84.10">#REF!</definedName>
    <definedName name="MSTR.162524EA11E544CB00000080EF65CE84.11">#REF!</definedName>
    <definedName name="MSTR.162524EA11E544CB00000080EF65CE84.12">#REF!</definedName>
    <definedName name="MSTR.162524EA11E544CB00000080EF65CE84.13">#REF!</definedName>
    <definedName name="MSTR.162524EA11E544CB00000080EF65CE84.14">#REF!</definedName>
    <definedName name="MSTR.162524EA11E544CB00000080EF65CE84.15">#REF!</definedName>
    <definedName name="MSTR.162524EA11E544CB00000080EF65CE84.16">#REF!</definedName>
    <definedName name="MSTR.162524EA11E544CB00000080EF65CE84.17">#REF!</definedName>
    <definedName name="MSTR.162524EA11E544CB00000080EF65CE84.18">#REF!</definedName>
    <definedName name="MSTR.162524EA11E544CB00000080EF65CE84.19">#REF!</definedName>
    <definedName name="MSTR.162524EA11E544CB00000080EF65CE84.2">#REF!</definedName>
    <definedName name="MSTR.162524EA11E544CB00000080EF65CE84.20">#REF!</definedName>
    <definedName name="MSTR.162524EA11E544CB00000080EF65CE84.21">#REF!</definedName>
    <definedName name="MSTR.162524EA11E544CB00000080EF65CE84.22">#REF!</definedName>
    <definedName name="MSTR.162524EA11E544CB00000080EF65CE84.23">#REF!</definedName>
    <definedName name="MSTR.162524EA11E544CB00000080EF65CE84.24">#REF!</definedName>
    <definedName name="MSTR.162524EA11E544CB00000080EF65CE84.3">#REF!</definedName>
    <definedName name="MSTR.162524EA11E544CB00000080EF65CE84.4">#REF!</definedName>
    <definedName name="MSTR.162524EA11E544CB00000080EF65CE84.5">#REF!</definedName>
    <definedName name="MSTR.162524EA11E544CB00000080EF65CE84.6">#REF!</definedName>
    <definedName name="MSTR.162524EA11E544CB00000080EF65CE84.7">#REF!</definedName>
    <definedName name="MSTR.162524EA11E544CB00000080EF65CE84.8">#REF!</definedName>
    <definedName name="MSTR.162524EA11E544CB00000080EF65CE84.9">#REF!</definedName>
    <definedName name="MSTR.18A53A9C4AB31C3CA6B8999A6BA2CCCB">#REF!</definedName>
    <definedName name="MSTR.18A53A9C4AB31C3CA6B8999A6BA2CCCB.1">#REF!</definedName>
    <definedName name="MSTR.18A53A9C4AB31C3CA6B8999A6BA2CCCB.10">#REF!</definedName>
    <definedName name="MSTR.18A53A9C4AB31C3CA6B8999A6BA2CCCB.11">#REF!</definedName>
    <definedName name="MSTR.18A53A9C4AB31C3CA6B8999A6BA2CCCB.12">#REF!</definedName>
    <definedName name="MSTR.18A53A9C4AB31C3CA6B8999A6BA2CCCB.13">#REF!</definedName>
    <definedName name="MSTR.18A53A9C4AB31C3CA6B8999A6BA2CCCB.14">#REF!</definedName>
    <definedName name="MSTR.18A53A9C4AB31C3CA6B8999A6BA2CCCB.15">#REF!</definedName>
    <definedName name="MSTR.18A53A9C4AB31C3CA6B8999A6BA2CCCB.16">#REF!</definedName>
    <definedName name="MSTR.18A53A9C4AB31C3CA6B8999A6BA2CCCB.17">#REF!</definedName>
    <definedName name="MSTR.18A53A9C4AB31C3CA6B8999A6BA2CCCB.18">#REF!</definedName>
    <definedName name="MSTR.18A53A9C4AB31C3CA6B8999A6BA2CCCB.19">#REF!</definedName>
    <definedName name="MSTR.18A53A9C4AB31C3CA6B8999A6BA2CCCB.2">#REF!</definedName>
    <definedName name="MSTR.18A53A9C4AB31C3CA6B8999A6BA2CCCB.20">#REF!</definedName>
    <definedName name="MSTR.18A53A9C4AB31C3CA6B8999A6BA2CCCB.21">#REF!</definedName>
    <definedName name="MSTR.18A53A9C4AB31C3CA6B8999A6BA2CCCB.22">#REF!</definedName>
    <definedName name="MSTR.18A53A9C4AB31C3CA6B8999A6BA2CCCB.23">#REF!</definedName>
    <definedName name="MSTR.18A53A9C4AB31C3CA6B8999A6BA2CCCB.24">#REF!</definedName>
    <definedName name="MSTR.18A53A9C4AB31C3CA6B8999A6BA2CCCB.25">#REF!</definedName>
    <definedName name="MSTR.18A53A9C4AB31C3CA6B8999A6BA2CCCB.26">#REF!</definedName>
    <definedName name="MSTR.18A53A9C4AB31C3CA6B8999A6BA2CCCB.27">#REF!</definedName>
    <definedName name="MSTR.18A53A9C4AB31C3CA6B8999A6BA2CCCB.28">#REF!</definedName>
    <definedName name="MSTR.18A53A9C4AB31C3CA6B8999A6BA2CCCB.29">#REF!</definedName>
    <definedName name="MSTR.18A53A9C4AB31C3CA6B8999A6BA2CCCB.3">#REF!</definedName>
    <definedName name="MSTR.18A53A9C4AB31C3CA6B8999A6BA2CCCB.30">#REF!</definedName>
    <definedName name="MSTR.18A53A9C4AB31C3CA6B8999A6BA2CCCB.31">#REF!</definedName>
    <definedName name="MSTR.18A53A9C4AB31C3CA6B8999A6BA2CCCB.32">#REF!</definedName>
    <definedName name="MSTR.18A53A9C4AB31C3CA6B8999A6BA2CCCB.33">#REF!</definedName>
    <definedName name="MSTR.18A53A9C4AB31C3CA6B8999A6BA2CCCB.34">#REF!</definedName>
    <definedName name="MSTR.18A53A9C4AB31C3CA6B8999A6BA2CCCB.35">#REF!</definedName>
    <definedName name="MSTR.18A53A9C4AB31C3CA6B8999A6BA2CCCB.36">#REF!</definedName>
    <definedName name="MSTR.18A53A9C4AB31C3CA6B8999A6BA2CCCB.37">#REF!</definedName>
    <definedName name="MSTR.18A53A9C4AB31C3CA6B8999A6BA2CCCB.38">#REF!</definedName>
    <definedName name="MSTR.18A53A9C4AB31C3CA6B8999A6BA2CCCB.39">#REF!</definedName>
    <definedName name="MSTR.18A53A9C4AB31C3CA6B8999A6BA2CCCB.4">#REF!</definedName>
    <definedName name="MSTR.18A53A9C4AB31C3CA6B8999A6BA2CCCB.40">#REF!</definedName>
    <definedName name="MSTR.18A53A9C4AB31C3CA6B8999A6BA2CCCB.41">#REF!</definedName>
    <definedName name="MSTR.18A53A9C4AB31C3CA6B8999A6BA2CCCB.42">#REF!</definedName>
    <definedName name="MSTR.18A53A9C4AB31C3CA6B8999A6BA2CCCB.43">#REF!</definedName>
    <definedName name="MSTR.18A53A9C4AB31C3CA6B8999A6BA2CCCB.44">#REF!</definedName>
    <definedName name="MSTR.18A53A9C4AB31C3CA6B8999A6BA2CCCB.45">#REF!</definedName>
    <definedName name="MSTR.18A53A9C4AB31C3CA6B8999A6BA2CCCB.46">#REF!</definedName>
    <definedName name="MSTR.18A53A9C4AB31C3CA6B8999A6BA2CCCB.47">#REF!</definedName>
    <definedName name="MSTR.18A53A9C4AB31C3CA6B8999A6BA2CCCB.48">#REF!</definedName>
    <definedName name="MSTR.18A53A9C4AB31C3CA6B8999A6BA2CCCB.49">#REF!</definedName>
    <definedName name="MSTR.18A53A9C4AB31C3CA6B8999A6BA2CCCB.5">#REF!</definedName>
    <definedName name="MSTR.18A53A9C4AB31C3CA6B8999A6BA2CCCB.50">#REF!</definedName>
    <definedName name="MSTR.18A53A9C4AB31C3CA6B8999A6BA2CCCB.51">#REF!</definedName>
    <definedName name="MSTR.18A53A9C4AB31C3CA6B8999A6BA2CCCB.52">#REF!</definedName>
    <definedName name="MSTR.18A53A9C4AB31C3CA6B8999A6BA2CCCB.53">#REF!</definedName>
    <definedName name="MSTR.18A53A9C4AB31C3CA6B8999A6BA2CCCB.54">#REF!</definedName>
    <definedName name="MSTR.18A53A9C4AB31C3CA6B8999A6BA2CCCB.55">#REF!</definedName>
    <definedName name="MSTR.18A53A9C4AB31C3CA6B8999A6BA2CCCB.56">#REF!</definedName>
    <definedName name="MSTR.18A53A9C4AB31C3CA6B8999A6BA2CCCB.57">#REF!</definedName>
    <definedName name="MSTR.18A53A9C4AB31C3CA6B8999A6BA2CCCB.58">#REF!</definedName>
    <definedName name="MSTR.18A53A9C4AB31C3CA6B8999A6BA2CCCB.59">#REF!</definedName>
    <definedName name="MSTR.18A53A9C4AB31C3CA6B8999A6BA2CCCB.6">#REF!</definedName>
    <definedName name="MSTR.18A53A9C4AB31C3CA6B8999A6BA2CCCB.60">#REF!</definedName>
    <definedName name="MSTR.18A53A9C4AB31C3CA6B8999A6BA2CCCB.61">#REF!</definedName>
    <definedName name="MSTR.18A53A9C4AB31C3CA6B8999A6BA2CCCB.62">#REF!</definedName>
    <definedName name="MSTR.18A53A9C4AB31C3CA6B8999A6BA2CCCB.63">#REF!</definedName>
    <definedName name="MSTR.18A53A9C4AB31C3CA6B8999A6BA2CCCB.7">#REF!</definedName>
    <definedName name="MSTR.18A53A9C4AB31C3CA6B8999A6BA2CCCB.8">#REF!</definedName>
    <definedName name="MSTR.18A53A9C4AB31C3CA6B8999A6BA2CCCB.9">#REF!</definedName>
    <definedName name="MSTR.1C44A06811E53FED00000080EF4503B0">#REF!</definedName>
    <definedName name="MSTR.1C44A06811E53FED00000080EF4503B0.1">#REF!</definedName>
    <definedName name="MSTR.1C44A06811E53FED00000080EF4503B0.10">#REF!</definedName>
    <definedName name="MSTR.1C44A06811E53FED00000080EF4503B0.11">#REF!</definedName>
    <definedName name="MSTR.1C44A06811E53FED00000080EF4503B0.12">#REF!</definedName>
    <definedName name="MSTR.1C44A06811E53FED00000080EF4503B0.13">#REF!</definedName>
    <definedName name="MSTR.1C44A06811E53FED00000080EF4503B0.2">#REF!</definedName>
    <definedName name="MSTR.1C44A06811E53FED00000080EF4503B0.3">#REF!</definedName>
    <definedName name="MSTR.1C44A06811E53FED00000080EF4503B0.4">#REF!</definedName>
    <definedName name="MSTR.1C44A06811E53FED00000080EF4503B0.5">#REF!</definedName>
    <definedName name="MSTR.1C44A06811E53FED00000080EF4503B0.6">#REF!</definedName>
    <definedName name="MSTR.1C44A06811E53FED00000080EF4503B0.7">#REF!</definedName>
    <definedName name="MSTR.1C44A06811E53FED00000080EF4503B0.8">#REF!</definedName>
    <definedName name="MSTR.1C44A06811E53FED00000080EF4503B0.9">#REF!</definedName>
    <definedName name="MSTR.1F16545811E712C800000080EF25E636">#REF!</definedName>
    <definedName name="MSTR.1F16545811E712C800000080EF25E636.1">#REF!</definedName>
    <definedName name="MSTR.3481B37A11E805B912F40080EFD574EF">#REF!</definedName>
    <definedName name="MSTR.3481B37A11E805B912F40080EFD574EF.1">#REF!</definedName>
    <definedName name="MSTR.3481B37A11E805B912F40080EFD574EF.10">#REF!</definedName>
    <definedName name="MSTR.3481B37A11E805B912F40080EFD574EF.11">#REF!</definedName>
    <definedName name="MSTR.3481B37A11E805B912F40080EFD574EF.12">#REF!</definedName>
    <definedName name="MSTR.3481B37A11E805B912F40080EFD574EF.13">#REF!</definedName>
    <definedName name="MSTR.3481B37A11E805B912F40080EFD574EF.14">#REF!</definedName>
    <definedName name="MSTR.3481B37A11E805B912F40080EFD574EF.15">#REF!</definedName>
    <definedName name="MSTR.3481B37A11E805B912F40080EFD574EF.16">#REF!</definedName>
    <definedName name="MSTR.3481B37A11E805B912F40080EFD574EF.17">#REF!</definedName>
    <definedName name="MSTR.3481B37A11E805B912F40080EFD574EF.18">#REF!</definedName>
    <definedName name="MSTR.3481B37A11E805B912F40080EFD574EF.19">#REF!</definedName>
    <definedName name="MSTR.3481B37A11E805B912F40080EFD574EF.2">#REF!</definedName>
    <definedName name="MSTR.3481B37A11E805B912F40080EFD574EF.20">#REF!</definedName>
    <definedName name="MSTR.3481B37A11E805B912F40080EFD574EF.21">#REF!</definedName>
    <definedName name="MSTR.3481B37A11E805B912F40080EFD574EF.22">#REF!</definedName>
    <definedName name="MSTR.3481B37A11E805B912F40080EFD574EF.23">#REF!</definedName>
    <definedName name="MSTR.3481B37A11E805B912F40080EFD574EF.24">#REF!</definedName>
    <definedName name="MSTR.3481B37A11E805B912F40080EFD574EF.25">#REF!</definedName>
    <definedName name="MSTR.3481B37A11E805B912F40080EFD574EF.26">#REF!</definedName>
    <definedName name="MSTR.3481B37A11E805B912F40080EFD574EF.27">#REF!</definedName>
    <definedName name="MSTR.3481B37A11E805B912F40080EFD574EF.28">#REF!</definedName>
    <definedName name="MSTR.3481B37A11E805B912F40080EFD574EF.29">#REF!</definedName>
    <definedName name="MSTR.3481B37A11E805B912F40080EFD574EF.3">#REF!</definedName>
    <definedName name="MSTR.3481B37A11E805B912F40080EFD574EF.30">#REF!</definedName>
    <definedName name="MSTR.3481B37A11E805B912F40080EFD574EF.31">#REF!</definedName>
    <definedName name="MSTR.3481B37A11E805B912F40080EFD574EF.32">#REF!</definedName>
    <definedName name="MSTR.3481B37A11E805B912F40080EFD574EF.33">#REF!</definedName>
    <definedName name="MSTR.3481B37A11E805B912F40080EFD574EF.34">#REF!</definedName>
    <definedName name="MSTR.3481B37A11E805B912F40080EFD574EF.35">#REF!</definedName>
    <definedName name="MSTR.3481B37A11E805B912F40080EFD574EF.36">#REF!</definedName>
    <definedName name="MSTR.3481B37A11E805B912F40080EFD574EF.37">#REF!</definedName>
    <definedName name="MSTR.3481B37A11E805B912F40080EFD574EF.38">#REF!</definedName>
    <definedName name="MSTR.3481B37A11E805B912F40080EFD574EF.39">#REF!</definedName>
    <definedName name="MSTR.3481B37A11E805B912F40080EFD574EF.4">#REF!</definedName>
    <definedName name="MSTR.3481B37A11E805B912F40080EFD574EF.40">#REF!</definedName>
    <definedName name="MSTR.3481B37A11E805B912F40080EFD574EF.41">#REF!</definedName>
    <definedName name="MSTR.3481B37A11E805B912F40080EFD574EF.42">#REF!</definedName>
    <definedName name="MSTR.3481B37A11E805B912F40080EFD574EF.43">#REF!</definedName>
    <definedName name="MSTR.3481B37A11E805B912F40080EFD574EF.44">#REF!</definedName>
    <definedName name="MSTR.3481B37A11E805B912F40080EFD574EF.45">#REF!</definedName>
    <definedName name="MSTR.3481B37A11E805B912F40080EFD574EF.46">#REF!</definedName>
    <definedName name="MSTR.3481B37A11E805B912F40080EFD574EF.47">#REF!</definedName>
    <definedName name="MSTR.3481B37A11E805B912F40080EFD574EF.48">#REF!</definedName>
    <definedName name="MSTR.3481B37A11E805B912F40080EFD574EF.49">#REF!</definedName>
    <definedName name="MSTR.3481B37A11E805B912F40080EFD574EF.5">#REF!</definedName>
    <definedName name="MSTR.3481B37A11E805B912F40080EFD574EF.6">#REF!</definedName>
    <definedName name="MSTR.3481B37A11E805B912F40080EFD574EF.7">#REF!</definedName>
    <definedName name="MSTR.3481B37A11E805B912F40080EFD574EF.8">#REF!</definedName>
    <definedName name="MSTR.3481B37A11E805B912F40080EFD574EF.9">#REF!</definedName>
    <definedName name="MSTR.366C90B74AD9C560FCC20182468ED56D">#REF!</definedName>
    <definedName name="MSTR.366C90B74AD9C560FCC20182468ED56D.1">#REF!</definedName>
    <definedName name="MSTR.366C90B74AD9C560FCC20182468ED56D.10">#REF!</definedName>
    <definedName name="MSTR.366C90B74AD9C560FCC20182468ED56D.11">#REF!</definedName>
    <definedName name="MSTR.366C90B74AD9C560FCC20182468ED56D.12">#REF!</definedName>
    <definedName name="MSTR.366C90B74AD9C560FCC20182468ED56D.13">#REF!</definedName>
    <definedName name="MSTR.366C90B74AD9C560FCC20182468ED56D.14">#REF!</definedName>
    <definedName name="MSTR.366C90B74AD9C560FCC20182468ED56D.15">#REF!</definedName>
    <definedName name="MSTR.366C90B74AD9C560FCC20182468ED56D.16">#REF!</definedName>
    <definedName name="MSTR.366C90B74AD9C560FCC20182468ED56D.17">#REF!</definedName>
    <definedName name="MSTR.366C90B74AD9C560FCC20182468ED56D.18">#REF!</definedName>
    <definedName name="MSTR.366C90B74AD9C560FCC20182468ED56D.19">#REF!</definedName>
    <definedName name="MSTR.366C90B74AD9C560FCC20182468ED56D.2">#REF!</definedName>
    <definedName name="MSTR.366C90B74AD9C560FCC20182468ED56D.20">#REF!</definedName>
    <definedName name="MSTR.366C90B74AD9C560FCC20182468ED56D.21">#REF!</definedName>
    <definedName name="MSTR.366C90B74AD9C560FCC20182468ED56D.3">#REF!</definedName>
    <definedName name="MSTR.366C90B74AD9C560FCC20182468ED56D.4">#REF!</definedName>
    <definedName name="MSTR.366C90B74AD9C560FCC20182468ED56D.5">#REF!</definedName>
    <definedName name="MSTR.366C90B74AD9C560FCC20182468ED56D.6">#REF!</definedName>
    <definedName name="MSTR.366C90B74AD9C560FCC20182468ED56D.7">#REF!</definedName>
    <definedName name="MSTR.366C90B74AD9C560FCC20182468ED56D.8">#REF!</definedName>
    <definedName name="MSTR.366C90B74AD9C560FCC20182468ED56D.9">#REF!</definedName>
    <definedName name="MSTR.4290739411E5D3BF79790080EF35F8EE">#REF!</definedName>
    <definedName name="MSTR.4290739411E5D3BF79790080EF35F8EE.1">#REF!</definedName>
    <definedName name="MSTR.4290739411E5D3BF79790080EF35F8EE.10">#REF!</definedName>
    <definedName name="MSTR.4290739411E5D3BF79790080EF35F8EE.11">#REF!</definedName>
    <definedName name="MSTR.4290739411E5D3BF79790080EF35F8EE.12">#REF!</definedName>
    <definedName name="MSTR.4290739411E5D3BF79790080EF35F8EE.13">#REF!</definedName>
    <definedName name="MSTR.4290739411E5D3BF79790080EF35F8EE.14">#REF!</definedName>
    <definedName name="MSTR.4290739411E5D3BF79790080EF35F8EE.15">#REF!</definedName>
    <definedName name="MSTR.4290739411E5D3BF79790080EF35F8EE.16">#REF!</definedName>
    <definedName name="MSTR.4290739411E5D3BF79790080EF35F8EE.17">#REF!</definedName>
    <definedName name="MSTR.4290739411E5D3BF79790080EF35F8EE.18">#REF!</definedName>
    <definedName name="MSTR.4290739411E5D3BF79790080EF35F8EE.19">#REF!</definedName>
    <definedName name="MSTR.4290739411E5D3BF79790080EF35F8EE.2">#REF!</definedName>
    <definedName name="MSTR.4290739411E5D3BF79790080EF35F8EE.20">#REF!</definedName>
    <definedName name="MSTR.4290739411E5D3BF79790080EF35F8EE.21">#REF!</definedName>
    <definedName name="MSTR.4290739411E5D3BF79790080EF35F8EE.22">#REF!</definedName>
    <definedName name="MSTR.4290739411E5D3BF79790080EF35F8EE.23">#REF!</definedName>
    <definedName name="MSTR.4290739411E5D3BF79790080EF35F8EE.24">#REF!</definedName>
    <definedName name="MSTR.4290739411E5D3BF79790080EF35F8EE.25">#REF!</definedName>
    <definedName name="MSTR.4290739411E5D3BF79790080EF35F8EE.26">#REF!</definedName>
    <definedName name="MSTR.4290739411E5D3BF79790080EF35F8EE.27">#REF!</definedName>
    <definedName name="MSTR.4290739411E5D3BF79790080EF35F8EE.3">#REF!</definedName>
    <definedName name="MSTR.4290739411E5D3BF79790080EF35F8EE.4">#REF!</definedName>
    <definedName name="MSTR.4290739411E5D3BF79790080EF35F8EE.5">#REF!</definedName>
    <definedName name="MSTR.4290739411E5D3BF79790080EF35F8EE.6">#REF!</definedName>
    <definedName name="MSTR.4290739411E5D3BF79790080EF35F8EE.7">#REF!</definedName>
    <definedName name="MSTR.4290739411E5D3BF79790080EF35F8EE.8">#REF!</definedName>
    <definedName name="MSTR.4290739411E5D3BF79790080EF35F8EE.9">#REF!</definedName>
    <definedName name="MSTR.44461D2011E5FC9A89AB0080EF055ECB">#REF!</definedName>
    <definedName name="MSTR.44461D2011E5FC9A89AB0080EF055ECB.1">#REF!</definedName>
    <definedName name="MSTR.44461D2011E5FC9A89AB0080EF055ECB.10">#REF!</definedName>
    <definedName name="MSTR.44461D2011E5FC9A89AB0080EF055ECB.11">#REF!</definedName>
    <definedName name="MSTR.44461D2011E5FC9A89AB0080EF055ECB.12">#REF!</definedName>
    <definedName name="MSTR.44461D2011E5FC9A89AB0080EF055ECB.13">#REF!</definedName>
    <definedName name="MSTR.44461D2011E5FC9A89AB0080EF055ECB.14">#REF!</definedName>
    <definedName name="MSTR.44461D2011E5FC9A89AB0080EF055ECB.15">#REF!</definedName>
    <definedName name="MSTR.44461D2011E5FC9A89AB0080EF055ECB.16">#REF!</definedName>
    <definedName name="MSTR.44461D2011E5FC9A89AB0080EF055ECB.17">#REF!</definedName>
    <definedName name="MSTR.44461D2011E5FC9A89AB0080EF055ECB.18">#REF!</definedName>
    <definedName name="MSTR.44461D2011E5FC9A89AB0080EF055ECB.19">#REF!</definedName>
    <definedName name="MSTR.44461D2011E5FC9A89AB0080EF055ECB.2">#REF!</definedName>
    <definedName name="MSTR.44461D2011E5FC9A89AB0080EF055ECB.20">#REF!</definedName>
    <definedName name="MSTR.44461D2011E5FC9A89AB0080EF055ECB.21">#REF!</definedName>
    <definedName name="MSTR.44461D2011E5FC9A89AB0080EF055ECB.22">#REF!</definedName>
    <definedName name="MSTR.44461D2011E5FC9A89AB0080EF055ECB.23">#REF!</definedName>
    <definedName name="MSTR.44461D2011E5FC9A89AB0080EF055ECB.24">#REF!</definedName>
    <definedName name="MSTR.44461D2011E5FC9A89AB0080EF055ECB.25">#REF!</definedName>
    <definedName name="MSTR.44461D2011E5FC9A89AB0080EF055ECB.26">#REF!</definedName>
    <definedName name="MSTR.44461D2011E5FC9A89AB0080EF055ECB.27">#REF!</definedName>
    <definedName name="MSTR.44461D2011E5FC9A89AB0080EF055ECB.28">#REF!</definedName>
    <definedName name="MSTR.44461D2011E5FC9A89AB0080EF055ECB.29">#REF!</definedName>
    <definedName name="MSTR.44461D2011E5FC9A89AB0080EF055ECB.3">#REF!</definedName>
    <definedName name="MSTR.44461D2011E5FC9A89AB0080EF055ECB.30">#REF!</definedName>
    <definedName name="MSTR.44461D2011E5FC9A89AB0080EF055ECB.4">#REF!</definedName>
    <definedName name="MSTR.44461D2011E5FC9A89AB0080EF055ECB.5">#REF!</definedName>
    <definedName name="MSTR.44461D2011E5FC9A89AB0080EF055ECB.6">#REF!</definedName>
    <definedName name="MSTR.44461D2011E5FC9A89AB0080EF055ECB.7">#REF!</definedName>
    <definedName name="MSTR.44461D2011E5FC9A89AB0080EF055ECB.8">#REF!</definedName>
    <definedName name="MSTR.44461D2011E5FC9A89AB0080EF055ECB.9">#REF!</definedName>
    <definedName name="MSTR.4ECD5C164CDAD1D43AD44C88EC311376">#REF!</definedName>
    <definedName name="MSTR.4ECD5C164CDAD1D43AD44C88EC311376.1">#REF!</definedName>
    <definedName name="MSTR.4ECD5C164CDAD1D43AD44C88EC311376.10">#REF!</definedName>
    <definedName name="MSTR.4ECD5C164CDAD1D43AD44C88EC311376.11">#REF!</definedName>
    <definedName name="MSTR.4ECD5C164CDAD1D43AD44C88EC311376.12">#REF!</definedName>
    <definedName name="MSTR.4ECD5C164CDAD1D43AD44C88EC311376.13">#REF!</definedName>
    <definedName name="MSTR.4ECD5C164CDAD1D43AD44C88EC311376.14">#REF!</definedName>
    <definedName name="MSTR.4ECD5C164CDAD1D43AD44C88EC311376.15">#REF!</definedName>
    <definedName name="MSTR.4ECD5C164CDAD1D43AD44C88EC311376.16">#REF!</definedName>
    <definedName name="MSTR.4ECD5C164CDAD1D43AD44C88EC311376.17">#REF!</definedName>
    <definedName name="MSTR.4ECD5C164CDAD1D43AD44C88EC311376.18">#REF!</definedName>
    <definedName name="MSTR.4ECD5C164CDAD1D43AD44C88EC311376.19">#REF!</definedName>
    <definedName name="MSTR.4ECD5C164CDAD1D43AD44C88EC311376.2">#REF!</definedName>
    <definedName name="MSTR.4ECD5C164CDAD1D43AD44C88EC311376.20">#REF!</definedName>
    <definedName name="MSTR.4ECD5C164CDAD1D43AD44C88EC311376.21">#REF!</definedName>
    <definedName name="MSTR.4ECD5C164CDAD1D43AD44C88EC311376.22">#REF!</definedName>
    <definedName name="MSTR.4ECD5C164CDAD1D43AD44C88EC311376.23">#REF!</definedName>
    <definedName name="MSTR.4ECD5C164CDAD1D43AD44C88EC311376.24">#REF!</definedName>
    <definedName name="MSTR.4ECD5C164CDAD1D43AD44C88EC311376.25">#REF!</definedName>
    <definedName name="MSTR.4ECD5C164CDAD1D43AD44C88EC311376.26">#REF!</definedName>
    <definedName name="MSTR.4ECD5C164CDAD1D43AD44C88EC311376.27">#REF!</definedName>
    <definedName name="MSTR.4ECD5C164CDAD1D43AD44C88EC311376.28">#REF!</definedName>
    <definedName name="MSTR.4ECD5C164CDAD1D43AD44C88EC311376.29">#REF!</definedName>
    <definedName name="MSTR.4ECD5C164CDAD1D43AD44C88EC311376.3">#REF!</definedName>
    <definedName name="MSTR.4ECD5C164CDAD1D43AD44C88EC311376.30">#REF!</definedName>
    <definedName name="MSTR.4ECD5C164CDAD1D43AD44C88EC311376.31">#REF!</definedName>
    <definedName name="MSTR.4ECD5C164CDAD1D43AD44C88EC311376.32">#REF!</definedName>
    <definedName name="MSTR.4ECD5C164CDAD1D43AD44C88EC311376.33">#REF!</definedName>
    <definedName name="MSTR.4ECD5C164CDAD1D43AD44C88EC311376.34">#REF!</definedName>
    <definedName name="MSTR.4ECD5C164CDAD1D43AD44C88EC311376.35">#REF!</definedName>
    <definedName name="MSTR.4ECD5C164CDAD1D43AD44C88EC311376.36">#REF!</definedName>
    <definedName name="MSTR.4ECD5C164CDAD1D43AD44C88EC311376.37">#REF!</definedName>
    <definedName name="MSTR.4ECD5C164CDAD1D43AD44C88EC311376.38">#REF!</definedName>
    <definedName name="MSTR.4ECD5C164CDAD1D43AD44C88EC311376.39">#REF!</definedName>
    <definedName name="MSTR.4ECD5C164CDAD1D43AD44C88EC311376.4">#REF!</definedName>
    <definedName name="MSTR.4ECD5C164CDAD1D43AD44C88EC311376.40">#REF!</definedName>
    <definedName name="MSTR.4ECD5C164CDAD1D43AD44C88EC311376.41">#REF!</definedName>
    <definedName name="MSTR.4ECD5C164CDAD1D43AD44C88EC311376.42">#REF!</definedName>
    <definedName name="MSTR.4ECD5C164CDAD1D43AD44C88EC311376.43">#REF!</definedName>
    <definedName name="MSTR.4ECD5C164CDAD1D43AD44C88EC311376.44">#REF!</definedName>
    <definedName name="MSTR.4ECD5C164CDAD1D43AD44C88EC311376.45">#REF!</definedName>
    <definedName name="MSTR.4ECD5C164CDAD1D43AD44C88EC311376.46">#REF!</definedName>
    <definedName name="MSTR.4ECD5C164CDAD1D43AD44C88EC311376.47">#REF!</definedName>
    <definedName name="MSTR.4ECD5C164CDAD1D43AD44C88EC311376.48">#REF!</definedName>
    <definedName name="MSTR.4ECD5C164CDAD1D43AD44C88EC311376.49">#REF!</definedName>
    <definedName name="MSTR.4ECD5C164CDAD1D43AD44C88EC311376.5">#REF!</definedName>
    <definedName name="MSTR.4ECD5C164CDAD1D43AD44C88EC311376.50">#REF!</definedName>
    <definedName name="MSTR.4ECD5C164CDAD1D43AD44C88EC311376.51">#REF!</definedName>
    <definedName name="MSTR.4ECD5C164CDAD1D43AD44C88EC311376.52">#REF!</definedName>
    <definedName name="MSTR.4ECD5C164CDAD1D43AD44C88EC311376.53">#REF!</definedName>
    <definedName name="MSTR.4ECD5C164CDAD1D43AD44C88EC311376.54">#REF!</definedName>
    <definedName name="MSTR.4ECD5C164CDAD1D43AD44C88EC311376.55">#REF!</definedName>
    <definedName name="MSTR.4ECD5C164CDAD1D43AD44C88EC311376.56">#REF!</definedName>
    <definedName name="MSTR.4ECD5C164CDAD1D43AD44C88EC311376.57">#REF!</definedName>
    <definedName name="MSTR.4ECD5C164CDAD1D43AD44C88EC311376.58">#REF!</definedName>
    <definedName name="MSTR.4ECD5C164CDAD1D43AD44C88EC311376.59">#REF!</definedName>
    <definedName name="MSTR.4ECD5C164CDAD1D43AD44C88EC311376.6">#REF!</definedName>
    <definedName name="MSTR.4ECD5C164CDAD1D43AD44C88EC311376.60">#REF!</definedName>
    <definedName name="MSTR.4ECD5C164CDAD1D43AD44C88EC311376.61">#REF!</definedName>
    <definedName name="MSTR.4ECD5C164CDAD1D43AD44C88EC311376.62">#REF!</definedName>
    <definedName name="MSTR.4ECD5C164CDAD1D43AD44C88EC311376.63">#REF!</definedName>
    <definedName name="MSTR.4ECD5C164CDAD1D43AD44C88EC311376.64">#REF!</definedName>
    <definedName name="MSTR.4ECD5C164CDAD1D43AD44C88EC311376.65">#REF!</definedName>
    <definedName name="MSTR.4ECD5C164CDAD1D43AD44C88EC311376.66">#REF!</definedName>
    <definedName name="MSTR.4ECD5C164CDAD1D43AD44C88EC311376.67">#REF!</definedName>
    <definedName name="MSTR.4ECD5C164CDAD1D43AD44C88EC311376.68">#REF!</definedName>
    <definedName name="MSTR.4ECD5C164CDAD1D43AD44C88EC311376.69">#REF!</definedName>
    <definedName name="MSTR.4ECD5C164CDAD1D43AD44C88EC311376.7">#REF!</definedName>
    <definedName name="MSTR.4ECD5C164CDAD1D43AD44C88EC311376.70">#REF!</definedName>
    <definedName name="MSTR.4ECD5C164CDAD1D43AD44C88EC311376.71">#REF!</definedName>
    <definedName name="MSTR.4ECD5C164CDAD1D43AD44C88EC311376.72">#REF!</definedName>
    <definedName name="MSTR.4ECD5C164CDAD1D43AD44C88EC311376.73">#REF!</definedName>
    <definedName name="MSTR.4ECD5C164CDAD1D43AD44C88EC311376.74">#REF!</definedName>
    <definedName name="MSTR.4ECD5C164CDAD1D43AD44C88EC311376.75">#REF!</definedName>
    <definedName name="MSTR.4ECD5C164CDAD1D43AD44C88EC311376.76">#REF!</definedName>
    <definedName name="MSTR.4ECD5C164CDAD1D43AD44C88EC311376.77">#REF!</definedName>
    <definedName name="MSTR.4ECD5C164CDAD1D43AD44C88EC311376.78">#REF!</definedName>
    <definedName name="MSTR.4ECD5C164CDAD1D43AD44C88EC311376.79">#REF!</definedName>
    <definedName name="MSTR.4ECD5C164CDAD1D43AD44C88EC311376.8">#REF!</definedName>
    <definedName name="MSTR.4ECD5C164CDAD1D43AD44C88EC311376.80">#REF!</definedName>
    <definedName name="MSTR.4ECD5C164CDAD1D43AD44C88EC311376.81">#REF!</definedName>
    <definedName name="MSTR.4ECD5C164CDAD1D43AD44C88EC311376.82">#REF!</definedName>
    <definedName name="MSTR.4ECD5C164CDAD1D43AD44C88EC311376.83">#REF!</definedName>
    <definedName name="MSTR.4ECD5C164CDAD1D43AD44C88EC311376.84">#REF!</definedName>
    <definedName name="MSTR.4ECD5C164CDAD1D43AD44C88EC311376.85">#REF!</definedName>
    <definedName name="MSTR.4ECD5C164CDAD1D43AD44C88EC311376.86">#REF!</definedName>
    <definedName name="MSTR.4ECD5C164CDAD1D43AD44C88EC311376.87">#REF!</definedName>
    <definedName name="MSTR.4ECD5C164CDAD1D43AD44C88EC311376.88">#REF!</definedName>
    <definedName name="MSTR.4ECD5C164CDAD1D43AD44C88EC311376.89">#REF!</definedName>
    <definedName name="MSTR.4ECD5C164CDAD1D43AD44C88EC311376.9">#REF!</definedName>
    <definedName name="MSTR.4ECD5C164CDAD1D43AD44C88EC311376.90">#REF!</definedName>
    <definedName name="MSTR.4ECD5C164CDAD1D43AD44C88EC311376.91">#REF!</definedName>
    <definedName name="MSTR.4ECD5C164CDAD1D43AD44C88EC311376.92">#REF!</definedName>
    <definedName name="MSTR.563EFCEA11E5377400000080EF151421">#REF!</definedName>
    <definedName name="MSTR.563EFCEA11E5377400000080EF151421.1">#REF!</definedName>
    <definedName name="MSTR.563EFCEA11E5377400000080EF151421.10">#REF!</definedName>
    <definedName name="MSTR.563EFCEA11E5377400000080EF151421.11">#REF!</definedName>
    <definedName name="MSTR.563EFCEA11E5377400000080EF151421.12">#REF!</definedName>
    <definedName name="MSTR.563EFCEA11E5377400000080EF151421.13">#REF!</definedName>
    <definedName name="MSTR.563EFCEA11E5377400000080EF151421.14">#REF!</definedName>
    <definedName name="MSTR.563EFCEA11E5377400000080EF151421.2">#REF!</definedName>
    <definedName name="MSTR.563EFCEA11E5377400000080EF151421.3">#REF!</definedName>
    <definedName name="MSTR.563EFCEA11E5377400000080EF151421.4">#REF!</definedName>
    <definedName name="MSTR.563EFCEA11E5377400000080EF151421.5">#REF!</definedName>
    <definedName name="MSTR.563EFCEA11E5377400000080EF151421.6">#REF!</definedName>
    <definedName name="MSTR.563EFCEA11E5377400000080EF151421.7">#REF!</definedName>
    <definedName name="MSTR.563EFCEA11E5377400000080EF151421.8">#REF!</definedName>
    <definedName name="MSTR.563EFCEA11E5377400000080EF151421.9">#REF!</definedName>
    <definedName name="MSTR.5C5D7EE0401A7C1CD1D23A84F94BE2AD">#REF!</definedName>
    <definedName name="MSTR.5C5D7EE0401A7C1CD1D23A84F94BE2AD.1">#REF!</definedName>
    <definedName name="MSTR.5C5D7EE0401A7C1CD1D23A84F94BE2AD.2">#REF!</definedName>
    <definedName name="MSTR.5C5D7EE0401A7C1CD1D23A84F94BE2AD.3">#REF!</definedName>
    <definedName name="MSTR.5C5D7EE0401A7C1CD1D23A84F94BE2AD.4">#REF!</definedName>
    <definedName name="MSTR.5C5D7EE0401A7C1CD1D23A84F94BE2AD.5">#REF!</definedName>
    <definedName name="MSTR.5C5D7EE0401A7C1CD1D23A84F94BE2AD.6">#REF!</definedName>
    <definedName name="MSTR.5C5D7EE0401A7C1CD1D23A84F94BE2AD.7">#REF!</definedName>
    <definedName name="MSTR.5C5D7EE0401A7C1CD1D23A84F94BE2AD.8">#REF!</definedName>
    <definedName name="MSTR.5C5D7EE0401A7C1CD1D23A84F94BE2AD.9">#REF!</definedName>
    <definedName name="MSTR.617E107E11E6DE2F1D4C0080EF85D27A">#REF!</definedName>
    <definedName name="MSTR.617E107E11E6DE2F1D4C0080EF85D27A.1">#REF!</definedName>
    <definedName name="MSTR.617E107E11E6DE2F1D4C0080EF85D27A.10">#REF!</definedName>
    <definedName name="MSTR.617E107E11E6DE2F1D4C0080EF85D27A.11">#REF!</definedName>
    <definedName name="MSTR.617E107E11E6DE2F1D4C0080EF85D27A.12">#REF!</definedName>
    <definedName name="MSTR.617E107E11E6DE2F1D4C0080EF85D27A.13">#REF!</definedName>
    <definedName name="MSTR.617E107E11E6DE2F1D4C0080EF85D27A.14">#REF!</definedName>
    <definedName name="MSTR.617E107E11E6DE2F1D4C0080EF85D27A.15">#REF!</definedName>
    <definedName name="MSTR.617E107E11E6DE2F1D4C0080EF85D27A.16">#REF!</definedName>
    <definedName name="MSTR.617E107E11E6DE2F1D4C0080EF85D27A.17">#REF!</definedName>
    <definedName name="MSTR.617E107E11E6DE2F1D4C0080EF85D27A.18">#REF!</definedName>
    <definedName name="MSTR.617E107E11E6DE2F1D4C0080EF85D27A.19">#REF!</definedName>
    <definedName name="MSTR.617E107E11E6DE2F1D4C0080EF85D27A.2">#REF!</definedName>
    <definedName name="MSTR.617E107E11E6DE2F1D4C0080EF85D27A.20">#REF!</definedName>
    <definedName name="MSTR.617E107E11E6DE2F1D4C0080EF85D27A.21">#REF!</definedName>
    <definedName name="MSTR.617E107E11E6DE2F1D4C0080EF85D27A.22">#REF!</definedName>
    <definedName name="MSTR.617E107E11E6DE2F1D4C0080EF85D27A.23">#REF!</definedName>
    <definedName name="MSTR.617E107E11E6DE2F1D4C0080EF85D27A.24">#REF!</definedName>
    <definedName name="MSTR.617E107E11E6DE2F1D4C0080EF85D27A.25">#REF!</definedName>
    <definedName name="MSTR.617E107E11E6DE2F1D4C0080EF85D27A.26">#REF!</definedName>
    <definedName name="MSTR.617E107E11E6DE2F1D4C0080EF85D27A.27">#REF!</definedName>
    <definedName name="MSTR.617E107E11E6DE2F1D4C0080EF85D27A.28">#REF!</definedName>
    <definedName name="MSTR.617E107E11E6DE2F1D4C0080EF85D27A.29">#REF!</definedName>
    <definedName name="MSTR.617E107E11E6DE2F1D4C0080EF85D27A.3">#REF!</definedName>
    <definedName name="MSTR.617E107E11E6DE2F1D4C0080EF85D27A.30">#REF!</definedName>
    <definedName name="MSTR.617E107E11E6DE2F1D4C0080EF85D27A.31">#REF!</definedName>
    <definedName name="MSTR.617E107E11E6DE2F1D4C0080EF85D27A.32">#REF!</definedName>
    <definedName name="MSTR.617E107E11E6DE2F1D4C0080EF85D27A.33">#REF!</definedName>
    <definedName name="MSTR.617E107E11E6DE2F1D4C0080EF85D27A.34">#REF!</definedName>
    <definedName name="MSTR.617E107E11E6DE2F1D4C0080EF85D27A.35">#REF!</definedName>
    <definedName name="MSTR.617E107E11E6DE2F1D4C0080EF85D27A.36">#REF!</definedName>
    <definedName name="MSTR.617E107E11E6DE2F1D4C0080EF85D27A.37">#REF!</definedName>
    <definedName name="MSTR.617E107E11E6DE2F1D4C0080EF85D27A.38">#REF!</definedName>
    <definedName name="MSTR.617E107E11E6DE2F1D4C0080EF85D27A.39">#REF!</definedName>
    <definedName name="MSTR.617E107E11E6DE2F1D4C0080EF85D27A.4">#REF!</definedName>
    <definedName name="MSTR.617E107E11E6DE2F1D4C0080EF85D27A.40">#REF!</definedName>
    <definedName name="MSTR.617E107E11E6DE2F1D4C0080EF85D27A.41">#REF!</definedName>
    <definedName name="MSTR.617E107E11E6DE2F1D4C0080EF85D27A.42">#REF!</definedName>
    <definedName name="MSTR.617E107E11E6DE2F1D4C0080EF85D27A.5">#REF!</definedName>
    <definedName name="MSTR.617E107E11E6DE2F1D4C0080EF85D27A.6">#REF!</definedName>
    <definedName name="MSTR.617E107E11E6DE2F1D4C0080EF85D27A.7">#REF!</definedName>
    <definedName name="MSTR.617E107E11E6DE2F1D4C0080EF85D27A.8">#REF!</definedName>
    <definedName name="MSTR.617E107E11E6DE2F1D4C0080EF85D27A.9">#REF!</definedName>
    <definedName name="MSTR.66711E2411E6DE291D330080EF35A0AA">#REF!</definedName>
    <definedName name="MSTR.66711E2411E6DE291D330080EF35A0AA.1">#REF!</definedName>
    <definedName name="MSTR.66711E2411E6DE291D330080EF35A0AA.10">#REF!</definedName>
    <definedName name="MSTR.66711E2411E6DE291D330080EF35A0AA.11">#REF!</definedName>
    <definedName name="MSTR.66711E2411E6DE291D330080EF35A0AA.12">#REF!</definedName>
    <definedName name="MSTR.66711E2411E6DE291D330080EF35A0AA.13">#REF!</definedName>
    <definedName name="MSTR.66711E2411E6DE291D330080EF35A0AA.14">#REF!</definedName>
    <definedName name="MSTR.66711E2411E6DE291D330080EF35A0AA.15">#REF!</definedName>
    <definedName name="MSTR.66711E2411E6DE291D330080EF35A0AA.16">#REF!</definedName>
    <definedName name="MSTR.66711E2411E6DE291D330080EF35A0AA.17">#REF!</definedName>
    <definedName name="MSTR.66711E2411E6DE291D330080EF35A0AA.18">#REF!</definedName>
    <definedName name="MSTR.66711E2411E6DE291D330080EF35A0AA.19">#REF!</definedName>
    <definedName name="MSTR.66711E2411E6DE291D330080EF35A0AA.2">#REF!</definedName>
    <definedName name="MSTR.66711E2411E6DE291D330080EF35A0AA.20">#REF!</definedName>
    <definedName name="MSTR.66711E2411E6DE291D330080EF35A0AA.21">#REF!</definedName>
    <definedName name="MSTR.66711E2411E6DE291D330080EF35A0AA.22">#REF!</definedName>
    <definedName name="MSTR.66711E2411E6DE291D330080EF35A0AA.23">#REF!</definedName>
    <definedName name="MSTR.66711E2411E6DE291D330080EF35A0AA.24">#REF!</definedName>
    <definedName name="MSTR.66711E2411E6DE291D330080EF35A0AA.25">#REF!</definedName>
    <definedName name="MSTR.66711E2411E6DE291D330080EF35A0AA.26">#REF!</definedName>
    <definedName name="MSTR.66711E2411E6DE291D330080EF35A0AA.27">#REF!</definedName>
    <definedName name="MSTR.66711E2411E6DE291D330080EF35A0AA.28">#REF!</definedName>
    <definedName name="MSTR.66711E2411E6DE291D330080EF35A0AA.29">#REF!</definedName>
    <definedName name="MSTR.66711E2411E6DE291D330080EF35A0AA.3">#REF!</definedName>
    <definedName name="MSTR.66711E2411E6DE291D330080EF35A0AA.30">#REF!</definedName>
    <definedName name="MSTR.66711E2411E6DE291D330080EF35A0AA.31">#REF!</definedName>
    <definedName name="MSTR.66711E2411E6DE291D330080EF35A0AA.32">#REF!</definedName>
    <definedName name="MSTR.66711E2411E6DE291D330080EF35A0AA.33">#REF!</definedName>
    <definedName name="MSTR.66711E2411E6DE291D330080EF35A0AA.34">#REF!</definedName>
    <definedName name="MSTR.66711E2411E6DE291D330080EF35A0AA.35">#REF!</definedName>
    <definedName name="MSTR.66711E2411E6DE291D330080EF35A0AA.36">#REF!</definedName>
    <definedName name="MSTR.66711E2411E6DE291D330080EF35A0AA.37">#REF!</definedName>
    <definedName name="MSTR.66711E2411E6DE291D330080EF35A0AA.38">#REF!</definedName>
    <definedName name="MSTR.66711E2411E6DE291D330080EF35A0AA.39">#REF!</definedName>
    <definedName name="MSTR.66711E2411E6DE291D330080EF35A0AA.4">#REF!</definedName>
    <definedName name="MSTR.66711E2411E6DE291D330080EF35A0AA.40">#REF!</definedName>
    <definedName name="MSTR.66711E2411E6DE291D330080EF35A0AA.41">#REF!</definedName>
    <definedName name="MSTR.66711E2411E6DE291D330080EF35A0AA.42">#REF!</definedName>
    <definedName name="MSTR.66711E2411E6DE291D330080EF35A0AA.43">#REF!</definedName>
    <definedName name="MSTR.66711E2411E6DE291D330080EF35A0AA.44">#REF!</definedName>
    <definedName name="MSTR.66711E2411E6DE291D330080EF35A0AA.45">#REF!</definedName>
    <definedName name="MSTR.66711E2411E6DE291D330080EF35A0AA.46">#REF!</definedName>
    <definedName name="MSTR.66711E2411E6DE291D330080EF35A0AA.47">#REF!</definedName>
    <definedName name="MSTR.66711E2411E6DE291D330080EF35A0AA.48">#REF!</definedName>
    <definedName name="MSTR.66711E2411E6DE291D330080EF35A0AA.49">#REF!</definedName>
    <definedName name="MSTR.66711E2411E6DE291D330080EF35A0AA.5">#REF!</definedName>
    <definedName name="MSTR.66711E2411E6DE291D330080EF35A0AA.50">#REF!</definedName>
    <definedName name="MSTR.66711E2411E6DE291D330080EF35A0AA.51">#REF!</definedName>
    <definedName name="MSTR.66711E2411E6DE291D330080EF35A0AA.52">#REF!</definedName>
    <definedName name="MSTR.66711E2411E6DE291D330080EF35A0AA.53">#REF!</definedName>
    <definedName name="MSTR.66711E2411E6DE291D330080EF35A0AA.54">#REF!</definedName>
    <definedName name="MSTR.66711E2411E6DE291D330080EF35A0AA.55">#REF!</definedName>
    <definedName name="MSTR.66711E2411E6DE291D330080EF35A0AA.56">#REF!</definedName>
    <definedName name="MSTR.66711E2411E6DE291D330080EF35A0AA.57">#REF!</definedName>
    <definedName name="MSTR.66711E2411E6DE291D330080EF35A0AA.58">#REF!</definedName>
    <definedName name="MSTR.66711E2411E6DE291D330080EF35A0AA.59">#REF!</definedName>
    <definedName name="MSTR.66711E2411E6DE291D330080EF35A0AA.6">#REF!</definedName>
    <definedName name="MSTR.66711E2411E6DE291D330080EF35A0AA.60">#REF!</definedName>
    <definedName name="MSTR.66711E2411E6DE291D330080EF35A0AA.61">#REF!</definedName>
    <definedName name="MSTR.66711E2411E6DE291D330080EF35A0AA.62">#REF!</definedName>
    <definedName name="MSTR.66711E2411E6DE291D330080EF35A0AA.63">#REF!</definedName>
    <definedName name="MSTR.66711E2411E6DE291D330080EF35A0AA.7">#REF!</definedName>
    <definedName name="MSTR.66711E2411E6DE291D330080EF35A0AA.8">#REF!</definedName>
    <definedName name="MSTR.66711E2411E6DE291D330080EF35A0AA.9">#REF!</definedName>
    <definedName name="MSTR.6E38459A11E5FC8B39B10080EFF56469">#REF!</definedName>
    <definedName name="MSTR.6E38459A11E5FC8B39B10080EFF56469.1">#REF!</definedName>
    <definedName name="MSTR.6E38459A11E5FC8B39B10080EFF56469.2">#REF!</definedName>
    <definedName name="MSTR.7387488940B2E3126B41E79EBA963D9D">#REF!</definedName>
    <definedName name="MSTR.7387488940B2E3126B41E79EBA963D9D.1">#REF!</definedName>
    <definedName name="MSTR.7387488940B2E3126B41E79EBA963D9D.10">#REF!</definedName>
    <definedName name="MSTR.7387488940B2E3126B41E79EBA963D9D.11">#REF!</definedName>
    <definedName name="MSTR.7387488940B2E3126B41E79EBA963D9D.12">#REF!</definedName>
    <definedName name="MSTR.7387488940B2E3126B41E79EBA963D9D.13">#REF!</definedName>
    <definedName name="MSTR.7387488940B2E3126B41E79EBA963D9D.14">#REF!</definedName>
    <definedName name="MSTR.7387488940B2E3126B41E79EBA963D9D.15">#REF!</definedName>
    <definedName name="MSTR.7387488940B2E3126B41E79EBA963D9D.16">#REF!</definedName>
    <definedName name="MSTR.7387488940B2E3126B41E79EBA963D9D.17">#REF!</definedName>
    <definedName name="MSTR.7387488940B2E3126B41E79EBA963D9D.18">#REF!</definedName>
    <definedName name="MSTR.7387488940B2E3126B41E79EBA963D9D.19">#REF!</definedName>
    <definedName name="MSTR.7387488940B2E3126B41E79EBA963D9D.2">#REF!</definedName>
    <definedName name="MSTR.7387488940B2E3126B41E79EBA963D9D.20">#REF!</definedName>
    <definedName name="MSTR.7387488940B2E3126B41E79EBA963D9D.21">#REF!</definedName>
    <definedName name="MSTR.7387488940B2E3126B41E79EBA963D9D.22">#REF!</definedName>
    <definedName name="MSTR.7387488940B2E3126B41E79EBA963D9D.23">#REF!</definedName>
    <definedName name="MSTR.7387488940B2E3126B41E79EBA963D9D.24">#REF!</definedName>
    <definedName name="MSTR.7387488940B2E3126B41E79EBA963D9D.25">#REF!</definedName>
    <definedName name="MSTR.7387488940B2E3126B41E79EBA963D9D.26">#REF!</definedName>
    <definedName name="MSTR.7387488940B2E3126B41E79EBA963D9D.27">#REF!</definedName>
    <definedName name="MSTR.7387488940B2E3126B41E79EBA963D9D.28">#REF!</definedName>
    <definedName name="MSTR.7387488940B2E3126B41E79EBA963D9D.29">#REF!</definedName>
    <definedName name="MSTR.7387488940B2E3126B41E79EBA963D9D.3">#REF!</definedName>
    <definedName name="MSTR.7387488940B2E3126B41E79EBA963D9D.30">#REF!</definedName>
    <definedName name="MSTR.7387488940B2E3126B41E79EBA963D9D.31">#REF!</definedName>
    <definedName name="MSTR.7387488940B2E3126B41E79EBA963D9D.32">#REF!</definedName>
    <definedName name="MSTR.7387488940B2E3126B41E79EBA963D9D.33">#REF!</definedName>
    <definedName name="MSTR.7387488940B2E3126B41E79EBA963D9D.34">#REF!</definedName>
    <definedName name="MSTR.7387488940B2E3126B41E79EBA963D9D.35">#REF!</definedName>
    <definedName name="MSTR.7387488940B2E3126B41E79EBA963D9D.36">#REF!</definedName>
    <definedName name="MSTR.7387488940B2E3126B41E79EBA963D9D.37">#REF!</definedName>
    <definedName name="MSTR.7387488940B2E3126B41E79EBA963D9D.38">#REF!</definedName>
    <definedName name="MSTR.7387488940B2E3126B41E79EBA963D9D.39">#REF!</definedName>
    <definedName name="MSTR.7387488940B2E3126B41E79EBA963D9D.4">#REF!</definedName>
    <definedName name="MSTR.7387488940B2E3126B41E79EBA963D9D.40">#REF!</definedName>
    <definedName name="MSTR.7387488940B2E3126B41E79EBA963D9D.41">#REF!</definedName>
    <definedName name="MSTR.7387488940B2E3126B41E79EBA963D9D.42">#REF!</definedName>
    <definedName name="MSTR.7387488940B2E3126B41E79EBA963D9D.43">#REF!</definedName>
    <definedName name="MSTR.7387488940B2E3126B41E79EBA963D9D.44">#REF!</definedName>
    <definedName name="MSTR.7387488940B2E3126B41E79EBA963D9D.45">#REF!</definedName>
    <definedName name="MSTR.7387488940B2E3126B41E79EBA963D9D.46">#REF!</definedName>
    <definedName name="MSTR.7387488940B2E3126B41E79EBA963D9D.47">#REF!</definedName>
    <definedName name="MSTR.7387488940B2E3126B41E79EBA963D9D.48">#REF!</definedName>
    <definedName name="MSTR.7387488940B2E3126B41E79EBA963D9D.49">#REF!</definedName>
    <definedName name="MSTR.7387488940B2E3126B41E79EBA963D9D.5">#REF!</definedName>
    <definedName name="MSTR.7387488940B2E3126B41E79EBA963D9D.50">#REF!</definedName>
    <definedName name="MSTR.7387488940B2E3126B41E79EBA963D9D.51">#REF!</definedName>
    <definedName name="MSTR.7387488940B2E3126B41E79EBA963D9D.6">#REF!</definedName>
    <definedName name="MSTR.7387488940B2E3126B41E79EBA963D9D.7">#REF!</definedName>
    <definedName name="MSTR.7387488940B2E3126B41E79EBA963D9D.8">#REF!</definedName>
    <definedName name="MSTR.7387488940B2E3126B41E79EBA963D9D.9">#REF!</definedName>
    <definedName name="MSTR.7A0F0D1F49BFAEDBBBD917A296B79D22">#REF!</definedName>
    <definedName name="MSTR.7A0F0D1F49BFAEDBBBD917A296B79D22.1">#REF!</definedName>
    <definedName name="MSTR.7A0F0D1F49BFAEDBBBD917A296B79D22.10">#REF!</definedName>
    <definedName name="MSTR.7A0F0D1F49BFAEDBBBD917A296B79D22.11">#REF!</definedName>
    <definedName name="MSTR.7A0F0D1F49BFAEDBBBD917A296B79D22.12">#REF!</definedName>
    <definedName name="MSTR.7A0F0D1F49BFAEDBBBD917A296B79D22.13">#REF!</definedName>
    <definedName name="MSTR.7A0F0D1F49BFAEDBBBD917A296B79D22.14">#REF!</definedName>
    <definedName name="MSTR.7A0F0D1F49BFAEDBBBD917A296B79D22.15">#REF!</definedName>
    <definedName name="MSTR.7A0F0D1F49BFAEDBBBD917A296B79D22.16">#REF!</definedName>
    <definedName name="MSTR.7A0F0D1F49BFAEDBBBD917A296B79D22.17">#REF!</definedName>
    <definedName name="MSTR.7A0F0D1F49BFAEDBBBD917A296B79D22.18">#REF!</definedName>
    <definedName name="MSTR.7A0F0D1F49BFAEDBBBD917A296B79D22.19">#REF!</definedName>
    <definedName name="MSTR.7A0F0D1F49BFAEDBBBD917A296B79D22.2">#REF!</definedName>
    <definedName name="MSTR.7A0F0D1F49BFAEDBBBD917A296B79D22.20">#REF!</definedName>
    <definedName name="MSTR.7A0F0D1F49BFAEDBBBD917A296B79D22.21">#REF!</definedName>
    <definedName name="MSTR.7A0F0D1F49BFAEDBBBD917A296B79D22.22">#REF!</definedName>
    <definedName name="MSTR.7A0F0D1F49BFAEDBBBD917A296B79D22.23">#REF!</definedName>
    <definedName name="MSTR.7A0F0D1F49BFAEDBBBD917A296B79D22.24">#REF!</definedName>
    <definedName name="MSTR.7A0F0D1F49BFAEDBBBD917A296B79D22.25">#REF!</definedName>
    <definedName name="MSTR.7A0F0D1F49BFAEDBBBD917A296B79D22.26">#REF!</definedName>
    <definedName name="MSTR.7A0F0D1F49BFAEDBBBD917A296B79D22.27">#REF!</definedName>
    <definedName name="MSTR.7A0F0D1F49BFAEDBBBD917A296B79D22.28">#REF!</definedName>
    <definedName name="MSTR.7A0F0D1F49BFAEDBBBD917A296B79D22.29">#REF!</definedName>
    <definedName name="MSTR.7A0F0D1F49BFAEDBBBD917A296B79D22.3">#REF!</definedName>
    <definedName name="MSTR.7A0F0D1F49BFAEDBBBD917A296B79D22.30">#REF!</definedName>
    <definedName name="MSTR.7A0F0D1F49BFAEDBBBD917A296B79D22.31">#REF!</definedName>
    <definedName name="MSTR.7A0F0D1F49BFAEDBBBD917A296B79D22.32">#REF!</definedName>
    <definedName name="MSTR.7A0F0D1F49BFAEDBBBD917A296B79D22.33">#REF!</definedName>
    <definedName name="MSTR.7A0F0D1F49BFAEDBBBD917A296B79D22.34">#REF!</definedName>
    <definedName name="MSTR.7A0F0D1F49BFAEDBBBD917A296B79D22.35">#REF!</definedName>
    <definedName name="MSTR.7A0F0D1F49BFAEDBBBD917A296B79D22.36">#REF!</definedName>
    <definedName name="MSTR.7A0F0D1F49BFAEDBBBD917A296B79D22.37">#REF!</definedName>
    <definedName name="MSTR.7A0F0D1F49BFAEDBBBD917A296B79D22.38">#REF!</definedName>
    <definedName name="MSTR.7A0F0D1F49BFAEDBBBD917A296B79D22.39">#REF!</definedName>
    <definedName name="MSTR.7A0F0D1F49BFAEDBBBD917A296B79D22.4">#REF!</definedName>
    <definedName name="MSTR.7A0F0D1F49BFAEDBBBD917A296B79D22.40">#REF!</definedName>
    <definedName name="MSTR.7A0F0D1F49BFAEDBBBD917A296B79D22.41">#REF!</definedName>
    <definedName name="MSTR.7A0F0D1F49BFAEDBBBD917A296B79D22.5">#REF!</definedName>
    <definedName name="MSTR.7A0F0D1F49BFAEDBBBD917A296B79D22.6">#REF!</definedName>
    <definedName name="MSTR.7A0F0D1F49BFAEDBBBD917A296B79D22.7">#REF!</definedName>
    <definedName name="MSTR.7A0F0D1F49BFAEDBBBD917A296B79D22.8">#REF!</definedName>
    <definedName name="MSTR.7A0F0D1F49BFAEDBBBD917A296B79D22.9">#REF!</definedName>
    <definedName name="MSTR.82081BD04F3B31D938A895B1E6EF601C">#REF!</definedName>
    <definedName name="MSTR.82081BD04F3B31D938A895B1E6EF601C.1">#REF!</definedName>
    <definedName name="MSTR.82081BD04F3B31D938A895B1E6EF601C.10">#REF!</definedName>
    <definedName name="MSTR.82081BD04F3B31D938A895B1E6EF601C.11">#REF!</definedName>
    <definedName name="MSTR.82081BD04F3B31D938A895B1E6EF601C.12">#REF!</definedName>
    <definedName name="MSTR.82081BD04F3B31D938A895B1E6EF601C.13">#REF!</definedName>
    <definedName name="MSTR.82081BD04F3B31D938A895B1E6EF601C.14">#REF!</definedName>
    <definedName name="MSTR.82081BD04F3B31D938A895B1E6EF601C.15">#REF!</definedName>
    <definedName name="MSTR.82081BD04F3B31D938A895B1E6EF601C.16">#REF!</definedName>
    <definedName name="MSTR.82081BD04F3B31D938A895B1E6EF601C.17">#REF!</definedName>
    <definedName name="MSTR.82081BD04F3B31D938A895B1E6EF601C.18">#REF!</definedName>
    <definedName name="MSTR.82081BD04F3B31D938A895B1E6EF601C.19">#REF!</definedName>
    <definedName name="MSTR.82081BD04F3B31D938A895B1E6EF601C.2">#REF!</definedName>
    <definedName name="MSTR.82081BD04F3B31D938A895B1E6EF601C.20">#REF!</definedName>
    <definedName name="MSTR.82081BD04F3B31D938A895B1E6EF601C.21">#REF!</definedName>
    <definedName name="MSTR.82081BD04F3B31D938A895B1E6EF601C.22">#REF!</definedName>
    <definedName name="MSTR.82081BD04F3B31D938A895B1E6EF601C.23">#REF!</definedName>
    <definedName name="MSTR.82081BD04F3B31D938A895B1E6EF601C.24">#REF!</definedName>
    <definedName name="MSTR.82081BD04F3B31D938A895B1E6EF601C.25">#REF!</definedName>
    <definedName name="MSTR.82081BD04F3B31D938A895B1E6EF601C.26">#REF!</definedName>
    <definedName name="MSTR.82081BD04F3B31D938A895B1E6EF601C.27">#REF!</definedName>
    <definedName name="MSTR.82081BD04F3B31D938A895B1E6EF601C.28">#REF!</definedName>
    <definedName name="MSTR.82081BD04F3B31D938A895B1E6EF601C.29">#REF!</definedName>
    <definedName name="MSTR.82081BD04F3B31D938A895B1E6EF601C.3">#REF!</definedName>
    <definedName name="MSTR.82081BD04F3B31D938A895B1E6EF601C.30">#REF!</definedName>
    <definedName name="MSTR.82081BD04F3B31D938A895B1E6EF601C.31">#REF!</definedName>
    <definedName name="MSTR.82081BD04F3B31D938A895B1E6EF601C.32">#REF!</definedName>
    <definedName name="MSTR.82081BD04F3B31D938A895B1E6EF601C.33">#REF!</definedName>
    <definedName name="MSTR.82081BD04F3B31D938A895B1E6EF601C.34">#REF!</definedName>
    <definedName name="MSTR.82081BD04F3B31D938A895B1E6EF601C.35">#REF!</definedName>
    <definedName name="MSTR.82081BD04F3B31D938A895B1E6EF601C.36">#REF!</definedName>
    <definedName name="MSTR.82081BD04F3B31D938A895B1E6EF601C.37">#REF!</definedName>
    <definedName name="MSTR.82081BD04F3B31D938A895B1E6EF601C.38">#REF!</definedName>
    <definedName name="MSTR.82081BD04F3B31D938A895B1E6EF601C.39">#REF!</definedName>
    <definedName name="MSTR.82081BD04F3B31D938A895B1E6EF601C.4">#REF!</definedName>
    <definedName name="MSTR.82081BD04F3B31D938A895B1E6EF601C.40">#REF!</definedName>
    <definedName name="MSTR.82081BD04F3B31D938A895B1E6EF601C.41">#REF!</definedName>
    <definedName name="MSTR.82081BD04F3B31D938A895B1E6EF601C.42">#REF!</definedName>
    <definedName name="MSTR.82081BD04F3B31D938A895B1E6EF601C.43">#REF!</definedName>
    <definedName name="MSTR.82081BD04F3B31D938A895B1E6EF601C.44">#REF!</definedName>
    <definedName name="MSTR.82081BD04F3B31D938A895B1E6EF601C.45">#REF!</definedName>
    <definedName name="MSTR.82081BD04F3B31D938A895B1E6EF601C.46">#REF!</definedName>
    <definedName name="MSTR.82081BD04F3B31D938A895B1E6EF601C.47">#REF!</definedName>
    <definedName name="MSTR.82081BD04F3B31D938A895B1E6EF601C.48">#REF!</definedName>
    <definedName name="MSTR.82081BD04F3B31D938A895B1E6EF601C.49">#REF!</definedName>
    <definedName name="MSTR.82081BD04F3B31D938A895B1E6EF601C.5">#REF!</definedName>
    <definedName name="MSTR.82081BD04F3B31D938A895B1E6EF601C.50">#REF!</definedName>
    <definedName name="MSTR.82081BD04F3B31D938A895B1E6EF601C.51">#REF!</definedName>
    <definedName name="MSTR.82081BD04F3B31D938A895B1E6EF601C.52">#REF!</definedName>
    <definedName name="MSTR.82081BD04F3B31D938A895B1E6EF601C.53">#REF!</definedName>
    <definedName name="MSTR.82081BD04F3B31D938A895B1E6EF601C.6">#REF!</definedName>
    <definedName name="MSTR.82081BD04F3B31D938A895B1E6EF601C.7">#REF!</definedName>
    <definedName name="MSTR.82081BD04F3B31D938A895B1E6EF601C.8">#REF!</definedName>
    <definedName name="MSTR.82081BD04F3B31D938A895B1E6EF601C.9">#REF!</definedName>
    <definedName name="MSTR.8569D7D14AB8E0A89493D09B0B04C562">#REF!</definedName>
    <definedName name="MSTR.8569D7D14AB8E0A89493D09B0B04C562.1">#REF!</definedName>
    <definedName name="MSTR.8569D7D14AB8E0A89493D09B0B04C562.10">#REF!</definedName>
    <definedName name="MSTR.8569D7D14AB8E0A89493D09B0B04C562.100">#REF!</definedName>
    <definedName name="MSTR.8569D7D14AB8E0A89493D09B0B04C562.101">#REF!</definedName>
    <definedName name="MSTR.8569D7D14AB8E0A89493D09B0B04C562.102">#REF!</definedName>
    <definedName name="MSTR.8569D7D14AB8E0A89493D09B0B04C562.103">#REF!</definedName>
    <definedName name="MSTR.8569D7D14AB8E0A89493D09B0B04C562.104">#REF!</definedName>
    <definedName name="MSTR.8569D7D14AB8E0A89493D09B0B04C562.105">#REF!</definedName>
    <definedName name="MSTR.8569D7D14AB8E0A89493D09B0B04C562.106">#REF!</definedName>
    <definedName name="MSTR.8569D7D14AB8E0A89493D09B0B04C562.107">#REF!</definedName>
    <definedName name="MSTR.8569D7D14AB8E0A89493D09B0B04C562.108">#REF!</definedName>
    <definedName name="MSTR.8569D7D14AB8E0A89493D09B0B04C562.109">#REF!</definedName>
    <definedName name="MSTR.8569D7D14AB8E0A89493D09B0B04C562.11">#REF!</definedName>
    <definedName name="MSTR.8569D7D14AB8E0A89493D09B0B04C562.110">#REF!</definedName>
    <definedName name="MSTR.8569D7D14AB8E0A89493D09B0B04C562.111">#REF!</definedName>
    <definedName name="MSTR.8569D7D14AB8E0A89493D09B0B04C562.112">#REF!</definedName>
    <definedName name="MSTR.8569D7D14AB8E0A89493D09B0B04C562.113">#REF!</definedName>
    <definedName name="MSTR.8569D7D14AB8E0A89493D09B0B04C562.114">#REF!</definedName>
    <definedName name="MSTR.8569D7D14AB8E0A89493D09B0B04C562.115">#REF!</definedName>
    <definedName name="MSTR.8569D7D14AB8E0A89493D09B0B04C562.116">#REF!</definedName>
    <definedName name="MSTR.8569D7D14AB8E0A89493D09B0B04C562.117">#REF!</definedName>
    <definedName name="MSTR.8569D7D14AB8E0A89493D09B0B04C562.118">#REF!</definedName>
    <definedName name="MSTR.8569D7D14AB8E0A89493D09B0B04C562.119">#REF!</definedName>
    <definedName name="MSTR.8569D7D14AB8E0A89493D09B0B04C562.12">#REF!</definedName>
    <definedName name="MSTR.8569D7D14AB8E0A89493D09B0B04C562.120">#REF!</definedName>
    <definedName name="MSTR.8569D7D14AB8E0A89493D09B0B04C562.121">#REF!</definedName>
    <definedName name="MSTR.8569D7D14AB8E0A89493D09B0B04C562.122">#REF!</definedName>
    <definedName name="MSTR.8569D7D14AB8E0A89493D09B0B04C562.123">#REF!</definedName>
    <definedName name="MSTR.8569D7D14AB8E0A89493D09B0B04C562.124">#REF!</definedName>
    <definedName name="MSTR.8569D7D14AB8E0A89493D09B0B04C562.125">#REF!</definedName>
    <definedName name="MSTR.8569D7D14AB8E0A89493D09B0B04C562.126">#REF!</definedName>
    <definedName name="MSTR.8569D7D14AB8E0A89493D09B0B04C562.127">#REF!</definedName>
    <definedName name="MSTR.8569D7D14AB8E0A89493D09B0B04C562.128">#REF!</definedName>
    <definedName name="MSTR.8569D7D14AB8E0A89493D09B0B04C562.129">#REF!</definedName>
    <definedName name="MSTR.8569D7D14AB8E0A89493D09B0B04C562.13">#REF!</definedName>
    <definedName name="MSTR.8569D7D14AB8E0A89493D09B0B04C562.130">#REF!</definedName>
    <definedName name="MSTR.8569D7D14AB8E0A89493D09B0B04C562.131">#REF!</definedName>
    <definedName name="MSTR.8569D7D14AB8E0A89493D09B0B04C562.132">#REF!</definedName>
    <definedName name="MSTR.8569D7D14AB8E0A89493D09B0B04C562.133">#REF!</definedName>
    <definedName name="MSTR.8569D7D14AB8E0A89493D09B0B04C562.134">#REF!</definedName>
    <definedName name="MSTR.8569D7D14AB8E0A89493D09B0B04C562.135">#REF!</definedName>
    <definedName name="MSTR.8569D7D14AB8E0A89493D09B0B04C562.136">#REF!</definedName>
    <definedName name="MSTR.8569D7D14AB8E0A89493D09B0B04C562.137">#REF!</definedName>
    <definedName name="MSTR.8569D7D14AB8E0A89493D09B0B04C562.138">#REF!</definedName>
    <definedName name="MSTR.8569D7D14AB8E0A89493D09B0B04C562.139">#REF!</definedName>
    <definedName name="MSTR.8569D7D14AB8E0A89493D09B0B04C562.14">#REF!</definedName>
    <definedName name="MSTR.8569D7D14AB8E0A89493D09B0B04C562.140">#REF!</definedName>
    <definedName name="MSTR.8569D7D14AB8E0A89493D09B0B04C562.141">#REF!</definedName>
    <definedName name="MSTR.8569D7D14AB8E0A89493D09B0B04C562.142">#REF!</definedName>
    <definedName name="MSTR.8569D7D14AB8E0A89493D09B0B04C562.143">#REF!</definedName>
    <definedName name="MSTR.8569D7D14AB8E0A89493D09B0B04C562.144">#REF!</definedName>
    <definedName name="MSTR.8569D7D14AB8E0A89493D09B0B04C562.145">#REF!</definedName>
    <definedName name="MSTR.8569D7D14AB8E0A89493D09B0B04C562.146">#REF!</definedName>
    <definedName name="MSTR.8569D7D14AB8E0A89493D09B0B04C562.147">#REF!</definedName>
    <definedName name="MSTR.8569D7D14AB8E0A89493D09B0B04C562.148">#REF!</definedName>
    <definedName name="MSTR.8569D7D14AB8E0A89493D09B0B04C562.149">#REF!</definedName>
    <definedName name="MSTR.8569D7D14AB8E0A89493D09B0B04C562.15">#REF!</definedName>
    <definedName name="MSTR.8569D7D14AB8E0A89493D09B0B04C562.150">#REF!</definedName>
    <definedName name="MSTR.8569D7D14AB8E0A89493D09B0B04C562.151">#REF!</definedName>
    <definedName name="MSTR.8569D7D14AB8E0A89493D09B0B04C562.152">#REF!</definedName>
    <definedName name="MSTR.8569D7D14AB8E0A89493D09B0B04C562.153">#REF!</definedName>
    <definedName name="MSTR.8569D7D14AB8E0A89493D09B0B04C562.154">#REF!</definedName>
    <definedName name="MSTR.8569D7D14AB8E0A89493D09B0B04C562.155">#REF!</definedName>
    <definedName name="MSTR.8569D7D14AB8E0A89493D09B0B04C562.156">#REF!</definedName>
    <definedName name="MSTR.8569D7D14AB8E0A89493D09B0B04C562.157">#REF!</definedName>
    <definedName name="MSTR.8569D7D14AB8E0A89493D09B0B04C562.158">#REF!</definedName>
    <definedName name="MSTR.8569D7D14AB8E0A89493D09B0B04C562.159">#REF!</definedName>
    <definedName name="MSTR.8569D7D14AB8E0A89493D09B0B04C562.16">#REF!</definedName>
    <definedName name="MSTR.8569D7D14AB8E0A89493D09B0B04C562.160">#REF!</definedName>
    <definedName name="MSTR.8569D7D14AB8E0A89493D09B0B04C562.161">#REF!</definedName>
    <definedName name="MSTR.8569D7D14AB8E0A89493D09B0B04C562.162">#REF!</definedName>
    <definedName name="MSTR.8569D7D14AB8E0A89493D09B0B04C562.163">#REF!</definedName>
    <definedName name="MSTR.8569D7D14AB8E0A89493D09B0B04C562.164">#REF!</definedName>
    <definedName name="MSTR.8569D7D14AB8E0A89493D09B0B04C562.165">#REF!</definedName>
    <definedName name="MSTR.8569D7D14AB8E0A89493D09B0B04C562.166">#REF!</definedName>
    <definedName name="MSTR.8569D7D14AB8E0A89493D09B0B04C562.167">#REF!</definedName>
    <definedName name="MSTR.8569D7D14AB8E0A89493D09B0B04C562.168">#REF!</definedName>
    <definedName name="MSTR.8569D7D14AB8E0A89493D09B0B04C562.169">#REF!</definedName>
    <definedName name="MSTR.8569D7D14AB8E0A89493D09B0B04C562.17">#REF!</definedName>
    <definedName name="MSTR.8569D7D14AB8E0A89493D09B0B04C562.170">#REF!</definedName>
    <definedName name="MSTR.8569D7D14AB8E0A89493D09B0B04C562.171">#REF!</definedName>
    <definedName name="MSTR.8569D7D14AB8E0A89493D09B0B04C562.172">#REF!</definedName>
    <definedName name="MSTR.8569D7D14AB8E0A89493D09B0B04C562.173">#REF!</definedName>
    <definedName name="MSTR.8569D7D14AB8E0A89493D09B0B04C562.174">#REF!</definedName>
    <definedName name="MSTR.8569D7D14AB8E0A89493D09B0B04C562.175">#REF!</definedName>
    <definedName name="MSTR.8569D7D14AB8E0A89493D09B0B04C562.176">#REF!</definedName>
    <definedName name="MSTR.8569D7D14AB8E0A89493D09B0B04C562.177">#REF!</definedName>
    <definedName name="MSTR.8569D7D14AB8E0A89493D09B0B04C562.178">#REF!</definedName>
    <definedName name="MSTR.8569D7D14AB8E0A89493D09B0B04C562.179">#REF!</definedName>
    <definedName name="MSTR.8569D7D14AB8E0A89493D09B0B04C562.18">#REF!</definedName>
    <definedName name="MSTR.8569D7D14AB8E0A89493D09B0B04C562.180">#REF!</definedName>
    <definedName name="MSTR.8569D7D14AB8E0A89493D09B0B04C562.181">#REF!</definedName>
    <definedName name="MSTR.8569D7D14AB8E0A89493D09B0B04C562.182">#REF!</definedName>
    <definedName name="MSTR.8569D7D14AB8E0A89493D09B0B04C562.183">#REF!</definedName>
    <definedName name="MSTR.8569D7D14AB8E0A89493D09B0B04C562.184">#REF!</definedName>
    <definedName name="MSTR.8569D7D14AB8E0A89493D09B0B04C562.185">#REF!</definedName>
    <definedName name="MSTR.8569D7D14AB8E0A89493D09B0B04C562.186">#REF!</definedName>
    <definedName name="MSTR.8569D7D14AB8E0A89493D09B0B04C562.187">#REF!</definedName>
    <definedName name="MSTR.8569D7D14AB8E0A89493D09B0B04C562.188">#REF!</definedName>
    <definedName name="MSTR.8569D7D14AB8E0A89493D09B0B04C562.189">#REF!</definedName>
    <definedName name="MSTR.8569D7D14AB8E0A89493D09B0B04C562.19">#REF!</definedName>
    <definedName name="MSTR.8569D7D14AB8E0A89493D09B0B04C562.190">#REF!</definedName>
    <definedName name="MSTR.8569D7D14AB8E0A89493D09B0B04C562.191">#REF!</definedName>
    <definedName name="MSTR.8569D7D14AB8E0A89493D09B0B04C562.192">#REF!</definedName>
    <definedName name="MSTR.8569D7D14AB8E0A89493D09B0B04C562.193">#REF!</definedName>
    <definedName name="MSTR.8569D7D14AB8E0A89493D09B0B04C562.194">#REF!</definedName>
    <definedName name="MSTR.8569D7D14AB8E0A89493D09B0B04C562.195">#REF!</definedName>
    <definedName name="MSTR.8569D7D14AB8E0A89493D09B0B04C562.196">#REF!</definedName>
    <definedName name="MSTR.8569D7D14AB8E0A89493D09B0B04C562.197">#REF!</definedName>
    <definedName name="MSTR.8569D7D14AB8E0A89493D09B0B04C562.198">#REF!</definedName>
    <definedName name="MSTR.8569D7D14AB8E0A89493D09B0B04C562.199">#REF!</definedName>
    <definedName name="MSTR.8569D7D14AB8E0A89493D09B0B04C562.2">#REF!</definedName>
    <definedName name="MSTR.8569D7D14AB8E0A89493D09B0B04C562.20">#REF!</definedName>
    <definedName name="MSTR.8569D7D14AB8E0A89493D09B0B04C562.200">#REF!</definedName>
    <definedName name="MSTR.8569D7D14AB8E0A89493D09B0B04C562.201">#REF!</definedName>
    <definedName name="MSTR.8569D7D14AB8E0A89493D09B0B04C562.202">#REF!</definedName>
    <definedName name="MSTR.8569D7D14AB8E0A89493D09B0B04C562.203">#REF!</definedName>
    <definedName name="MSTR.8569D7D14AB8E0A89493D09B0B04C562.204">#REF!</definedName>
    <definedName name="MSTR.8569D7D14AB8E0A89493D09B0B04C562.205">#REF!</definedName>
    <definedName name="MSTR.8569D7D14AB8E0A89493D09B0B04C562.206">#REF!</definedName>
    <definedName name="MSTR.8569D7D14AB8E0A89493D09B0B04C562.207">#REF!</definedName>
    <definedName name="MSTR.8569D7D14AB8E0A89493D09B0B04C562.208">#REF!</definedName>
    <definedName name="MSTR.8569D7D14AB8E0A89493D09B0B04C562.209">#REF!</definedName>
    <definedName name="MSTR.8569D7D14AB8E0A89493D09B0B04C562.21">#REF!</definedName>
    <definedName name="MSTR.8569D7D14AB8E0A89493D09B0B04C562.210">#REF!</definedName>
    <definedName name="MSTR.8569D7D14AB8E0A89493D09B0B04C562.211">#REF!</definedName>
    <definedName name="MSTR.8569D7D14AB8E0A89493D09B0B04C562.212">#REF!</definedName>
    <definedName name="MSTR.8569D7D14AB8E0A89493D09B0B04C562.213">#REF!</definedName>
    <definedName name="MSTR.8569D7D14AB8E0A89493D09B0B04C562.214">#REF!</definedName>
    <definedName name="MSTR.8569D7D14AB8E0A89493D09B0B04C562.215">#REF!</definedName>
    <definedName name="MSTR.8569D7D14AB8E0A89493D09B0B04C562.216">#REF!</definedName>
    <definedName name="MSTR.8569D7D14AB8E0A89493D09B0B04C562.217">#REF!</definedName>
    <definedName name="MSTR.8569D7D14AB8E0A89493D09B0B04C562.218">#REF!</definedName>
    <definedName name="MSTR.8569D7D14AB8E0A89493D09B0B04C562.219">#REF!</definedName>
    <definedName name="MSTR.8569D7D14AB8E0A89493D09B0B04C562.22">#REF!</definedName>
    <definedName name="MSTR.8569D7D14AB8E0A89493D09B0B04C562.220">#REF!</definedName>
    <definedName name="MSTR.8569D7D14AB8E0A89493D09B0B04C562.221">#REF!</definedName>
    <definedName name="MSTR.8569D7D14AB8E0A89493D09B0B04C562.222">#REF!</definedName>
    <definedName name="MSTR.8569D7D14AB8E0A89493D09B0B04C562.223">#REF!</definedName>
    <definedName name="MSTR.8569D7D14AB8E0A89493D09B0B04C562.224">#REF!</definedName>
    <definedName name="MSTR.8569D7D14AB8E0A89493D09B0B04C562.225">#REF!</definedName>
    <definedName name="MSTR.8569D7D14AB8E0A89493D09B0B04C562.226">#REF!</definedName>
    <definedName name="MSTR.8569D7D14AB8E0A89493D09B0B04C562.227">#REF!</definedName>
    <definedName name="MSTR.8569D7D14AB8E0A89493D09B0B04C562.228">#REF!</definedName>
    <definedName name="MSTR.8569D7D14AB8E0A89493D09B0B04C562.229">#REF!</definedName>
    <definedName name="MSTR.8569D7D14AB8E0A89493D09B0B04C562.23">#REF!</definedName>
    <definedName name="MSTR.8569D7D14AB8E0A89493D09B0B04C562.230">#REF!</definedName>
    <definedName name="MSTR.8569D7D14AB8E0A89493D09B0B04C562.231">#REF!</definedName>
    <definedName name="MSTR.8569D7D14AB8E0A89493D09B0B04C562.232">#REF!</definedName>
    <definedName name="MSTR.8569D7D14AB8E0A89493D09B0B04C562.233">#REF!</definedName>
    <definedName name="MSTR.8569D7D14AB8E0A89493D09B0B04C562.234">#REF!</definedName>
    <definedName name="MSTR.8569D7D14AB8E0A89493D09B0B04C562.235">#REF!</definedName>
    <definedName name="MSTR.8569D7D14AB8E0A89493D09B0B04C562.236">#REF!</definedName>
    <definedName name="MSTR.8569D7D14AB8E0A89493D09B0B04C562.237">#REF!</definedName>
    <definedName name="MSTR.8569D7D14AB8E0A89493D09B0B04C562.238">#REF!</definedName>
    <definedName name="MSTR.8569D7D14AB8E0A89493D09B0B04C562.239">#REF!</definedName>
    <definedName name="MSTR.8569D7D14AB8E0A89493D09B0B04C562.24">#REF!</definedName>
    <definedName name="MSTR.8569D7D14AB8E0A89493D09B0B04C562.240">#REF!</definedName>
    <definedName name="MSTR.8569D7D14AB8E0A89493D09B0B04C562.241">#REF!</definedName>
    <definedName name="MSTR.8569D7D14AB8E0A89493D09B0B04C562.242">#REF!</definedName>
    <definedName name="MSTR.8569D7D14AB8E0A89493D09B0B04C562.243">#REF!</definedName>
    <definedName name="MSTR.8569D7D14AB8E0A89493D09B0B04C562.244">#REF!</definedName>
    <definedName name="MSTR.8569D7D14AB8E0A89493D09B0B04C562.245">#REF!</definedName>
    <definedName name="MSTR.8569D7D14AB8E0A89493D09B0B04C562.246">#REF!</definedName>
    <definedName name="MSTR.8569D7D14AB8E0A89493D09B0B04C562.247">#REF!</definedName>
    <definedName name="MSTR.8569D7D14AB8E0A89493D09B0B04C562.248">#REF!</definedName>
    <definedName name="MSTR.8569D7D14AB8E0A89493D09B0B04C562.249">#REF!</definedName>
    <definedName name="MSTR.8569D7D14AB8E0A89493D09B0B04C562.25">#REF!</definedName>
    <definedName name="MSTR.8569D7D14AB8E0A89493D09B0B04C562.250">#REF!</definedName>
    <definedName name="MSTR.8569D7D14AB8E0A89493D09B0B04C562.251">#REF!</definedName>
    <definedName name="MSTR.8569D7D14AB8E0A89493D09B0B04C562.252">#REF!</definedName>
    <definedName name="MSTR.8569D7D14AB8E0A89493D09B0B04C562.253">#REF!</definedName>
    <definedName name="MSTR.8569D7D14AB8E0A89493D09B0B04C562.254">#REF!</definedName>
    <definedName name="MSTR.8569D7D14AB8E0A89493D09B0B04C562.255">#REF!</definedName>
    <definedName name="MSTR.8569D7D14AB8E0A89493D09B0B04C562.256">#REF!</definedName>
    <definedName name="MSTR.8569D7D14AB8E0A89493D09B0B04C562.257">#REF!</definedName>
    <definedName name="MSTR.8569D7D14AB8E0A89493D09B0B04C562.258">#REF!</definedName>
    <definedName name="MSTR.8569D7D14AB8E0A89493D09B0B04C562.259">#REF!</definedName>
    <definedName name="MSTR.8569D7D14AB8E0A89493D09B0B04C562.26">#REF!</definedName>
    <definedName name="MSTR.8569D7D14AB8E0A89493D09B0B04C562.260">#REF!</definedName>
    <definedName name="MSTR.8569D7D14AB8E0A89493D09B0B04C562.261">#REF!</definedName>
    <definedName name="MSTR.8569D7D14AB8E0A89493D09B0B04C562.262">#REF!</definedName>
    <definedName name="MSTR.8569D7D14AB8E0A89493D09B0B04C562.263">#REF!</definedName>
    <definedName name="MSTR.8569D7D14AB8E0A89493D09B0B04C562.264">#REF!</definedName>
    <definedName name="MSTR.8569D7D14AB8E0A89493D09B0B04C562.265">#REF!</definedName>
    <definedName name="MSTR.8569D7D14AB8E0A89493D09B0B04C562.266">#REF!</definedName>
    <definedName name="MSTR.8569D7D14AB8E0A89493D09B0B04C562.267">#REF!</definedName>
    <definedName name="MSTR.8569D7D14AB8E0A89493D09B0B04C562.268">#REF!</definedName>
    <definedName name="MSTR.8569D7D14AB8E0A89493D09B0B04C562.269">#REF!</definedName>
    <definedName name="MSTR.8569D7D14AB8E0A89493D09B0B04C562.27">#REF!</definedName>
    <definedName name="MSTR.8569D7D14AB8E0A89493D09B0B04C562.270">#REF!</definedName>
    <definedName name="MSTR.8569D7D14AB8E0A89493D09B0B04C562.271">#REF!</definedName>
    <definedName name="MSTR.8569D7D14AB8E0A89493D09B0B04C562.272">#REF!</definedName>
    <definedName name="MSTR.8569D7D14AB8E0A89493D09B0B04C562.273">#REF!</definedName>
    <definedName name="MSTR.8569D7D14AB8E0A89493D09B0B04C562.274">#REF!</definedName>
    <definedName name="MSTR.8569D7D14AB8E0A89493D09B0B04C562.275">#REF!</definedName>
    <definedName name="MSTR.8569D7D14AB8E0A89493D09B0B04C562.276">#REF!</definedName>
    <definedName name="MSTR.8569D7D14AB8E0A89493D09B0B04C562.277">#REF!</definedName>
    <definedName name="MSTR.8569D7D14AB8E0A89493D09B0B04C562.278">#REF!</definedName>
    <definedName name="MSTR.8569D7D14AB8E0A89493D09B0B04C562.279">#REF!</definedName>
    <definedName name="MSTR.8569D7D14AB8E0A89493D09B0B04C562.28">#REF!</definedName>
    <definedName name="MSTR.8569D7D14AB8E0A89493D09B0B04C562.280">#REF!</definedName>
    <definedName name="MSTR.8569D7D14AB8E0A89493D09B0B04C562.281">#REF!</definedName>
    <definedName name="MSTR.8569D7D14AB8E0A89493D09B0B04C562.282">#REF!</definedName>
    <definedName name="MSTR.8569D7D14AB8E0A89493D09B0B04C562.283">#REF!</definedName>
    <definedName name="MSTR.8569D7D14AB8E0A89493D09B0B04C562.284">#REF!</definedName>
    <definedName name="MSTR.8569D7D14AB8E0A89493D09B0B04C562.285">#REF!</definedName>
    <definedName name="MSTR.8569D7D14AB8E0A89493D09B0B04C562.286">#REF!</definedName>
    <definedName name="MSTR.8569D7D14AB8E0A89493D09B0B04C562.287">#REF!</definedName>
    <definedName name="MSTR.8569D7D14AB8E0A89493D09B0B04C562.288">#REF!</definedName>
    <definedName name="MSTR.8569D7D14AB8E0A89493D09B0B04C562.289">#REF!</definedName>
    <definedName name="MSTR.8569D7D14AB8E0A89493D09B0B04C562.29">#REF!</definedName>
    <definedName name="MSTR.8569D7D14AB8E0A89493D09B0B04C562.290">#REF!</definedName>
    <definedName name="MSTR.8569D7D14AB8E0A89493D09B0B04C562.291">#REF!</definedName>
    <definedName name="MSTR.8569D7D14AB8E0A89493D09B0B04C562.292">#REF!</definedName>
    <definedName name="MSTR.8569D7D14AB8E0A89493D09B0B04C562.293">#REF!</definedName>
    <definedName name="MSTR.8569D7D14AB8E0A89493D09B0B04C562.294">#REF!</definedName>
    <definedName name="MSTR.8569D7D14AB8E0A89493D09B0B04C562.295">#REF!</definedName>
    <definedName name="MSTR.8569D7D14AB8E0A89493D09B0B04C562.296">#REF!</definedName>
    <definedName name="MSTR.8569D7D14AB8E0A89493D09B0B04C562.297">#REF!</definedName>
    <definedName name="MSTR.8569D7D14AB8E0A89493D09B0B04C562.298">#REF!</definedName>
    <definedName name="MSTR.8569D7D14AB8E0A89493D09B0B04C562.299">#REF!</definedName>
    <definedName name="MSTR.8569D7D14AB8E0A89493D09B0B04C562.3">#REF!</definedName>
    <definedName name="MSTR.8569D7D14AB8E0A89493D09B0B04C562.30">#REF!</definedName>
    <definedName name="MSTR.8569D7D14AB8E0A89493D09B0B04C562.300">#REF!</definedName>
    <definedName name="MSTR.8569D7D14AB8E0A89493D09B0B04C562.301">#REF!</definedName>
    <definedName name="MSTR.8569D7D14AB8E0A89493D09B0B04C562.302">#REF!</definedName>
    <definedName name="MSTR.8569D7D14AB8E0A89493D09B0B04C562.303">#REF!</definedName>
    <definedName name="MSTR.8569D7D14AB8E0A89493D09B0B04C562.304">#REF!</definedName>
    <definedName name="MSTR.8569D7D14AB8E0A89493D09B0B04C562.305">#REF!</definedName>
    <definedName name="MSTR.8569D7D14AB8E0A89493D09B0B04C562.306">#REF!</definedName>
    <definedName name="MSTR.8569D7D14AB8E0A89493D09B0B04C562.307">#REF!</definedName>
    <definedName name="MSTR.8569D7D14AB8E0A89493D09B0B04C562.308">#REF!</definedName>
    <definedName name="MSTR.8569D7D14AB8E0A89493D09B0B04C562.309">#REF!</definedName>
    <definedName name="MSTR.8569D7D14AB8E0A89493D09B0B04C562.31">#REF!</definedName>
    <definedName name="MSTR.8569D7D14AB8E0A89493D09B0B04C562.310">#REF!</definedName>
    <definedName name="MSTR.8569D7D14AB8E0A89493D09B0B04C562.311">#REF!</definedName>
    <definedName name="MSTR.8569D7D14AB8E0A89493D09B0B04C562.312">#REF!</definedName>
    <definedName name="MSTR.8569D7D14AB8E0A89493D09B0B04C562.313">#REF!</definedName>
    <definedName name="MSTR.8569D7D14AB8E0A89493D09B0B04C562.314">#REF!</definedName>
    <definedName name="MSTR.8569D7D14AB8E0A89493D09B0B04C562.315">#REF!</definedName>
    <definedName name="MSTR.8569D7D14AB8E0A89493D09B0B04C562.316">#REF!</definedName>
    <definedName name="MSTR.8569D7D14AB8E0A89493D09B0B04C562.317">#REF!</definedName>
    <definedName name="MSTR.8569D7D14AB8E0A89493D09B0B04C562.318">#REF!</definedName>
    <definedName name="MSTR.8569D7D14AB8E0A89493D09B0B04C562.319">#REF!</definedName>
    <definedName name="MSTR.8569D7D14AB8E0A89493D09B0B04C562.32">#REF!</definedName>
    <definedName name="MSTR.8569D7D14AB8E0A89493D09B0B04C562.320">#REF!</definedName>
    <definedName name="MSTR.8569D7D14AB8E0A89493D09B0B04C562.321">#REF!</definedName>
    <definedName name="MSTR.8569D7D14AB8E0A89493D09B0B04C562.322">#REF!</definedName>
    <definedName name="MSTR.8569D7D14AB8E0A89493D09B0B04C562.323">#REF!</definedName>
    <definedName name="MSTR.8569D7D14AB8E0A89493D09B0B04C562.324">#REF!</definedName>
    <definedName name="MSTR.8569D7D14AB8E0A89493D09B0B04C562.325">#REF!</definedName>
    <definedName name="MSTR.8569D7D14AB8E0A89493D09B0B04C562.326">#REF!</definedName>
    <definedName name="MSTR.8569D7D14AB8E0A89493D09B0B04C562.327">#REF!</definedName>
    <definedName name="MSTR.8569D7D14AB8E0A89493D09B0B04C562.328">#REF!</definedName>
    <definedName name="MSTR.8569D7D14AB8E0A89493D09B0B04C562.329">#REF!</definedName>
    <definedName name="MSTR.8569D7D14AB8E0A89493D09B0B04C562.33">#REF!</definedName>
    <definedName name="MSTR.8569D7D14AB8E0A89493D09B0B04C562.330">#REF!</definedName>
    <definedName name="MSTR.8569D7D14AB8E0A89493D09B0B04C562.331">#REF!</definedName>
    <definedName name="MSTR.8569D7D14AB8E0A89493D09B0B04C562.332">#REF!</definedName>
    <definedName name="MSTR.8569D7D14AB8E0A89493D09B0B04C562.333">#REF!</definedName>
    <definedName name="MSTR.8569D7D14AB8E0A89493D09B0B04C562.334">#REF!</definedName>
    <definedName name="MSTR.8569D7D14AB8E0A89493D09B0B04C562.335">#REF!</definedName>
    <definedName name="MSTR.8569D7D14AB8E0A89493D09B0B04C562.336">#REF!</definedName>
    <definedName name="MSTR.8569D7D14AB8E0A89493D09B0B04C562.337">#REF!</definedName>
    <definedName name="MSTR.8569D7D14AB8E0A89493D09B0B04C562.338">#REF!</definedName>
    <definedName name="MSTR.8569D7D14AB8E0A89493D09B0B04C562.339">#REF!</definedName>
    <definedName name="MSTR.8569D7D14AB8E0A89493D09B0B04C562.34">#REF!</definedName>
    <definedName name="MSTR.8569D7D14AB8E0A89493D09B0B04C562.340">#REF!</definedName>
    <definedName name="MSTR.8569D7D14AB8E0A89493D09B0B04C562.341">#REF!</definedName>
    <definedName name="MSTR.8569D7D14AB8E0A89493D09B0B04C562.342">#REF!</definedName>
    <definedName name="MSTR.8569D7D14AB8E0A89493D09B0B04C562.343">#REF!</definedName>
    <definedName name="MSTR.8569D7D14AB8E0A89493D09B0B04C562.344">#REF!</definedName>
    <definedName name="MSTR.8569D7D14AB8E0A89493D09B0B04C562.345">#REF!</definedName>
    <definedName name="MSTR.8569D7D14AB8E0A89493D09B0B04C562.346">#REF!</definedName>
    <definedName name="MSTR.8569D7D14AB8E0A89493D09B0B04C562.347">#REF!</definedName>
    <definedName name="MSTR.8569D7D14AB8E0A89493D09B0B04C562.348">#REF!</definedName>
    <definedName name="MSTR.8569D7D14AB8E0A89493D09B0B04C562.349">#REF!</definedName>
    <definedName name="MSTR.8569D7D14AB8E0A89493D09B0B04C562.35">#REF!</definedName>
    <definedName name="MSTR.8569D7D14AB8E0A89493D09B0B04C562.350">#REF!</definedName>
    <definedName name="MSTR.8569D7D14AB8E0A89493D09B0B04C562.351">#REF!</definedName>
    <definedName name="MSTR.8569D7D14AB8E0A89493D09B0B04C562.352">#REF!</definedName>
    <definedName name="MSTR.8569D7D14AB8E0A89493D09B0B04C562.353">#REF!</definedName>
    <definedName name="MSTR.8569D7D14AB8E0A89493D09B0B04C562.354">#REF!</definedName>
    <definedName name="MSTR.8569D7D14AB8E0A89493D09B0B04C562.355">#REF!</definedName>
    <definedName name="MSTR.8569D7D14AB8E0A89493D09B0B04C562.356">#REF!</definedName>
    <definedName name="MSTR.8569D7D14AB8E0A89493D09B0B04C562.357">#REF!</definedName>
    <definedName name="MSTR.8569D7D14AB8E0A89493D09B0B04C562.358">#REF!</definedName>
    <definedName name="MSTR.8569D7D14AB8E0A89493D09B0B04C562.359">#REF!</definedName>
    <definedName name="MSTR.8569D7D14AB8E0A89493D09B0B04C562.36">#REF!</definedName>
    <definedName name="MSTR.8569D7D14AB8E0A89493D09B0B04C562.360">#REF!</definedName>
    <definedName name="MSTR.8569D7D14AB8E0A89493D09B0B04C562.361">#REF!</definedName>
    <definedName name="MSTR.8569D7D14AB8E0A89493D09B0B04C562.362">#REF!</definedName>
    <definedName name="MSTR.8569D7D14AB8E0A89493D09B0B04C562.363">#REF!</definedName>
    <definedName name="MSTR.8569D7D14AB8E0A89493D09B0B04C562.364">#REF!</definedName>
    <definedName name="MSTR.8569D7D14AB8E0A89493D09B0B04C562.365">#REF!</definedName>
    <definedName name="MSTR.8569D7D14AB8E0A89493D09B0B04C562.366">#REF!</definedName>
    <definedName name="MSTR.8569D7D14AB8E0A89493D09B0B04C562.367">#REF!</definedName>
    <definedName name="MSTR.8569D7D14AB8E0A89493D09B0B04C562.368">#REF!</definedName>
    <definedName name="MSTR.8569D7D14AB8E0A89493D09B0B04C562.369">#REF!</definedName>
    <definedName name="MSTR.8569D7D14AB8E0A89493D09B0B04C562.37">#REF!</definedName>
    <definedName name="MSTR.8569D7D14AB8E0A89493D09B0B04C562.370">#REF!</definedName>
    <definedName name="MSTR.8569D7D14AB8E0A89493D09B0B04C562.371">#REF!</definedName>
    <definedName name="MSTR.8569D7D14AB8E0A89493D09B0B04C562.372">#REF!</definedName>
    <definedName name="MSTR.8569D7D14AB8E0A89493D09B0B04C562.373">#REF!</definedName>
    <definedName name="MSTR.8569D7D14AB8E0A89493D09B0B04C562.374">#REF!</definedName>
    <definedName name="MSTR.8569D7D14AB8E0A89493D09B0B04C562.375">#REF!</definedName>
    <definedName name="MSTR.8569D7D14AB8E0A89493D09B0B04C562.376">#REF!</definedName>
    <definedName name="MSTR.8569D7D14AB8E0A89493D09B0B04C562.377">#REF!</definedName>
    <definedName name="MSTR.8569D7D14AB8E0A89493D09B0B04C562.378">#REF!</definedName>
    <definedName name="MSTR.8569D7D14AB8E0A89493D09B0B04C562.379">#REF!</definedName>
    <definedName name="MSTR.8569D7D14AB8E0A89493D09B0B04C562.38">#REF!</definedName>
    <definedName name="MSTR.8569D7D14AB8E0A89493D09B0B04C562.380">#REF!</definedName>
    <definedName name="MSTR.8569D7D14AB8E0A89493D09B0B04C562.381">#REF!</definedName>
    <definedName name="MSTR.8569D7D14AB8E0A89493D09B0B04C562.382">#REF!</definedName>
    <definedName name="MSTR.8569D7D14AB8E0A89493D09B0B04C562.383">#REF!</definedName>
    <definedName name="MSTR.8569D7D14AB8E0A89493D09B0B04C562.384">#REF!</definedName>
    <definedName name="MSTR.8569D7D14AB8E0A89493D09B0B04C562.385">#REF!</definedName>
    <definedName name="MSTR.8569D7D14AB8E0A89493D09B0B04C562.386">#REF!</definedName>
    <definedName name="MSTR.8569D7D14AB8E0A89493D09B0B04C562.387">#REF!</definedName>
    <definedName name="MSTR.8569D7D14AB8E0A89493D09B0B04C562.388">#REF!</definedName>
    <definedName name="MSTR.8569D7D14AB8E0A89493D09B0B04C562.389">#REF!</definedName>
    <definedName name="MSTR.8569D7D14AB8E0A89493D09B0B04C562.39">#REF!</definedName>
    <definedName name="MSTR.8569D7D14AB8E0A89493D09B0B04C562.390">#REF!</definedName>
    <definedName name="MSTR.8569D7D14AB8E0A89493D09B0B04C562.391">#REF!</definedName>
    <definedName name="MSTR.8569D7D14AB8E0A89493D09B0B04C562.392">#REF!</definedName>
    <definedName name="MSTR.8569D7D14AB8E0A89493D09B0B04C562.393">#REF!</definedName>
    <definedName name="MSTR.8569D7D14AB8E0A89493D09B0B04C562.4">#REF!</definedName>
    <definedName name="MSTR.8569D7D14AB8E0A89493D09B0B04C562.40">#REF!</definedName>
    <definedName name="MSTR.8569D7D14AB8E0A89493D09B0B04C562.41">#REF!</definedName>
    <definedName name="MSTR.8569D7D14AB8E0A89493D09B0B04C562.42">#REF!</definedName>
    <definedName name="MSTR.8569D7D14AB8E0A89493D09B0B04C562.43">#REF!</definedName>
    <definedName name="MSTR.8569D7D14AB8E0A89493D09B0B04C562.44">#REF!</definedName>
    <definedName name="MSTR.8569D7D14AB8E0A89493D09B0B04C562.45">#REF!</definedName>
    <definedName name="MSTR.8569D7D14AB8E0A89493D09B0B04C562.46">#REF!</definedName>
    <definedName name="MSTR.8569D7D14AB8E0A89493D09B0B04C562.47">#REF!</definedName>
    <definedName name="MSTR.8569D7D14AB8E0A89493D09B0B04C562.48">#REF!</definedName>
    <definedName name="MSTR.8569D7D14AB8E0A89493D09B0B04C562.49">#REF!</definedName>
    <definedName name="MSTR.8569D7D14AB8E0A89493D09B0B04C562.5">#REF!</definedName>
    <definedName name="MSTR.8569D7D14AB8E0A89493D09B0B04C562.50">#REF!</definedName>
    <definedName name="MSTR.8569D7D14AB8E0A89493D09B0B04C562.51">#REF!</definedName>
    <definedName name="MSTR.8569D7D14AB8E0A89493D09B0B04C562.52">#REF!</definedName>
    <definedName name="MSTR.8569D7D14AB8E0A89493D09B0B04C562.53">#REF!</definedName>
    <definedName name="MSTR.8569D7D14AB8E0A89493D09B0B04C562.54">#REF!</definedName>
    <definedName name="MSTR.8569D7D14AB8E0A89493D09B0B04C562.55">#REF!</definedName>
    <definedName name="MSTR.8569D7D14AB8E0A89493D09B0B04C562.56">#REF!</definedName>
    <definedName name="MSTR.8569D7D14AB8E0A89493D09B0B04C562.57">#REF!</definedName>
    <definedName name="MSTR.8569D7D14AB8E0A89493D09B0B04C562.58">#REF!</definedName>
    <definedName name="MSTR.8569D7D14AB8E0A89493D09B0B04C562.59">#REF!</definedName>
    <definedName name="MSTR.8569D7D14AB8E0A89493D09B0B04C562.6">#REF!</definedName>
    <definedName name="MSTR.8569D7D14AB8E0A89493D09B0B04C562.60">#REF!</definedName>
    <definedName name="MSTR.8569D7D14AB8E0A89493D09B0B04C562.61">#REF!</definedName>
    <definedName name="MSTR.8569D7D14AB8E0A89493D09B0B04C562.62">#REF!</definedName>
    <definedName name="MSTR.8569D7D14AB8E0A89493D09B0B04C562.63">#REF!</definedName>
    <definedName name="MSTR.8569D7D14AB8E0A89493D09B0B04C562.64">#REF!</definedName>
    <definedName name="MSTR.8569D7D14AB8E0A89493D09B0B04C562.65">#REF!</definedName>
    <definedName name="MSTR.8569D7D14AB8E0A89493D09B0B04C562.66">#REF!</definedName>
    <definedName name="MSTR.8569D7D14AB8E0A89493D09B0B04C562.67">#REF!</definedName>
    <definedName name="MSTR.8569D7D14AB8E0A89493D09B0B04C562.68">#REF!</definedName>
    <definedName name="MSTR.8569D7D14AB8E0A89493D09B0B04C562.69">#REF!</definedName>
    <definedName name="MSTR.8569D7D14AB8E0A89493D09B0B04C562.7">#REF!</definedName>
    <definedName name="MSTR.8569D7D14AB8E0A89493D09B0B04C562.70">#REF!</definedName>
    <definedName name="MSTR.8569D7D14AB8E0A89493D09B0B04C562.71">#REF!</definedName>
    <definedName name="MSTR.8569D7D14AB8E0A89493D09B0B04C562.72">#REF!</definedName>
    <definedName name="MSTR.8569D7D14AB8E0A89493D09B0B04C562.73">#REF!</definedName>
    <definedName name="MSTR.8569D7D14AB8E0A89493D09B0B04C562.74">#REF!</definedName>
    <definedName name="MSTR.8569D7D14AB8E0A89493D09B0B04C562.75">#REF!</definedName>
    <definedName name="MSTR.8569D7D14AB8E0A89493D09B0B04C562.76">#REF!</definedName>
    <definedName name="MSTR.8569D7D14AB8E0A89493D09B0B04C562.77">#REF!</definedName>
    <definedName name="MSTR.8569D7D14AB8E0A89493D09B0B04C562.78">#REF!</definedName>
    <definedName name="MSTR.8569D7D14AB8E0A89493D09B0B04C562.79">#REF!</definedName>
    <definedName name="MSTR.8569D7D14AB8E0A89493D09B0B04C562.8">#REF!</definedName>
    <definedName name="MSTR.8569D7D14AB8E0A89493D09B0B04C562.80">#REF!</definedName>
    <definedName name="MSTR.8569D7D14AB8E0A89493D09B0B04C562.81">#REF!</definedName>
    <definedName name="MSTR.8569D7D14AB8E0A89493D09B0B04C562.82">#REF!</definedName>
    <definedName name="MSTR.8569D7D14AB8E0A89493D09B0B04C562.83">#REF!</definedName>
    <definedName name="MSTR.8569D7D14AB8E0A89493D09B0B04C562.84">#REF!</definedName>
    <definedName name="MSTR.8569D7D14AB8E0A89493D09B0B04C562.85">#REF!</definedName>
    <definedName name="MSTR.8569D7D14AB8E0A89493D09B0B04C562.86">#REF!</definedName>
    <definedName name="MSTR.8569D7D14AB8E0A89493D09B0B04C562.87">#REF!</definedName>
    <definedName name="MSTR.8569D7D14AB8E0A89493D09B0B04C562.88">#REF!</definedName>
    <definedName name="MSTR.8569D7D14AB8E0A89493D09B0B04C562.89">#REF!</definedName>
    <definedName name="MSTR.8569D7D14AB8E0A89493D09B0B04C562.9">#REF!</definedName>
    <definedName name="MSTR.8569D7D14AB8E0A89493D09B0B04C562.90">#REF!</definedName>
    <definedName name="MSTR.8569D7D14AB8E0A89493D09B0B04C562.91">#REF!</definedName>
    <definedName name="MSTR.8569D7D14AB8E0A89493D09B0B04C562.92">#REF!</definedName>
    <definedName name="MSTR.8569D7D14AB8E0A89493D09B0B04C562.93">#REF!</definedName>
    <definedName name="MSTR.8569D7D14AB8E0A89493D09B0B04C562.94">#REF!</definedName>
    <definedName name="MSTR.8569D7D14AB8E0A89493D09B0B04C562.95">#REF!</definedName>
    <definedName name="MSTR.8569D7D14AB8E0A89493D09B0B04C562.96">#REF!</definedName>
    <definedName name="MSTR.8569D7D14AB8E0A89493D09B0B04C562.97">#REF!</definedName>
    <definedName name="MSTR.8569D7D14AB8E0A89493D09B0B04C562.98">#REF!</definedName>
    <definedName name="MSTR.8569D7D14AB8E0A89493D09B0B04C562.99">#REF!</definedName>
    <definedName name="MSTR.85C6229C45F6074B7127208E69A9F05A">#REF!</definedName>
    <definedName name="MSTR.85C6229C45F6074B7127208E69A9F05A.1">#REF!</definedName>
    <definedName name="MSTR.85C6229C45F6074B7127208E69A9F05A.2">#REF!</definedName>
    <definedName name="MSTR.85C6229C45F6074B7127208E69A9F05A.3">#REF!</definedName>
    <definedName name="MSTR.85C6229C45F6074B7127208E69A9F05A.4">#REF!</definedName>
    <definedName name="MSTR.8A38786811E602457F460080EFD5FDC9">#REF!</definedName>
    <definedName name="MSTR.8A38786811E602457F460080EFD5FDC9.1">#REF!</definedName>
    <definedName name="MSTR.8A38786811E602457F460080EFD5FDC9.10">#REF!</definedName>
    <definedName name="MSTR.8A38786811E602457F460080EFD5FDC9.11">#REF!</definedName>
    <definedName name="MSTR.8A38786811E602457F460080EFD5FDC9.12">#REF!</definedName>
    <definedName name="MSTR.8A38786811E602457F460080EFD5FDC9.13">#REF!</definedName>
    <definedName name="MSTR.8A38786811E602457F460080EFD5FDC9.14">#REF!</definedName>
    <definedName name="MSTR.8A38786811E602457F460080EFD5FDC9.15">#REF!</definedName>
    <definedName name="MSTR.8A38786811E602457F460080EFD5FDC9.2">#REF!</definedName>
    <definedName name="MSTR.8A38786811E602457F460080EFD5FDC9.3">#REF!</definedName>
    <definedName name="MSTR.8A38786811E602457F460080EFD5FDC9.4">#REF!</definedName>
    <definedName name="MSTR.8A38786811E602457F460080EFD5FDC9.5">#REF!</definedName>
    <definedName name="MSTR.8A38786811E602457F460080EFD5FDC9.6">#REF!</definedName>
    <definedName name="MSTR.8A38786811E602457F460080EFD5FDC9.7">#REF!</definedName>
    <definedName name="MSTR.8A38786811E602457F460080EFD5FDC9.8">#REF!</definedName>
    <definedName name="MSTR.8A38786811E602457F460080EFD5FDC9.9">#REF!</definedName>
    <definedName name="MSTR.9C67AED411E6DE2F1D4C0080EF15F279">#REF!</definedName>
    <definedName name="MSTR.9C67AED411E6DE2F1D4C0080EF15F279.1">#REF!</definedName>
    <definedName name="MSTR.9C67AED411E6DE2F1D4C0080EF15F279.10">#REF!</definedName>
    <definedName name="MSTR.9C67AED411E6DE2F1D4C0080EF15F279.11">#REF!</definedName>
    <definedName name="MSTR.9C67AED411E6DE2F1D4C0080EF15F279.12">#REF!</definedName>
    <definedName name="MSTR.9C67AED411E6DE2F1D4C0080EF15F279.13">#REF!</definedName>
    <definedName name="MSTR.9C67AED411E6DE2F1D4C0080EF15F279.14">#REF!</definedName>
    <definedName name="MSTR.9C67AED411E6DE2F1D4C0080EF15F279.15">#REF!</definedName>
    <definedName name="MSTR.9C67AED411E6DE2F1D4C0080EF15F279.16">#REF!</definedName>
    <definedName name="MSTR.9C67AED411E6DE2F1D4C0080EF15F279.17">#REF!</definedName>
    <definedName name="MSTR.9C67AED411E6DE2F1D4C0080EF15F279.18">#REF!</definedName>
    <definedName name="MSTR.9C67AED411E6DE2F1D4C0080EF15F279.19">#REF!</definedName>
    <definedName name="MSTR.9C67AED411E6DE2F1D4C0080EF15F279.2">#REF!</definedName>
    <definedName name="MSTR.9C67AED411E6DE2F1D4C0080EF15F279.20">#REF!</definedName>
    <definedName name="MSTR.9C67AED411E6DE2F1D4C0080EF15F279.21">#REF!</definedName>
    <definedName name="MSTR.9C67AED411E6DE2F1D4C0080EF15F279.22">#REF!</definedName>
    <definedName name="MSTR.9C67AED411E6DE2F1D4C0080EF15F279.23">#REF!</definedName>
    <definedName name="MSTR.9C67AED411E6DE2F1D4C0080EF15F279.24">#REF!</definedName>
    <definedName name="MSTR.9C67AED411E6DE2F1D4C0080EF15F279.25">#REF!</definedName>
    <definedName name="MSTR.9C67AED411E6DE2F1D4C0080EF15F279.26">#REF!</definedName>
    <definedName name="MSTR.9C67AED411E6DE2F1D4C0080EF15F279.3">#REF!</definedName>
    <definedName name="MSTR.9C67AED411E6DE2F1D4C0080EF15F279.4">#REF!</definedName>
    <definedName name="MSTR.9C67AED411E6DE2F1D4C0080EF15F279.5">#REF!</definedName>
    <definedName name="MSTR.9C67AED411E6DE2F1D4C0080EF15F279.6">#REF!</definedName>
    <definedName name="MSTR.9C67AED411E6DE2F1D4C0080EF15F279.7">#REF!</definedName>
    <definedName name="MSTR.9C67AED411E6DE2F1D4C0080EF15F279.8">#REF!</definedName>
    <definedName name="MSTR.9C67AED411E6DE2F1D4C0080EF15F279.9">#REF!</definedName>
    <definedName name="MSTR.A206718C11E53FEC00000080EF6543B0">#REF!</definedName>
    <definedName name="MSTR.A206718C11E53FEC00000080EF6543B0.1">#REF!</definedName>
    <definedName name="MSTR.A206718C11E53FEC00000080EF6543B0.10">#REF!</definedName>
    <definedName name="MSTR.A206718C11E53FEC00000080EF6543B0.11">#REF!</definedName>
    <definedName name="MSTR.A206718C11E53FEC00000080EF6543B0.12">#REF!</definedName>
    <definedName name="MSTR.A206718C11E53FEC00000080EF6543B0.13">#REF!</definedName>
    <definedName name="MSTR.A206718C11E53FEC00000080EF6543B0.14">#REF!</definedName>
    <definedName name="MSTR.A206718C11E53FEC00000080EF6543B0.15">#REF!</definedName>
    <definedName name="MSTR.A206718C11E53FEC00000080EF6543B0.16">#REF!</definedName>
    <definedName name="MSTR.A206718C11E53FEC00000080EF6543B0.17">#REF!</definedName>
    <definedName name="MSTR.A206718C11E53FEC00000080EF6543B0.18">#REF!</definedName>
    <definedName name="MSTR.A206718C11E53FEC00000080EF6543B0.19">#REF!</definedName>
    <definedName name="MSTR.A206718C11E53FEC00000080EF6543B0.2">#REF!</definedName>
    <definedName name="MSTR.A206718C11E53FEC00000080EF6543B0.20">#REF!</definedName>
    <definedName name="MSTR.A206718C11E53FEC00000080EF6543B0.21">#REF!</definedName>
    <definedName name="MSTR.A206718C11E53FEC00000080EF6543B0.22">#REF!</definedName>
    <definedName name="MSTR.A206718C11E53FEC00000080EF6543B0.23">#REF!</definedName>
    <definedName name="MSTR.A206718C11E53FEC00000080EF6543B0.24">#REF!</definedName>
    <definedName name="MSTR.A206718C11E53FEC00000080EF6543B0.25">#REF!</definedName>
    <definedName name="MSTR.A206718C11E53FEC00000080EF6543B0.26">#REF!</definedName>
    <definedName name="MSTR.A206718C11E53FEC00000080EF6543B0.27">#REF!</definedName>
    <definedName name="MSTR.A206718C11E53FEC00000080EF6543B0.28">#REF!</definedName>
    <definedName name="MSTR.A206718C11E53FEC00000080EF6543B0.29">#REF!</definedName>
    <definedName name="MSTR.A206718C11E53FEC00000080EF6543B0.3">#REF!</definedName>
    <definedName name="MSTR.A206718C11E53FEC00000080EF6543B0.30">#REF!</definedName>
    <definedName name="MSTR.A206718C11E53FEC00000080EF6543B0.31">#REF!</definedName>
    <definedName name="MSTR.A206718C11E53FEC00000080EF6543B0.32">#REF!</definedName>
    <definedName name="MSTR.A206718C11E53FEC00000080EF6543B0.33">#REF!</definedName>
    <definedName name="MSTR.A206718C11E53FEC00000080EF6543B0.34">#REF!</definedName>
    <definedName name="MSTR.A206718C11E53FEC00000080EF6543B0.35">#REF!</definedName>
    <definedName name="MSTR.A206718C11E53FEC00000080EF6543B0.36">#REF!</definedName>
    <definedName name="MSTR.A206718C11E53FEC00000080EF6543B0.37">#REF!</definedName>
    <definedName name="MSTR.A206718C11E53FEC00000080EF6543B0.38">#REF!</definedName>
    <definedName name="MSTR.A206718C11E53FEC00000080EF6543B0.39">#REF!</definedName>
    <definedName name="MSTR.A206718C11E53FEC00000080EF6543B0.4">#REF!</definedName>
    <definedName name="MSTR.A206718C11E53FEC00000080EF6543B0.40">#REF!</definedName>
    <definedName name="MSTR.A206718C11E53FEC00000080EF6543B0.41">#REF!</definedName>
    <definedName name="MSTR.A206718C11E53FEC00000080EF6543B0.42">#REF!</definedName>
    <definedName name="MSTR.A206718C11E53FEC00000080EF6543B0.43">#REF!</definedName>
    <definedName name="MSTR.A206718C11E53FEC00000080EF6543B0.44">#REF!</definedName>
    <definedName name="MSTR.A206718C11E53FEC00000080EF6543B0.45">#REF!</definedName>
    <definedName name="MSTR.A206718C11E53FEC00000080EF6543B0.46">#REF!</definedName>
    <definedName name="MSTR.A206718C11E53FEC00000080EF6543B0.47">#REF!</definedName>
    <definedName name="MSTR.A206718C11E53FEC00000080EF6543B0.48">#REF!</definedName>
    <definedName name="MSTR.A206718C11E53FEC00000080EF6543B0.49">#REF!</definedName>
    <definedName name="MSTR.A206718C11E53FEC00000080EF6543B0.5">#REF!</definedName>
    <definedName name="MSTR.A206718C11E53FEC00000080EF6543B0.50">#REF!</definedName>
    <definedName name="MSTR.A206718C11E53FEC00000080EF6543B0.51">#REF!</definedName>
    <definedName name="MSTR.A206718C11E53FEC00000080EF6543B0.52">#REF!</definedName>
    <definedName name="MSTR.A206718C11E53FEC00000080EF6543B0.53">#REF!</definedName>
    <definedName name="MSTR.A206718C11E53FEC00000080EF6543B0.54">#REF!</definedName>
    <definedName name="MSTR.A206718C11E53FEC00000080EF6543B0.55">#REF!</definedName>
    <definedName name="MSTR.A206718C11E53FEC00000080EF6543B0.56">#REF!</definedName>
    <definedName name="MSTR.A206718C11E53FEC00000080EF6543B0.57">#REF!</definedName>
    <definedName name="MSTR.A206718C11E53FEC00000080EF6543B0.58">#REF!</definedName>
    <definedName name="MSTR.A206718C11E53FEC00000080EF6543B0.59">#REF!</definedName>
    <definedName name="MSTR.A206718C11E53FEC00000080EF6543B0.6">#REF!</definedName>
    <definedName name="MSTR.A206718C11E53FEC00000080EF6543B0.60">#REF!</definedName>
    <definedName name="MSTR.A206718C11E53FEC00000080EF6543B0.61">#REF!</definedName>
    <definedName name="MSTR.A206718C11E53FEC00000080EF6543B0.62">#REF!</definedName>
    <definedName name="MSTR.A206718C11E53FEC00000080EF6543B0.63">#REF!</definedName>
    <definedName name="MSTR.A206718C11E53FEC00000080EF6543B0.64">#REF!</definedName>
    <definedName name="MSTR.A206718C11E53FEC00000080EF6543B0.65">#REF!</definedName>
    <definedName name="MSTR.A206718C11E53FEC00000080EF6543B0.66">#REF!</definedName>
    <definedName name="MSTR.A206718C11E53FEC00000080EF6543B0.67">#REF!</definedName>
    <definedName name="MSTR.A206718C11E53FEC00000080EF6543B0.68">#REF!</definedName>
    <definedName name="MSTR.A206718C11E53FEC00000080EF6543B0.69">#REF!</definedName>
    <definedName name="MSTR.A206718C11E53FEC00000080EF6543B0.7">#REF!</definedName>
    <definedName name="MSTR.A206718C11E53FEC00000080EF6543B0.70">#REF!</definedName>
    <definedName name="MSTR.A206718C11E53FEC00000080EF6543B0.71">#REF!</definedName>
    <definedName name="MSTR.A206718C11E53FEC00000080EF6543B0.72">#REF!</definedName>
    <definedName name="MSTR.A206718C11E53FEC00000080EF6543B0.73">#REF!</definedName>
    <definedName name="MSTR.A206718C11E53FEC00000080EF6543B0.74">#REF!</definedName>
    <definedName name="MSTR.A206718C11E53FEC00000080EF6543B0.75">#REF!</definedName>
    <definedName name="MSTR.A206718C11E53FEC00000080EF6543B0.76">#REF!</definedName>
    <definedName name="MSTR.A206718C11E53FEC00000080EF6543B0.77">#REF!</definedName>
    <definedName name="MSTR.A206718C11E53FEC00000080EF6543B0.8">#REF!</definedName>
    <definedName name="MSTR.A206718C11E53FEC00000080EF6543B0.9">#REF!</definedName>
    <definedName name="MSTR.A34226D7460501864B3FABA8B44A8468">#REF!</definedName>
    <definedName name="MSTR.A34226D7460501864B3FABA8B44A8468.1">#REF!</definedName>
    <definedName name="MSTR.A34226D7460501864B3FABA8B44A8468.10">#REF!</definedName>
    <definedName name="MSTR.A34226D7460501864B3FABA8B44A8468.11">#REF!</definedName>
    <definedName name="MSTR.A34226D7460501864B3FABA8B44A8468.12">#REF!</definedName>
    <definedName name="MSTR.A34226D7460501864B3FABA8B44A8468.13">#REF!</definedName>
    <definedName name="MSTR.A34226D7460501864B3FABA8B44A8468.14">#REF!</definedName>
    <definedName name="MSTR.A34226D7460501864B3FABA8B44A8468.15">#REF!</definedName>
    <definedName name="MSTR.A34226D7460501864B3FABA8B44A8468.16">#REF!</definedName>
    <definedName name="MSTR.A34226D7460501864B3FABA8B44A8468.17">#REF!</definedName>
    <definedName name="MSTR.A34226D7460501864B3FABA8B44A8468.18">#REF!</definedName>
    <definedName name="MSTR.A34226D7460501864B3FABA8B44A8468.19">#REF!</definedName>
    <definedName name="MSTR.A34226D7460501864B3FABA8B44A8468.2">#REF!</definedName>
    <definedName name="MSTR.A34226D7460501864B3FABA8B44A8468.20">#REF!</definedName>
    <definedName name="MSTR.A34226D7460501864B3FABA8B44A8468.21">#REF!</definedName>
    <definedName name="MSTR.A34226D7460501864B3FABA8B44A8468.22">#REF!</definedName>
    <definedName name="MSTR.A34226D7460501864B3FABA8B44A8468.23">#REF!</definedName>
    <definedName name="MSTR.A34226D7460501864B3FABA8B44A8468.24">#REF!</definedName>
    <definedName name="MSTR.A34226D7460501864B3FABA8B44A8468.25">#REF!</definedName>
    <definedName name="MSTR.A34226D7460501864B3FABA8B44A8468.26">#REF!</definedName>
    <definedName name="MSTR.A34226D7460501864B3FABA8B44A8468.27">#REF!</definedName>
    <definedName name="MSTR.A34226D7460501864B3FABA8B44A8468.28">#REF!</definedName>
    <definedName name="MSTR.A34226D7460501864B3FABA8B44A8468.29">#REF!</definedName>
    <definedName name="MSTR.A34226D7460501864B3FABA8B44A8468.3">#REF!</definedName>
    <definedName name="MSTR.A34226D7460501864B3FABA8B44A8468.30">#REF!</definedName>
    <definedName name="MSTR.A34226D7460501864B3FABA8B44A8468.31">#REF!</definedName>
    <definedName name="MSTR.A34226D7460501864B3FABA8B44A8468.32">#REF!</definedName>
    <definedName name="MSTR.A34226D7460501864B3FABA8B44A8468.33">#REF!</definedName>
    <definedName name="MSTR.A34226D7460501864B3FABA8B44A8468.34">#REF!</definedName>
    <definedName name="MSTR.A34226D7460501864B3FABA8B44A8468.35">#REF!</definedName>
    <definedName name="MSTR.A34226D7460501864B3FABA8B44A8468.36">#REF!</definedName>
    <definedName name="MSTR.A34226D7460501864B3FABA8B44A8468.37">#REF!</definedName>
    <definedName name="MSTR.A34226D7460501864B3FABA8B44A8468.38">#REF!</definedName>
    <definedName name="MSTR.A34226D7460501864B3FABA8B44A8468.39">#REF!</definedName>
    <definedName name="MSTR.A34226D7460501864B3FABA8B44A8468.4">#REF!</definedName>
    <definedName name="MSTR.A34226D7460501864B3FABA8B44A8468.40">#REF!</definedName>
    <definedName name="MSTR.A34226D7460501864B3FABA8B44A8468.41">#REF!</definedName>
    <definedName name="MSTR.A34226D7460501864B3FABA8B44A8468.42">#REF!</definedName>
    <definedName name="MSTR.A34226D7460501864B3FABA8B44A8468.43">#REF!</definedName>
    <definedName name="MSTR.A34226D7460501864B3FABA8B44A8468.44">#REF!</definedName>
    <definedName name="MSTR.A34226D7460501864B3FABA8B44A8468.45">#REF!</definedName>
    <definedName name="MSTR.A34226D7460501864B3FABA8B44A8468.46">#REF!</definedName>
    <definedName name="MSTR.A34226D7460501864B3FABA8B44A8468.47">#REF!</definedName>
    <definedName name="MSTR.A34226D7460501864B3FABA8B44A8468.48">#REF!</definedName>
    <definedName name="MSTR.A34226D7460501864B3FABA8B44A8468.49">#REF!</definedName>
    <definedName name="MSTR.A34226D7460501864B3FABA8B44A8468.5">#REF!</definedName>
    <definedName name="MSTR.A34226D7460501864B3FABA8B44A8468.50">#REF!</definedName>
    <definedName name="MSTR.A34226D7460501864B3FABA8B44A8468.6">#REF!</definedName>
    <definedName name="MSTR.A34226D7460501864B3FABA8B44A8468.7">#REF!</definedName>
    <definedName name="MSTR.A34226D7460501864B3FABA8B44A8468.8">#REF!</definedName>
    <definedName name="MSTR.A34226D7460501864B3FABA8B44A8468.9">#REF!</definedName>
    <definedName name="MSTR.A6438B0611E712CF57180080EF954349">#REF!</definedName>
    <definedName name="MSTR.A6438B0611E712CF57180080EF954349.1">#REF!</definedName>
    <definedName name="MSTR.A6438B0611E712CF57180080EF954349.10">#REF!</definedName>
    <definedName name="MSTR.A6438B0611E712CF57180080EF954349.11">#REF!</definedName>
    <definedName name="MSTR.A6438B0611E712CF57180080EF954349.12">#REF!</definedName>
    <definedName name="MSTR.A6438B0611E712CF57180080EF954349.13">#REF!</definedName>
    <definedName name="MSTR.A6438B0611E712CF57180080EF954349.14">#REF!</definedName>
    <definedName name="MSTR.A6438B0611E712CF57180080EF954349.15">#REF!</definedName>
    <definedName name="MSTR.A6438B0611E712CF57180080EF954349.16">#REF!</definedName>
    <definedName name="MSTR.A6438B0611E712CF57180080EF954349.17">#REF!</definedName>
    <definedName name="MSTR.A6438B0611E712CF57180080EF954349.18">#REF!</definedName>
    <definedName name="MSTR.A6438B0611E712CF57180080EF954349.19">#REF!</definedName>
    <definedName name="MSTR.A6438B0611E712CF57180080EF954349.2">#REF!</definedName>
    <definedName name="MSTR.A6438B0611E712CF57180080EF954349.20">#REF!</definedName>
    <definedName name="MSTR.A6438B0611E712CF57180080EF954349.21">#REF!</definedName>
    <definedName name="MSTR.A6438B0611E712CF57180080EF954349.22">#REF!</definedName>
    <definedName name="MSTR.A6438B0611E712CF57180080EF954349.23">#REF!</definedName>
    <definedName name="MSTR.A6438B0611E712CF57180080EF954349.24">#REF!</definedName>
    <definedName name="MSTR.A6438B0611E712CF57180080EF954349.25">#REF!</definedName>
    <definedName name="MSTR.A6438B0611E712CF57180080EF954349.26">#REF!</definedName>
    <definedName name="MSTR.A6438B0611E712CF57180080EF954349.27">#REF!</definedName>
    <definedName name="MSTR.A6438B0611E712CF57180080EF954349.28">#REF!</definedName>
    <definedName name="MSTR.A6438B0611E712CF57180080EF954349.29">#REF!</definedName>
    <definedName name="MSTR.A6438B0611E712CF57180080EF954349.3">#REF!</definedName>
    <definedName name="MSTR.A6438B0611E712CF57180080EF954349.30">#REF!</definedName>
    <definedName name="MSTR.A6438B0611E712CF57180080EF954349.31">#REF!</definedName>
    <definedName name="MSTR.A6438B0611E712CF57180080EF954349.32">#REF!</definedName>
    <definedName name="MSTR.A6438B0611E712CF57180080EF954349.33">#REF!</definedName>
    <definedName name="MSTR.A6438B0611E712CF57180080EF954349.34">#REF!</definedName>
    <definedName name="MSTR.A6438B0611E712CF57180080EF954349.35">#REF!</definedName>
    <definedName name="MSTR.A6438B0611E712CF57180080EF954349.4">#REF!</definedName>
    <definedName name="MSTR.A6438B0611E712CF57180080EF954349.5">#REF!</definedName>
    <definedName name="MSTR.A6438B0611E712CF57180080EF954349.6">#REF!</definedName>
    <definedName name="MSTR.A6438B0611E712CF57180080EF954349.7">#REF!</definedName>
    <definedName name="MSTR.A6438B0611E712CF57180080EF954349.8">#REF!</definedName>
    <definedName name="MSTR.A6438B0611E712CF57180080EF954349.9">#REF!</definedName>
    <definedName name="MSTR.Ahorro_Enlace_Baleares__Diario_Simple_">#REF!</definedName>
    <definedName name="MSTR.Asignaciones__Mensual_simple_">#REF!</definedName>
    <definedName name="MSTR.Asignaciones__Periodo_simple___Combustible">#REF!</definedName>
    <definedName name="MSTR.Asignaciones_Gestión_de_desvíos">#REF!</definedName>
    <definedName name="MSTR.Asignaciones_Restricciones_TReal">#REF!</definedName>
    <definedName name="MSTR.B49E0E4A11E53FEC00000080EFF563AF">#REF!</definedName>
    <definedName name="MSTR.B49E0E4A11E53FEC00000080EFF563AF.1">#REF!</definedName>
    <definedName name="MSTR.B49E0E4A11E53FEC00000080EFF563AF.10">#REF!</definedName>
    <definedName name="MSTR.B49E0E4A11E53FEC00000080EFF563AF.11">#REF!</definedName>
    <definedName name="MSTR.B49E0E4A11E53FEC00000080EFF563AF.12">#REF!</definedName>
    <definedName name="MSTR.B49E0E4A11E53FEC00000080EFF563AF.13">#REF!</definedName>
    <definedName name="MSTR.B49E0E4A11E53FEC00000080EFF563AF.14">#REF!</definedName>
    <definedName name="MSTR.B49E0E4A11E53FEC00000080EFF563AF.15">#REF!</definedName>
    <definedName name="MSTR.B49E0E4A11E53FEC00000080EFF563AF.16">#REF!</definedName>
    <definedName name="MSTR.B49E0E4A11E53FEC00000080EFF563AF.17">#REF!</definedName>
    <definedName name="MSTR.B49E0E4A11E53FEC00000080EFF563AF.18">#REF!</definedName>
    <definedName name="MSTR.B49E0E4A11E53FEC00000080EFF563AF.19">#REF!</definedName>
    <definedName name="MSTR.B49E0E4A11E53FEC00000080EFF563AF.2">#REF!</definedName>
    <definedName name="MSTR.B49E0E4A11E53FEC00000080EFF563AF.20">#REF!</definedName>
    <definedName name="MSTR.B49E0E4A11E53FEC00000080EFF563AF.21">#REF!</definedName>
    <definedName name="MSTR.B49E0E4A11E53FEC00000080EFF563AF.22">#REF!</definedName>
    <definedName name="MSTR.B49E0E4A11E53FEC00000080EFF563AF.23">#REF!</definedName>
    <definedName name="MSTR.B49E0E4A11E53FEC00000080EFF563AF.24">#REF!</definedName>
    <definedName name="MSTR.B49E0E4A11E53FEC00000080EFF563AF.25">#REF!</definedName>
    <definedName name="MSTR.B49E0E4A11E53FEC00000080EFF563AF.26">#REF!</definedName>
    <definedName name="MSTR.B49E0E4A11E53FEC00000080EFF563AF.27">#REF!</definedName>
    <definedName name="MSTR.B49E0E4A11E53FEC00000080EFF563AF.28">#REF!</definedName>
    <definedName name="MSTR.B49E0E4A11E53FEC00000080EFF563AF.29">#REF!</definedName>
    <definedName name="MSTR.B49E0E4A11E53FEC00000080EFF563AF.3">#REF!</definedName>
    <definedName name="MSTR.B49E0E4A11E53FEC00000080EFF563AF.30">#REF!</definedName>
    <definedName name="MSTR.B49E0E4A11E53FEC00000080EFF563AF.31">#REF!</definedName>
    <definedName name="MSTR.B49E0E4A11E53FEC00000080EFF563AF.32">#REF!</definedName>
    <definedName name="MSTR.B49E0E4A11E53FEC00000080EFF563AF.33">#REF!</definedName>
    <definedName name="MSTR.B49E0E4A11E53FEC00000080EFF563AF.34">#REF!</definedName>
    <definedName name="MSTR.B49E0E4A11E53FEC00000080EFF563AF.35">#REF!</definedName>
    <definedName name="MSTR.B49E0E4A11E53FEC00000080EFF563AF.36">#REF!</definedName>
    <definedName name="MSTR.B49E0E4A11E53FEC00000080EFF563AF.37">#REF!</definedName>
    <definedName name="MSTR.B49E0E4A11E53FEC00000080EFF563AF.38">#REF!</definedName>
    <definedName name="MSTR.B49E0E4A11E53FEC00000080EFF563AF.39">#REF!</definedName>
    <definedName name="MSTR.B49E0E4A11E53FEC00000080EFF563AF.4">#REF!</definedName>
    <definedName name="MSTR.B49E0E4A11E53FEC00000080EFF563AF.40">#REF!</definedName>
    <definedName name="MSTR.B49E0E4A11E53FEC00000080EFF563AF.41">#REF!</definedName>
    <definedName name="MSTR.B49E0E4A11E53FEC00000080EFF563AF.42">#REF!</definedName>
    <definedName name="MSTR.B49E0E4A11E53FEC00000080EFF563AF.43">#REF!</definedName>
    <definedName name="MSTR.B49E0E4A11E53FEC00000080EFF563AF.44">#REF!</definedName>
    <definedName name="MSTR.B49E0E4A11E53FEC00000080EFF563AF.45">#REF!</definedName>
    <definedName name="MSTR.B49E0E4A11E53FEC00000080EFF563AF.46">#REF!</definedName>
    <definedName name="MSTR.B49E0E4A11E53FEC00000080EFF563AF.47">#REF!</definedName>
    <definedName name="MSTR.B49E0E4A11E53FEC00000080EFF563AF.48">#REF!</definedName>
    <definedName name="MSTR.B49E0E4A11E53FEC00000080EFF563AF.49">#REF!</definedName>
    <definedName name="MSTR.B49E0E4A11E53FEC00000080EFF563AF.5">#REF!</definedName>
    <definedName name="MSTR.B49E0E4A11E53FEC00000080EFF563AF.50">#REF!</definedName>
    <definedName name="MSTR.B49E0E4A11E53FEC00000080EFF563AF.51">#REF!</definedName>
    <definedName name="MSTR.B49E0E4A11E53FEC00000080EFF563AF.52">#REF!</definedName>
    <definedName name="MSTR.B49E0E4A11E53FEC00000080EFF563AF.53">#REF!</definedName>
    <definedName name="MSTR.B49E0E4A11E53FEC00000080EFF563AF.54">#REF!</definedName>
    <definedName name="MSTR.B49E0E4A11E53FEC00000080EFF563AF.55">#REF!</definedName>
    <definedName name="MSTR.B49E0E4A11E53FEC00000080EFF563AF.56">#REF!</definedName>
    <definedName name="MSTR.B49E0E4A11E53FEC00000080EFF563AF.57">#REF!</definedName>
    <definedName name="MSTR.B49E0E4A11E53FEC00000080EFF563AF.58">#REF!</definedName>
    <definedName name="MSTR.B49E0E4A11E53FEC00000080EFF563AF.59">#REF!</definedName>
    <definedName name="MSTR.B49E0E4A11E53FEC00000080EFF563AF.6">#REF!</definedName>
    <definedName name="MSTR.B49E0E4A11E53FEC00000080EFF563AF.60">#REF!</definedName>
    <definedName name="MSTR.B49E0E4A11E53FEC00000080EFF563AF.61">#REF!</definedName>
    <definedName name="MSTR.B49E0E4A11E53FEC00000080EFF563AF.62">#REF!</definedName>
    <definedName name="MSTR.B49E0E4A11E53FEC00000080EFF563AF.63">#REF!</definedName>
    <definedName name="MSTR.B49E0E4A11E53FEC00000080EFF563AF.64">#REF!</definedName>
    <definedName name="MSTR.B49E0E4A11E53FEC00000080EFF563AF.65">#REF!</definedName>
    <definedName name="MSTR.B49E0E4A11E53FEC00000080EFF563AF.66">#REF!</definedName>
    <definedName name="MSTR.B49E0E4A11E53FEC00000080EFF563AF.67">#REF!</definedName>
    <definedName name="MSTR.B49E0E4A11E53FEC00000080EFF563AF.68">#REF!</definedName>
    <definedName name="MSTR.B49E0E4A11E53FEC00000080EFF563AF.69">#REF!</definedName>
    <definedName name="MSTR.B49E0E4A11E53FEC00000080EFF563AF.7">#REF!</definedName>
    <definedName name="MSTR.B49E0E4A11E53FEC00000080EFF563AF.70">#REF!</definedName>
    <definedName name="MSTR.B49E0E4A11E53FEC00000080EFF563AF.71">#REF!</definedName>
    <definedName name="MSTR.B49E0E4A11E53FEC00000080EFF563AF.72">#REF!</definedName>
    <definedName name="MSTR.B49E0E4A11E53FEC00000080EFF563AF.8">#REF!</definedName>
    <definedName name="MSTR.B49E0E4A11E53FEC00000080EFF563AF.9">#REF!</definedName>
    <definedName name="MSTR.BALANCE">#REF!</definedName>
    <definedName name="MSTR.BALANCE1">#REF!</definedName>
    <definedName name="MSTR.BALANCE2">#REF!</definedName>
    <definedName name="MSTR.BALANCE3">#REF!</definedName>
    <definedName name="MSTR.C083CD4611E5943644E30080EF95049C">#REF!</definedName>
    <definedName name="MSTR.C083CD4611E5943644E30080EF95049C.1">#REF!</definedName>
    <definedName name="MSTR.C083CD4611E5943644E30080EF95049C.10">#REF!</definedName>
    <definedName name="MSTR.C083CD4611E5943644E30080EF95049C.100">#REF!</definedName>
    <definedName name="MSTR.C083CD4611E5943644E30080EF95049C.101">#REF!</definedName>
    <definedName name="MSTR.C083CD4611E5943644E30080EF95049C.102">#REF!</definedName>
    <definedName name="MSTR.C083CD4611E5943644E30080EF95049C.103">#REF!</definedName>
    <definedName name="MSTR.C083CD4611E5943644E30080EF95049C.104">#REF!</definedName>
    <definedName name="MSTR.C083CD4611E5943644E30080EF95049C.105">#REF!</definedName>
    <definedName name="MSTR.C083CD4611E5943644E30080EF95049C.106">#REF!</definedName>
    <definedName name="MSTR.C083CD4611E5943644E30080EF95049C.107">#REF!</definedName>
    <definedName name="MSTR.C083CD4611E5943644E30080EF95049C.108">#REF!</definedName>
    <definedName name="MSTR.C083CD4611E5943644E30080EF95049C.109">#REF!</definedName>
    <definedName name="MSTR.C083CD4611E5943644E30080EF95049C.11">#REF!</definedName>
    <definedName name="MSTR.C083CD4611E5943644E30080EF95049C.110">#REF!</definedName>
    <definedName name="MSTR.C083CD4611E5943644E30080EF95049C.111">#REF!</definedName>
    <definedName name="MSTR.C083CD4611E5943644E30080EF95049C.112">#REF!</definedName>
    <definedName name="MSTR.C083CD4611E5943644E30080EF95049C.113">#REF!</definedName>
    <definedName name="MSTR.C083CD4611E5943644E30080EF95049C.114">#REF!</definedName>
    <definedName name="MSTR.C083CD4611E5943644E30080EF95049C.115">#REF!</definedName>
    <definedName name="MSTR.C083CD4611E5943644E30080EF95049C.116">#REF!</definedName>
    <definedName name="MSTR.C083CD4611E5943644E30080EF95049C.117">#REF!</definedName>
    <definedName name="MSTR.C083CD4611E5943644E30080EF95049C.118">#REF!</definedName>
    <definedName name="MSTR.C083CD4611E5943644E30080EF95049C.119">#REF!</definedName>
    <definedName name="MSTR.C083CD4611E5943644E30080EF95049C.12">#REF!</definedName>
    <definedName name="MSTR.C083CD4611E5943644E30080EF95049C.120">#REF!</definedName>
    <definedName name="MSTR.C083CD4611E5943644E30080EF95049C.121">#REF!</definedName>
    <definedName name="MSTR.C083CD4611E5943644E30080EF95049C.122">#REF!</definedName>
    <definedName name="MSTR.C083CD4611E5943644E30080EF95049C.123">#REF!</definedName>
    <definedName name="MSTR.C083CD4611E5943644E30080EF95049C.124">#REF!</definedName>
    <definedName name="MSTR.C083CD4611E5943644E30080EF95049C.125">#REF!</definedName>
    <definedName name="MSTR.C083CD4611E5943644E30080EF95049C.126">#REF!</definedName>
    <definedName name="MSTR.C083CD4611E5943644E30080EF95049C.127">#REF!</definedName>
    <definedName name="MSTR.C083CD4611E5943644E30080EF95049C.128">#REF!</definedName>
    <definedName name="MSTR.C083CD4611E5943644E30080EF95049C.129">#REF!</definedName>
    <definedName name="MSTR.C083CD4611E5943644E30080EF95049C.13">#REF!</definedName>
    <definedName name="MSTR.C083CD4611E5943644E30080EF95049C.130">#REF!</definedName>
    <definedName name="MSTR.C083CD4611E5943644E30080EF95049C.131">#REF!</definedName>
    <definedName name="MSTR.C083CD4611E5943644E30080EF95049C.132">#REF!</definedName>
    <definedName name="MSTR.C083CD4611E5943644E30080EF95049C.133">#REF!</definedName>
    <definedName name="MSTR.C083CD4611E5943644E30080EF95049C.134">#REF!</definedName>
    <definedName name="MSTR.C083CD4611E5943644E30080EF95049C.135">#REF!</definedName>
    <definedName name="MSTR.C083CD4611E5943644E30080EF95049C.136">#REF!</definedName>
    <definedName name="MSTR.C083CD4611E5943644E30080EF95049C.137">#REF!</definedName>
    <definedName name="MSTR.C083CD4611E5943644E30080EF95049C.138">#REF!</definedName>
    <definedName name="MSTR.C083CD4611E5943644E30080EF95049C.139">#REF!</definedName>
    <definedName name="MSTR.C083CD4611E5943644E30080EF95049C.14">#REF!</definedName>
    <definedName name="MSTR.C083CD4611E5943644E30080EF95049C.140">#REF!</definedName>
    <definedName name="MSTR.C083CD4611E5943644E30080EF95049C.141">#REF!</definedName>
    <definedName name="MSTR.C083CD4611E5943644E30080EF95049C.142">#REF!</definedName>
    <definedName name="MSTR.C083CD4611E5943644E30080EF95049C.143">#REF!</definedName>
    <definedName name="MSTR.C083CD4611E5943644E30080EF95049C.144">#REF!</definedName>
    <definedName name="MSTR.C083CD4611E5943644E30080EF95049C.145">#REF!</definedName>
    <definedName name="MSTR.C083CD4611E5943644E30080EF95049C.146">#REF!</definedName>
    <definedName name="MSTR.C083CD4611E5943644E30080EF95049C.147">#REF!</definedName>
    <definedName name="MSTR.C083CD4611E5943644E30080EF95049C.148">#REF!</definedName>
    <definedName name="MSTR.C083CD4611E5943644E30080EF95049C.149">#REF!</definedName>
    <definedName name="MSTR.C083CD4611E5943644E30080EF95049C.15">#REF!</definedName>
    <definedName name="MSTR.C083CD4611E5943644E30080EF95049C.150">#REF!</definedName>
    <definedName name="MSTR.C083CD4611E5943644E30080EF95049C.151">#REF!</definedName>
    <definedName name="MSTR.C083CD4611E5943644E30080EF95049C.152">#REF!</definedName>
    <definedName name="MSTR.C083CD4611E5943644E30080EF95049C.153">#REF!</definedName>
    <definedName name="MSTR.C083CD4611E5943644E30080EF95049C.154">#REF!</definedName>
    <definedName name="MSTR.C083CD4611E5943644E30080EF95049C.155">#REF!</definedName>
    <definedName name="MSTR.C083CD4611E5943644E30080EF95049C.156">#REF!</definedName>
    <definedName name="MSTR.C083CD4611E5943644E30080EF95049C.157">#REF!</definedName>
    <definedName name="MSTR.C083CD4611E5943644E30080EF95049C.158">#REF!</definedName>
    <definedName name="MSTR.C083CD4611E5943644E30080EF95049C.159">#REF!</definedName>
    <definedName name="MSTR.C083CD4611E5943644E30080EF95049C.16">#REF!</definedName>
    <definedName name="MSTR.C083CD4611E5943644E30080EF95049C.160">#REF!</definedName>
    <definedName name="MSTR.C083CD4611E5943644E30080EF95049C.161">#REF!</definedName>
    <definedName name="MSTR.C083CD4611E5943644E30080EF95049C.162">#REF!</definedName>
    <definedName name="MSTR.C083CD4611E5943644E30080EF95049C.163">#REF!</definedName>
    <definedName name="MSTR.C083CD4611E5943644E30080EF95049C.164">#REF!</definedName>
    <definedName name="MSTR.C083CD4611E5943644E30080EF95049C.165">#REF!</definedName>
    <definedName name="MSTR.C083CD4611E5943644E30080EF95049C.166">#REF!</definedName>
    <definedName name="MSTR.C083CD4611E5943644E30080EF95049C.167">#REF!</definedName>
    <definedName name="MSTR.C083CD4611E5943644E30080EF95049C.168">#REF!</definedName>
    <definedName name="MSTR.C083CD4611E5943644E30080EF95049C.169">#REF!</definedName>
    <definedName name="MSTR.C083CD4611E5943644E30080EF95049C.17">#REF!</definedName>
    <definedName name="MSTR.C083CD4611E5943644E30080EF95049C.170">#REF!</definedName>
    <definedName name="MSTR.C083CD4611E5943644E30080EF95049C.171">#REF!</definedName>
    <definedName name="MSTR.C083CD4611E5943644E30080EF95049C.172">#REF!</definedName>
    <definedName name="MSTR.C083CD4611E5943644E30080EF95049C.173">#REF!</definedName>
    <definedName name="MSTR.C083CD4611E5943644E30080EF95049C.174">#REF!</definedName>
    <definedName name="MSTR.C083CD4611E5943644E30080EF95049C.175">#REF!</definedName>
    <definedName name="MSTR.C083CD4611E5943644E30080EF95049C.176">#REF!</definedName>
    <definedName name="MSTR.C083CD4611E5943644E30080EF95049C.177">#REF!</definedName>
    <definedName name="MSTR.C083CD4611E5943644E30080EF95049C.178">#REF!</definedName>
    <definedName name="MSTR.C083CD4611E5943644E30080EF95049C.179">#REF!</definedName>
    <definedName name="MSTR.C083CD4611E5943644E30080EF95049C.18">#REF!</definedName>
    <definedName name="MSTR.C083CD4611E5943644E30080EF95049C.180">#REF!</definedName>
    <definedName name="MSTR.C083CD4611E5943644E30080EF95049C.181">#REF!</definedName>
    <definedName name="MSTR.C083CD4611E5943644E30080EF95049C.182">#REF!</definedName>
    <definedName name="MSTR.C083CD4611E5943644E30080EF95049C.183">#REF!</definedName>
    <definedName name="MSTR.C083CD4611E5943644E30080EF95049C.184">#REF!</definedName>
    <definedName name="MSTR.C083CD4611E5943644E30080EF95049C.185">#REF!</definedName>
    <definedName name="MSTR.C083CD4611E5943644E30080EF95049C.186">#REF!</definedName>
    <definedName name="MSTR.C083CD4611E5943644E30080EF95049C.187">#REF!</definedName>
    <definedName name="MSTR.C083CD4611E5943644E30080EF95049C.188">#REF!</definedName>
    <definedName name="MSTR.C083CD4611E5943644E30080EF95049C.189">#REF!</definedName>
    <definedName name="MSTR.C083CD4611E5943644E30080EF95049C.19">#REF!</definedName>
    <definedName name="MSTR.C083CD4611E5943644E30080EF95049C.190">#REF!</definedName>
    <definedName name="MSTR.C083CD4611E5943644E30080EF95049C.191">#REF!</definedName>
    <definedName name="MSTR.C083CD4611E5943644E30080EF95049C.192">#REF!</definedName>
    <definedName name="MSTR.C083CD4611E5943644E30080EF95049C.193">#REF!</definedName>
    <definedName name="MSTR.C083CD4611E5943644E30080EF95049C.194">#REF!</definedName>
    <definedName name="MSTR.C083CD4611E5943644E30080EF95049C.195">#REF!</definedName>
    <definedName name="MSTR.C083CD4611E5943644E30080EF95049C.196">#REF!</definedName>
    <definedName name="MSTR.C083CD4611E5943644E30080EF95049C.197">#REF!</definedName>
    <definedName name="MSTR.C083CD4611E5943644E30080EF95049C.198">#REF!</definedName>
    <definedName name="MSTR.C083CD4611E5943644E30080EF95049C.199">#REF!</definedName>
    <definedName name="MSTR.C083CD4611E5943644E30080EF95049C.2">#REF!</definedName>
    <definedName name="MSTR.C083CD4611E5943644E30080EF95049C.20">#REF!</definedName>
    <definedName name="MSTR.C083CD4611E5943644E30080EF95049C.200">#REF!</definedName>
    <definedName name="MSTR.C083CD4611E5943644E30080EF95049C.201">#REF!</definedName>
    <definedName name="MSTR.C083CD4611E5943644E30080EF95049C.202">#REF!</definedName>
    <definedName name="MSTR.C083CD4611E5943644E30080EF95049C.203">#REF!</definedName>
    <definedName name="MSTR.C083CD4611E5943644E30080EF95049C.204">#REF!</definedName>
    <definedName name="MSTR.C083CD4611E5943644E30080EF95049C.205">#REF!</definedName>
    <definedName name="MSTR.C083CD4611E5943644E30080EF95049C.206">#REF!</definedName>
    <definedName name="MSTR.C083CD4611E5943644E30080EF95049C.207">#REF!</definedName>
    <definedName name="MSTR.C083CD4611E5943644E30080EF95049C.208">#REF!</definedName>
    <definedName name="MSTR.C083CD4611E5943644E30080EF95049C.209">#REF!</definedName>
    <definedName name="MSTR.C083CD4611E5943644E30080EF95049C.21">#REF!</definedName>
    <definedName name="MSTR.C083CD4611E5943644E30080EF95049C.210">#REF!</definedName>
    <definedName name="MSTR.C083CD4611E5943644E30080EF95049C.211">#REF!</definedName>
    <definedName name="MSTR.C083CD4611E5943644E30080EF95049C.212">#REF!</definedName>
    <definedName name="MSTR.C083CD4611E5943644E30080EF95049C.213">#REF!</definedName>
    <definedName name="MSTR.C083CD4611E5943644E30080EF95049C.214">#REF!</definedName>
    <definedName name="MSTR.C083CD4611E5943644E30080EF95049C.215">#REF!</definedName>
    <definedName name="MSTR.C083CD4611E5943644E30080EF95049C.216">#REF!</definedName>
    <definedName name="MSTR.C083CD4611E5943644E30080EF95049C.217">#REF!</definedName>
    <definedName name="MSTR.C083CD4611E5943644E30080EF95049C.218">#REF!</definedName>
    <definedName name="MSTR.C083CD4611E5943644E30080EF95049C.219">#REF!</definedName>
    <definedName name="MSTR.C083CD4611E5943644E30080EF95049C.22">#REF!</definedName>
    <definedName name="MSTR.C083CD4611E5943644E30080EF95049C.220">#REF!</definedName>
    <definedName name="MSTR.C083CD4611E5943644E30080EF95049C.221">#REF!</definedName>
    <definedName name="MSTR.C083CD4611E5943644E30080EF95049C.222">#REF!</definedName>
    <definedName name="MSTR.C083CD4611E5943644E30080EF95049C.223">#REF!</definedName>
    <definedName name="MSTR.C083CD4611E5943644E30080EF95049C.224">#REF!</definedName>
    <definedName name="MSTR.C083CD4611E5943644E30080EF95049C.225">#REF!</definedName>
    <definedName name="MSTR.C083CD4611E5943644E30080EF95049C.226">#REF!</definedName>
    <definedName name="MSTR.C083CD4611E5943644E30080EF95049C.227">#REF!</definedName>
    <definedName name="MSTR.C083CD4611E5943644E30080EF95049C.228">#REF!</definedName>
    <definedName name="MSTR.C083CD4611E5943644E30080EF95049C.229">#REF!</definedName>
    <definedName name="MSTR.C083CD4611E5943644E30080EF95049C.23">#REF!</definedName>
    <definedName name="MSTR.C083CD4611E5943644E30080EF95049C.230">#REF!</definedName>
    <definedName name="MSTR.C083CD4611E5943644E30080EF95049C.231">#REF!</definedName>
    <definedName name="MSTR.C083CD4611E5943644E30080EF95049C.232">#REF!</definedName>
    <definedName name="MSTR.C083CD4611E5943644E30080EF95049C.233">#REF!</definedName>
    <definedName name="MSTR.C083CD4611E5943644E30080EF95049C.234">#REF!</definedName>
    <definedName name="MSTR.C083CD4611E5943644E30080EF95049C.235">#REF!</definedName>
    <definedName name="MSTR.C083CD4611E5943644E30080EF95049C.236">#REF!</definedName>
    <definedName name="MSTR.C083CD4611E5943644E30080EF95049C.237">#REF!</definedName>
    <definedName name="MSTR.C083CD4611E5943644E30080EF95049C.238">#REF!</definedName>
    <definedName name="MSTR.C083CD4611E5943644E30080EF95049C.239">#REF!</definedName>
    <definedName name="MSTR.C083CD4611E5943644E30080EF95049C.24">#REF!</definedName>
    <definedName name="MSTR.C083CD4611E5943644E30080EF95049C.240">#REF!</definedName>
    <definedName name="MSTR.C083CD4611E5943644E30080EF95049C.241">#REF!</definedName>
    <definedName name="MSTR.C083CD4611E5943644E30080EF95049C.242">#REF!</definedName>
    <definedName name="MSTR.C083CD4611E5943644E30080EF95049C.243">#REF!</definedName>
    <definedName name="MSTR.C083CD4611E5943644E30080EF95049C.244">#REF!</definedName>
    <definedName name="MSTR.C083CD4611E5943644E30080EF95049C.245">#REF!</definedName>
    <definedName name="MSTR.C083CD4611E5943644E30080EF95049C.246">#REF!</definedName>
    <definedName name="MSTR.C083CD4611E5943644E30080EF95049C.247">#REF!</definedName>
    <definedName name="MSTR.C083CD4611E5943644E30080EF95049C.248">#REF!</definedName>
    <definedName name="MSTR.C083CD4611E5943644E30080EF95049C.249">#REF!</definedName>
    <definedName name="MSTR.C083CD4611E5943644E30080EF95049C.25">#REF!</definedName>
    <definedName name="MSTR.C083CD4611E5943644E30080EF95049C.250">#REF!</definedName>
    <definedName name="MSTR.C083CD4611E5943644E30080EF95049C.251">#REF!</definedName>
    <definedName name="MSTR.C083CD4611E5943644E30080EF95049C.252">#REF!</definedName>
    <definedName name="MSTR.C083CD4611E5943644E30080EF95049C.253">#REF!</definedName>
    <definedName name="MSTR.C083CD4611E5943644E30080EF95049C.254">#REF!</definedName>
    <definedName name="MSTR.C083CD4611E5943644E30080EF95049C.255">#REF!</definedName>
    <definedName name="MSTR.C083CD4611E5943644E30080EF95049C.256">#REF!</definedName>
    <definedName name="MSTR.C083CD4611E5943644E30080EF95049C.257">#REF!</definedName>
    <definedName name="MSTR.C083CD4611E5943644E30080EF95049C.258">#REF!</definedName>
    <definedName name="MSTR.C083CD4611E5943644E30080EF95049C.259">#REF!</definedName>
    <definedName name="MSTR.C083CD4611E5943644E30080EF95049C.26">#REF!</definedName>
    <definedName name="MSTR.C083CD4611E5943644E30080EF95049C.260">#REF!</definedName>
    <definedName name="MSTR.C083CD4611E5943644E30080EF95049C.261">#REF!</definedName>
    <definedName name="MSTR.C083CD4611E5943644E30080EF95049C.262">#REF!</definedName>
    <definedName name="MSTR.C083CD4611E5943644E30080EF95049C.263">#REF!</definedName>
    <definedName name="MSTR.C083CD4611E5943644E30080EF95049C.264">#REF!</definedName>
    <definedName name="MSTR.C083CD4611E5943644E30080EF95049C.265">#REF!</definedName>
    <definedName name="MSTR.C083CD4611E5943644E30080EF95049C.266">#REF!</definedName>
    <definedName name="MSTR.C083CD4611E5943644E30080EF95049C.267">#REF!</definedName>
    <definedName name="MSTR.C083CD4611E5943644E30080EF95049C.268">#REF!</definedName>
    <definedName name="MSTR.C083CD4611E5943644E30080EF95049C.269">#REF!</definedName>
    <definedName name="MSTR.C083CD4611E5943644E30080EF95049C.27">#REF!</definedName>
    <definedName name="MSTR.C083CD4611E5943644E30080EF95049C.270">#REF!</definedName>
    <definedName name="MSTR.C083CD4611E5943644E30080EF95049C.271">#REF!</definedName>
    <definedName name="MSTR.C083CD4611E5943644E30080EF95049C.272">#REF!</definedName>
    <definedName name="MSTR.C083CD4611E5943644E30080EF95049C.273">#REF!</definedName>
    <definedName name="MSTR.C083CD4611E5943644E30080EF95049C.274">#REF!</definedName>
    <definedName name="MSTR.C083CD4611E5943644E30080EF95049C.275">#REF!</definedName>
    <definedName name="MSTR.C083CD4611E5943644E30080EF95049C.276">#REF!</definedName>
    <definedName name="MSTR.C083CD4611E5943644E30080EF95049C.277">#REF!</definedName>
    <definedName name="MSTR.C083CD4611E5943644E30080EF95049C.278">#REF!</definedName>
    <definedName name="MSTR.C083CD4611E5943644E30080EF95049C.279">#REF!</definedName>
    <definedName name="MSTR.C083CD4611E5943644E30080EF95049C.28">#REF!</definedName>
    <definedName name="MSTR.C083CD4611E5943644E30080EF95049C.280">#REF!</definedName>
    <definedName name="MSTR.C083CD4611E5943644E30080EF95049C.281">#REF!</definedName>
    <definedName name="MSTR.C083CD4611E5943644E30080EF95049C.282">#REF!</definedName>
    <definedName name="MSTR.C083CD4611E5943644E30080EF95049C.283">#REF!</definedName>
    <definedName name="MSTR.C083CD4611E5943644E30080EF95049C.284">#REF!</definedName>
    <definedName name="MSTR.C083CD4611E5943644E30080EF95049C.285">#REF!</definedName>
    <definedName name="MSTR.C083CD4611E5943644E30080EF95049C.286">#REF!</definedName>
    <definedName name="MSTR.C083CD4611E5943644E30080EF95049C.287">#REF!</definedName>
    <definedName name="MSTR.C083CD4611E5943644E30080EF95049C.288">#REF!</definedName>
    <definedName name="MSTR.C083CD4611E5943644E30080EF95049C.289">#REF!</definedName>
    <definedName name="MSTR.C083CD4611E5943644E30080EF95049C.29">#REF!</definedName>
    <definedName name="MSTR.C083CD4611E5943644E30080EF95049C.290">#REF!</definedName>
    <definedName name="MSTR.C083CD4611E5943644E30080EF95049C.291">#REF!</definedName>
    <definedName name="MSTR.C083CD4611E5943644E30080EF95049C.292">#REF!</definedName>
    <definedName name="MSTR.C083CD4611E5943644E30080EF95049C.293">#REF!</definedName>
    <definedName name="MSTR.C083CD4611E5943644E30080EF95049C.294">#REF!</definedName>
    <definedName name="MSTR.C083CD4611E5943644E30080EF95049C.295">#REF!</definedName>
    <definedName name="MSTR.C083CD4611E5943644E30080EF95049C.296">#REF!</definedName>
    <definedName name="MSTR.C083CD4611E5943644E30080EF95049C.297">#REF!</definedName>
    <definedName name="MSTR.C083CD4611E5943644E30080EF95049C.298">#REF!</definedName>
    <definedName name="MSTR.C083CD4611E5943644E30080EF95049C.299">#REF!</definedName>
    <definedName name="MSTR.C083CD4611E5943644E30080EF95049C.3">#REF!</definedName>
    <definedName name="MSTR.C083CD4611E5943644E30080EF95049C.30">#REF!</definedName>
    <definedName name="MSTR.C083CD4611E5943644E30080EF95049C.300">#REF!</definedName>
    <definedName name="MSTR.C083CD4611E5943644E30080EF95049C.301">#REF!</definedName>
    <definedName name="MSTR.C083CD4611E5943644E30080EF95049C.302">#REF!</definedName>
    <definedName name="MSTR.C083CD4611E5943644E30080EF95049C.303">#REF!</definedName>
    <definedName name="MSTR.C083CD4611E5943644E30080EF95049C.304">#REF!</definedName>
    <definedName name="MSTR.C083CD4611E5943644E30080EF95049C.305">#REF!</definedName>
    <definedName name="MSTR.C083CD4611E5943644E30080EF95049C.306">#REF!</definedName>
    <definedName name="MSTR.C083CD4611E5943644E30080EF95049C.307">#REF!</definedName>
    <definedName name="MSTR.C083CD4611E5943644E30080EF95049C.308">#REF!</definedName>
    <definedName name="MSTR.C083CD4611E5943644E30080EF95049C.309">#REF!</definedName>
    <definedName name="MSTR.C083CD4611E5943644E30080EF95049C.31">#REF!</definedName>
    <definedName name="MSTR.C083CD4611E5943644E30080EF95049C.310">#REF!</definedName>
    <definedName name="MSTR.C083CD4611E5943644E30080EF95049C.311">#REF!</definedName>
    <definedName name="MSTR.C083CD4611E5943644E30080EF95049C.312">#REF!</definedName>
    <definedName name="MSTR.C083CD4611E5943644E30080EF95049C.313">#REF!</definedName>
    <definedName name="MSTR.C083CD4611E5943644E30080EF95049C.314">#REF!</definedName>
    <definedName name="MSTR.C083CD4611E5943644E30080EF95049C.315">#REF!</definedName>
    <definedName name="MSTR.C083CD4611E5943644E30080EF95049C.316">#REF!</definedName>
    <definedName name="MSTR.C083CD4611E5943644E30080EF95049C.317">#REF!</definedName>
    <definedName name="MSTR.C083CD4611E5943644E30080EF95049C.318">#REF!</definedName>
    <definedName name="MSTR.C083CD4611E5943644E30080EF95049C.319">#REF!</definedName>
    <definedName name="MSTR.C083CD4611E5943644E30080EF95049C.32">#REF!</definedName>
    <definedName name="MSTR.C083CD4611E5943644E30080EF95049C.320">#REF!</definedName>
    <definedName name="MSTR.C083CD4611E5943644E30080EF95049C.321">#REF!</definedName>
    <definedName name="MSTR.C083CD4611E5943644E30080EF95049C.322">#REF!</definedName>
    <definedName name="MSTR.C083CD4611E5943644E30080EF95049C.323">#REF!</definedName>
    <definedName name="MSTR.C083CD4611E5943644E30080EF95049C.324">#REF!</definedName>
    <definedName name="MSTR.C083CD4611E5943644E30080EF95049C.325">#REF!</definedName>
    <definedName name="MSTR.C083CD4611E5943644E30080EF95049C.326">#REF!</definedName>
    <definedName name="MSTR.C083CD4611E5943644E30080EF95049C.327">#REF!</definedName>
    <definedName name="MSTR.C083CD4611E5943644E30080EF95049C.328">#REF!</definedName>
    <definedName name="MSTR.C083CD4611E5943644E30080EF95049C.329">#REF!</definedName>
    <definedName name="MSTR.C083CD4611E5943644E30080EF95049C.33">#REF!</definedName>
    <definedName name="MSTR.C083CD4611E5943644E30080EF95049C.330">#REF!</definedName>
    <definedName name="MSTR.C083CD4611E5943644E30080EF95049C.331">#REF!</definedName>
    <definedName name="MSTR.C083CD4611E5943644E30080EF95049C.332">#REF!</definedName>
    <definedName name="MSTR.C083CD4611E5943644E30080EF95049C.333">#REF!</definedName>
    <definedName name="MSTR.C083CD4611E5943644E30080EF95049C.334">#REF!</definedName>
    <definedName name="MSTR.C083CD4611E5943644E30080EF95049C.335">#REF!</definedName>
    <definedName name="MSTR.C083CD4611E5943644E30080EF95049C.336">#REF!</definedName>
    <definedName name="MSTR.C083CD4611E5943644E30080EF95049C.337">#REF!</definedName>
    <definedName name="MSTR.C083CD4611E5943644E30080EF95049C.338">#REF!</definedName>
    <definedName name="MSTR.C083CD4611E5943644E30080EF95049C.339">#REF!</definedName>
    <definedName name="MSTR.C083CD4611E5943644E30080EF95049C.34">#REF!</definedName>
    <definedName name="MSTR.C083CD4611E5943644E30080EF95049C.340">#REF!</definedName>
    <definedName name="MSTR.C083CD4611E5943644E30080EF95049C.341">#REF!</definedName>
    <definedName name="MSTR.C083CD4611E5943644E30080EF95049C.342">#REF!</definedName>
    <definedName name="MSTR.C083CD4611E5943644E30080EF95049C.343">#REF!</definedName>
    <definedName name="MSTR.C083CD4611E5943644E30080EF95049C.344">#REF!</definedName>
    <definedName name="MSTR.C083CD4611E5943644E30080EF95049C.345">#REF!</definedName>
    <definedName name="MSTR.C083CD4611E5943644E30080EF95049C.346">#REF!</definedName>
    <definedName name="MSTR.C083CD4611E5943644E30080EF95049C.347">#REF!</definedName>
    <definedName name="MSTR.C083CD4611E5943644E30080EF95049C.348">#REF!</definedName>
    <definedName name="MSTR.C083CD4611E5943644E30080EF95049C.349">#REF!</definedName>
    <definedName name="MSTR.C083CD4611E5943644E30080EF95049C.35">#REF!</definedName>
    <definedName name="MSTR.C083CD4611E5943644E30080EF95049C.350">#REF!</definedName>
    <definedName name="MSTR.C083CD4611E5943644E30080EF95049C.351">#REF!</definedName>
    <definedName name="MSTR.C083CD4611E5943644E30080EF95049C.352">#REF!</definedName>
    <definedName name="MSTR.C083CD4611E5943644E30080EF95049C.353">#REF!</definedName>
    <definedName name="MSTR.C083CD4611E5943644E30080EF95049C.354">#REF!</definedName>
    <definedName name="MSTR.C083CD4611E5943644E30080EF95049C.355">#REF!</definedName>
    <definedName name="MSTR.C083CD4611E5943644E30080EF95049C.356">#REF!</definedName>
    <definedName name="MSTR.C083CD4611E5943644E30080EF95049C.357">#REF!</definedName>
    <definedName name="MSTR.C083CD4611E5943644E30080EF95049C.358">#REF!</definedName>
    <definedName name="MSTR.C083CD4611E5943644E30080EF95049C.359">#REF!</definedName>
    <definedName name="MSTR.C083CD4611E5943644E30080EF95049C.36">#REF!</definedName>
    <definedName name="MSTR.C083CD4611E5943644E30080EF95049C.360">#REF!</definedName>
    <definedName name="MSTR.C083CD4611E5943644E30080EF95049C.361">#REF!</definedName>
    <definedName name="MSTR.C083CD4611E5943644E30080EF95049C.362">#REF!</definedName>
    <definedName name="MSTR.C083CD4611E5943644E30080EF95049C.363">#REF!</definedName>
    <definedName name="MSTR.C083CD4611E5943644E30080EF95049C.364">#REF!</definedName>
    <definedName name="MSTR.C083CD4611E5943644E30080EF95049C.365">#REF!</definedName>
    <definedName name="MSTR.C083CD4611E5943644E30080EF95049C.366">#REF!</definedName>
    <definedName name="MSTR.C083CD4611E5943644E30080EF95049C.367">#REF!</definedName>
    <definedName name="MSTR.C083CD4611E5943644E30080EF95049C.368">#REF!</definedName>
    <definedName name="MSTR.C083CD4611E5943644E30080EF95049C.369">#REF!</definedName>
    <definedName name="MSTR.C083CD4611E5943644E30080EF95049C.37">#REF!</definedName>
    <definedName name="MSTR.C083CD4611E5943644E30080EF95049C.370">#REF!</definedName>
    <definedName name="MSTR.C083CD4611E5943644E30080EF95049C.371">#REF!</definedName>
    <definedName name="MSTR.C083CD4611E5943644E30080EF95049C.372">#REF!</definedName>
    <definedName name="MSTR.C083CD4611E5943644E30080EF95049C.373">#REF!</definedName>
    <definedName name="MSTR.C083CD4611E5943644E30080EF95049C.374">#REF!</definedName>
    <definedName name="MSTR.C083CD4611E5943644E30080EF95049C.375">#REF!</definedName>
    <definedName name="MSTR.C083CD4611E5943644E30080EF95049C.376">#REF!</definedName>
    <definedName name="MSTR.C083CD4611E5943644E30080EF95049C.377">#REF!</definedName>
    <definedName name="MSTR.C083CD4611E5943644E30080EF95049C.378">#REF!</definedName>
    <definedName name="MSTR.C083CD4611E5943644E30080EF95049C.379">#REF!</definedName>
    <definedName name="MSTR.C083CD4611E5943644E30080EF95049C.38">#REF!</definedName>
    <definedName name="MSTR.C083CD4611E5943644E30080EF95049C.380">#REF!</definedName>
    <definedName name="MSTR.C083CD4611E5943644E30080EF95049C.381">#REF!</definedName>
    <definedName name="MSTR.C083CD4611E5943644E30080EF95049C.382">#REF!</definedName>
    <definedName name="MSTR.C083CD4611E5943644E30080EF95049C.383">#REF!</definedName>
    <definedName name="MSTR.C083CD4611E5943644E30080EF95049C.384">#REF!</definedName>
    <definedName name="MSTR.C083CD4611E5943644E30080EF95049C.385">#REF!</definedName>
    <definedName name="MSTR.C083CD4611E5943644E30080EF95049C.386">#REF!</definedName>
    <definedName name="MSTR.C083CD4611E5943644E30080EF95049C.387">#REF!</definedName>
    <definedName name="MSTR.C083CD4611E5943644E30080EF95049C.388">#REF!</definedName>
    <definedName name="MSTR.C083CD4611E5943644E30080EF95049C.389">#REF!</definedName>
    <definedName name="MSTR.C083CD4611E5943644E30080EF95049C.39">#REF!</definedName>
    <definedName name="MSTR.C083CD4611E5943644E30080EF95049C.390">#REF!</definedName>
    <definedName name="MSTR.C083CD4611E5943644E30080EF95049C.391">#REF!</definedName>
    <definedName name="MSTR.C083CD4611E5943644E30080EF95049C.392">#REF!</definedName>
    <definedName name="MSTR.C083CD4611E5943644E30080EF95049C.393">#REF!</definedName>
    <definedName name="MSTR.C083CD4611E5943644E30080EF95049C.394">#REF!</definedName>
    <definedName name="MSTR.C083CD4611E5943644E30080EF95049C.395">#REF!</definedName>
    <definedName name="MSTR.C083CD4611E5943644E30080EF95049C.396">#REF!</definedName>
    <definedName name="MSTR.C083CD4611E5943644E30080EF95049C.397">#REF!</definedName>
    <definedName name="MSTR.C083CD4611E5943644E30080EF95049C.398">#REF!</definedName>
    <definedName name="MSTR.C083CD4611E5943644E30080EF95049C.399">#REF!</definedName>
    <definedName name="MSTR.C083CD4611E5943644E30080EF95049C.4">#REF!</definedName>
    <definedName name="MSTR.C083CD4611E5943644E30080EF95049C.40">#REF!</definedName>
    <definedName name="MSTR.C083CD4611E5943644E30080EF95049C.400">#REF!</definedName>
    <definedName name="MSTR.C083CD4611E5943644E30080EF95049C.401">#REF!</definedName>
    <definedName name="MSTR.C083CD4611E5943644E30080EF95049C.402">#REF!</definedName>
    <definedName name="MSTR.C083CD4611E5943644E30080EF95049C.403">#REF!</definedName>
    <definedName name="MSTR.C083CD4611E5943644E30080EF95049C.404">#REF!</definedName>
    <definedName name="MSTR.C083CD4611E5943644E30080EF95049C.405">#REF!</definedName>
    <definedName name="MSTR.C083CD4611E5943644E30080EF95049C.406">#REF!</definedName>
    <definedName name="MSTR.C083CD4611E5943644E30080EF95049C.407">#REF!</definedName>
    <definedName name="MSTR.C083CD4611E5943644E30080EF95049C.408">#REF!</definedName>
    <definedName name="MSTR.C083CD4611E5943644E30080EF95049C.409">#REF!</definedName>
    <definedName name="MSTR.C083CD4611E5943644E30080EF95049C.41">#REF!</definedName>
    <definedName name="MSTR.C083CD4611E5943644E30080EF95049C.410">#REF!</definedName>
    <definedName name="MSTR.C083CD4611E5943644E30080EF95049C.411">#REF!</definedName>
    <definedName name="MSTR.C083CD4611E5943644E30080EF95049C.412">#REF!</definedName>
    <definedName name="MSTR.C083CD4611E5943644E30080EF95049C.413">#REF!</definedName>
    <definedName name="MSTR.C083CD4611E5943644E30080EF95049C.414">#REF!</definedName>
    <definedName name="MSTR.C083CD4611E5943644E30080EF95049C.415">#REF!</definedName>
    <definedName name="MSTR.C083CD4611E5943644E30080EF95049C.416">#REF!</definedName>
    <definedName name="MSTR.C083CD4611E5943644E30080EF95049C.417">#REF!</definedName>
    <definedName name="MSTR.C083CD4611E5943644E30080EF95049C.418">#REF!</definedName>
    <definedName name="MSTR.C083CD4611E5943644E30080EF95049C.419">#REF!</definedName>
    <definedName name="MSTR.C083CD4611E5943644E30080EF95049C.42">#REF!</definedName>
    <definedName name="MSTR.C083CD4611E5943644E30080EF95049C.420">#REF!</definedName>
    <definedName name="MSTR.C083CD4611E5943644E30080EF95049C.421">#REF!</definedName>
    <definedName name="MSTR.C083CD4611E5943644E30080EF95049C.422">#REF!</definedName>
    <definedName name="MSTR.C083CD4611E5943644E30080EF95049C.423">#REF!</definedName>
    <definedName name="MSTR.C083CD4611E5943644E30080EF95049C.424">#REF!</definedName>
    <definedName name="MSTR.C083CD4611E5943644E30080EF95049C.425">#REF!</definedName>
    <definedName name="MSTR.C083CD4611E5943644E30080EF95049C.426">#REF!</definedName>
    <definedName name="MSTR.C083CD4611E5943644E30080EF95049C.427">#REF!</definedName>
    <definedName name="MSTR.C083CD4611E5943644E30080EF95049C.428">#REF!</definedName>
    <definedName name="MSTR.C083CD4611E5943644E30080EF95049C.429">#REF!</definedName>
    <definedName name="MSTR.C083CD4611E5943644E30080EF95049C.43">#REF!</definedName>
    <definedName name="MSTR.C083CD4611E5943644E30080EF95049C.430">#REF!</definedName>
    <definedName name="MSTR.C083CD4611E5943644E30080EF95049C.431">#REF!</definedName>
    <definedName name="MSTR.C083CD4611E5943644E30080EF95049C.432">#REF!</definedName>
    <definedName name="MSTR.C083CD4611E5943644E30080EF95049C.433">#REF!</definedName>
    <definedName name="MSTR.C083CD4611E5943644E30080EF95049C.434">#REF!</definedName>
    <definedName name="MSTR.C083CD4611E5943644E30080EF95049C.435">#REF!</definedName>
    <definedName name="MSTR.C083CD4611E5943644E30080EF95049C.436">#REF!</definedName>
    <definedName name="MSTR.C083CD4611E5943644E30080EF95049C.437">#REF!</definedName>
    <definedName name="MSTR.C083CD4611E5943644E30080EF95049C.438">#REF!</definedName>
    <definedName name="MSTR.C083CD4611E5943644E30080EF95049C.439">#REF!</definedName>
    <definedName name="MSTR.C083CD4611E5943644E30080EF95049C.44">#REF!</definedName>
    <definedName name="MSTR.C083CD4611E5943644E30080EF95049C.440">#REF!</definedName>
    <definedName name="MSTR.C083CD4611E5943644E30080EF95049C.441">#REF!</definedName>
    <definedName name="MSTR.C083CD4611E5943644E30080EF95049C.442">#REF!</definedName>
    <definedName name="MSTR.C083CD4611E5943644E30080EF95049C.443">#REF!</definedName>
    <definedName name="MSTR.C083CD4611E5943644E30080EF95049C.444">#REF!</definedName>
    <definedName name="MSTR.C083CD4611E5943644E30080EF95049C.445">#REF!</definedName>
    <definedName name="MSTR.C083CD4611E5943644E30080EF95049C.446">#REF!</definedName>
    <definedName name="MSTR.C083CD4611E5943644E30080EF95049C.447">#REF!</definedName>
    <definedName name="MSTR.C083CD4611E5943644E30080EF95049C.448">#REF!</definedName>
    <definedName name="MSTR.C083CD4611E5943644E30080EF95049C.449">#REF!</definedName>
    <definedName name="MSTR.C083CD4611E5943644E30080EF95049C.45">#REF!</definedName>
    <definedName name="MSTR.C083CD4611E5943644E30080EF95049C.450">#REF!</definedName>
    <definedName name="MSTR.C083CD4611E5943644E30080EF95049C.451">#REF!</definedName>
    <definedName name="MSTR.C083CD4611E5943644E30080EF95049C.452">#REF!</definedName>
    <definedName name="MSTR.C083CD4611E5943644E30080EF95049C.453">#REF!</definedName>
    <definedName name="MSTR.C083CD4611E5943644E30080EF95049C.454">#REF!</definedName>
    <definedName name="MSTR.C083CD4611E5943644E30080EF95049C.455">#REF!</definedName>
    <definedName name="MSTR.C083CD4611E5943644E30080EF95049C.456">#REF!</definedName>
    <definedName name="MSTR.C083CD4611E5943644E30080EF95049C.457">#REF!</definedName>
    <definedName name="MSTR.C083CD4611E5943644E30080EF95049C.458">#REF!</definedName>
    <definedName name="MSTR.C083CD4611E5943644E30080EF95049C.459">#REF!</definedName>
    <definedName name="MSTR.C083CD4611E5943644E30080EF95049C.46">#REF!</definedName>
    <definedName name="MSTR.C083CD4611E5943644E30080EF95049C.460">#REF!</definedName>
    <definedName name="MSTR.C083CD4611E5943644E30080EF95049C.461">#REF!</definedName>
    <definedName name="MSTR.C083CD4611E5943644E30080EF95049C.462">#REF!</definedName>
    <definedName name="MSTR.C083CD4611E5943644E30080EF95049C.463">#REF!</definedName>
    <definedName name="MSTR.C083CD4611E5943644E30080EF95049C.464">#REF!</definedName>
    <definedName name="MSTR.C083CD4611E5943644E30080EF95049C.465">#REF!</definedName>
    <definedName name="MSTR.C083CD4611E5943644E30080EF95049C.466">#REF!</definedName>
    <definedName name="MSTR.C083CD4611E5943644E30080EF95049C.467">#REF!</definedName>
    <definedName name="MSTR.C083CD4611E5943644E30080EF95049C.468">#REF!</definedName>
    <definedName name="MSTR.C083CD4611E5943644E30080EF95049C.469">#REF!</definedName>
    <definedName name="MSTR.C083CD4611E5943644E30080EF95049C.47">#REF!</definedName>
    <definedName name="MSTR.C083CD4611E5943644E30080EF95049C.470">#REF!</definedName>
    <definedName name="MSTR.C083CD4611E5943644E30080EF95049C.471">#REF!</definedName>
    <definedName name="MSTR.C083CD4611E5943644E30080EF95049C.472">#REF!</definedName>
    <definedName name="MSTR.C083CD4611E5943644E30080EF95049C.473">#REF!</definedName>
    <definedName name="MSTR.C083CD4611E5943644E30080EF95049C.474">#REF!</definedName>
    <definedName name="MSTR.C083CD4611E5943644E30080EF95049C.475">#REF!</definedName>
    <definedName name="MSTR.C083CD4611E5943644E30080EF95049C.476">#REF!</definedName>
    <definedName name="MSTR.C083CD4611E5943644E30080EF95049C.477">#REF!</definedName>
    <definedName name="MSTR.C083CD4611E5943644E30080EF95049C.478">#REF!</definedName>
    <definedName name="MSTR.C083CD4611E5943644E30080EF95049C.479">#REF!</definedName>
    <definedName name="MSTR.C083CD4611E5943644E30080EF95049C.48">#REF!</definedName>
    <definedName name="MSTR.C083CD4611E5943644E30080EF95049C.480">#REF!</definedName>
    <definedName name="MSTR.C083CD4611E5943644E30080EF95049C.481">#REF!</definedName>
    <definedName name="MSTR.C083CD4611E5943644E30080EF95049C.482">#REF!</definedName>
    <definedName name="MSTR.C083CD4611E5943644E30080EF95049C.483">#REF!</definedName>
    <definedName name="MSTR.C083CD4611E5943644E30080EF95049C.484">#REF!</definedName>
    <definedName name="MSTR.C083CD4611E5943644E30080EF95049C.485">#REF!</definedName>
    <definedName name="MSTR.C083CD4611E5943644E30080EF95049C.486">#REF!</definedName>
    <definedName name="MSTR.C083CD4611E5943644E30080EF95049C.487">#REF!</definedName>
    <definedName name="MSTR.C083CD4611E5943644E30080EF95049C.488">#REF!</definedName>
    <definedName name="MSTR.C083CD4611E5943644E30080EF95049C.489">#REF!</definedName>
    <definedName name="MSTR.C083CD4611E5943644E30080EF95049C.49">#REF!</definedName>
    <definedName name="MSTR.C083CD4611E5943644E30080EF95049C.490">#REF!</definedName>
    <definedName name="MSTR.C083CD4611E5943644E30080EF95049C.491">#REF!</definedName>
    <definedName name="MSTR.C083CD4611E5943644E30080EF95049C.492">#REF!</definedName>
    <definedName name="MSTR.C083CD4611E5943644E30080EF95049C.493">#REF!</definedName>
    <definedName name="MSTR.C083CD4611E5943644E30080EF95049C.494">#REF!</definedName>
    <definedName name="MSTR.C083CD4611E5943644E30080EF95049C.495">#REF!</definedName>
    <definedName name="MSTR.C083CD4611E5943644E30080EF95049C.496">#REF!</definedName>
    <definedName name="MSTR.C083CD4611E5943644E30080EF95049C.497">#REF!</definedName>
    <definedName name="MSTR.C083CD4611E5943644E30080EF95049C.498">#REF!</definedName>
    <definedName name="MSTR.C083CD4611E5943644E30080EF95049C.499">#REF!</definedName>
    <definedName name="MSTR.C083CD4611E5943644E30080EF95049C.5">#REF!</definedName>
    <definedName name="MSTR.C083CD4611E5943644E30080EF95049C.50">#REF!</definedName>
    <definedName name="MSTR.C083CD4611E5943644E30080EF95049C.500">#REF!</definedName>
    <definedName name="MSTR.C083CD4611E5943644E30080EF95049C.501">#REF!</definedName>
    <definedName name="MSTR.C083CD4611E5943644E30080EF95049C.502">#REF!</definedName>
    <definedName name="MSTR.C083CD4611E5943644E30080EF95049C.503">#REF!</definedName>
    <definedName name="MSTR.C083CD4611E5943644E30080EF95049C.504">#REF!</definedName>
    <definedName name="MSTR.C083CD4611E5943644E30080EF95049C.505">#REF!</definedName>
    <definedName name="MSTR.C083CD4611E5943644E30080EF95049C.506">#REF!</definedName>
    <definedName name="MSTR.C083CD4611E5943644E30080EF95049C.507">#REF!</definedName>
    <definedName name="MSTR.C083CD4611E5943644E30080EF95049C.508">#REF!</definedName>
    <definedName name="MSTR.C083CD4611E5943644E30080EF95049C.509">#REF!</definedName>
    <definedName name="MSTR.C083CD4611E5943644E30080EF95049C.51">#REF!</definedName>
    <definedName name="MSTR.C083CD4611E5943644E30080EF95049C.510">#REF!</definedName>
    <definedName name="MSTR.C083CD4611E5943644E30080EF95049C.511">#REF!</definedName>
    <definedName name="MSTR.C083CD4611E5943644E30080EF95049C.512">#REF!</definedName>
    <definedName name="MSTR.C083CD4611E5943644E30080EF95049C.513">#REF!</definedName>
    <definedName name="MSTR.C083CD4611E5943644E30080EF95049C.514">#REF!</definedName>
    <definedName name="MSTR.C083CD4611E5943644E30080EF95049C.515">#REF!</definedName>
    <definedName name="MSTR.C083CD4611E5943644E30080EF95049C.516">#REF!</definedName>
    <definedName name="MSTR.C083CD4611E5943644E30080EF95049C.517">#REF!</definedName>
    <definedName name="MSTR.C083CD4611E5943644E30080EF95049C.518">#REF!</definedName>
    <definedName name="MSTR.C083CD4611E5943644E30080EF95049C.519">#REF!</definedName>
    <definedName name="MSTR.C083CD4611E5943644E30080EF95049C.52">#REF!</definedName>
    <definedName name="MSTR.C083CD4611E5943644E30080EF95049C.520">#REF!</definedName>
    <definedName name="MSTR.C083CD4611E5943644E30080EF95049C.521">#REF!</definedName>
    <definedName name="MSTR.C083CD4611E5943644E30080EF95049C.522">#REF!</definedName>
    <definedName name="MSTR.C083CD4611E5943644E30080EF95049C.523">#REF!</definedName>
    <definedName name="MSTR.C083CD4611E5943644E30080EF95049C.524">#REF!</definedName>
    <definedName name="MSTR.C083CD4611E5943644E30080EF95049C.525">#REF!</definedName>
    <definedName name="MSTR.C083CD4611E5943644E30080EF95049C.526">#REF!</definedName>
    <definedName name="MSTR.C083CD4611E5943644E30080EF95049C.527">#REF!</definedName>
    <definedName name="MSTR.C083CD4611E5943644E30080EF95049C.528">#REF!</definedName>
    <definedName name="MSTR.C083CD4611E5943644E30080EF95049C.529">#REF!</definedName>
    <definedName name="MSTR.C083CD4611E5943644E30080EF95049C.53">#REF!</definedName>
    <definedName name="MSTR.C083CD4611E5943644E30080EF95049C.530">#REF!</definedName>
    <definedName name="MSTR.C083CD4611E5943644E30080EF95049C.531">#REF!</definedName>
    <definedName name="MSTR.C083CD4611E5943644E30080EF95049C.532">#REF!</definedName>
    <definedName name="MSTR.C083CD4611E5943644E30080EF95049C.533">#REF!</definedName>
    <definedName name="MSTR.C083CD4611E5943644E30080EF95049C.534">#REF!</definedName>
    <definedName name="MSTR.C083CD4611E5943644E30080EF95049C.535">#REF!</definedName>
    <definedName name="MSTR.C083CD4611E5943644E30080EF95049C.536">#REF!</definedName>
    <definedName name="MSTR.C083CD4611E5943644E30080EF95049C.537">#REF!</definedName>
    <definedName name="MSTR.C083CD4611E5943644E30080EF95049C.538">#REF!</definedName>
    <definedName name="MSTR.C083CD4611E5943644E30080EF95049C.539">#REF!</definedName>
    <definedName name="MSTR.C083CD4611E5943644E30080EF95049C.54">#REF!</definedName>
    <definedName name="MSTR.C083CD4611E5943644E30080EF95049C.540">#REF!</definedName>
    <definedName name="MSTR.C083CD4611E5943644E30080EF95049C.541">#REF!</definedName>
    <definedName name="MSTR.C083CD4611E5943644E30080EF95049C.542">#REF!</definedName>
    <definedName name="MSTR.C083CD4611E5943644E30080EF95049C.543">#REF!</definedName>
    <definedName name="MSTR.C083CD4611E5943644E30080EF95049C.544">#REF!</definedName>
    <definedName name="MSTR.C083CD4611E5943644E30080EF95049C.545">#REF!</definedName>
    <definedName name="MSTR.C083CD4611E5943644E30080EF95049C.546">#REF!</definedName>
    <definedName name="MSTR.C083CD4611E5943644E30080EF95049C.547">#REF!</definedName>
    <definedName name="MSTR.C083CD4611E5943644E30080EF95049C.548">#REF!</definedName>
    <definedName name="MSTR.C083CD4611E5943644E30080EF95049C.549">#REF!</definedName>
    <definedName name="MSTR.C083CD4611E5943644E30080EF95049C.55">#REF!</definedName>
    <definedName name="MSTR.C083CD4611E5943644E30080EF95049C.550">#REF!</definedName>
    <definedName name="MSTR.C083CD4611E5943644E30080EF95049C.551">#REF!</definedName>
    <definedName name="MSTR.C083CD4611E5943644E30080EF95049C.552">#REF!</definedName>
    <definedName name="MSTR.C083CD4611E5943644E30080EF95049C.553">#REF!</definedName>
    <definedName name="MSTR.C083CD4611E5943644E30080EF95049C.554">#REF!</definedName>
    <definedName name="MSTR.C083CD4611E5943644E30080EF95049C.555">#REF!</definedName>
    <definedName name="MSTR.C083CD4611E5943644E30080EF95049C.556">#REF!</definedName>
    <definedName name="MSTR.C083CD4611E5943644E30080EF95049C.557">#REF!</definedName>
    <definedName name="MSTR.C083CD4611E5943644E30080EF95049C.558">#REF!</definedName>
    <definedName name="MSTR.C083CD4611E5943644E30080EF95049C.559">#REF!</definedName>
    <definedName name="MSTR.C083CD4611E5943644E30080EF95049C.56">#REF!</definedName>
    <definedName name="MSTR.C083CD4611E5943644E30080EF95049C.560">#REF!</definedName>
    <definedName name="MSTR.C083CD4611E5943644E30080EF95049C.561">#REF!</definedName>
    <definedName name="MSTR.C083CD4611E5943644E30080EF95049C.562">#REF!</definedName>
    <definedName name="MSTR.C083CD4611E5943644E30080EF95049C.563">#REF!</definedName>
    <definedName name="MSTR.C083CD4611E5943644E30080EF95049C.564">#REF!</definedName>
    <definedName name="MSTR.C083CD4611E5943644E30080EF95049C.565">#REF!</definedName>
    <definedName name="MSTR.C083CD4611E5943644E30080EF95049C.566">#REF!</definedName>
    <definedName name="MSTR.C083CD4611E5943644E30080EF95049C.567">#REF!</definedName>
    <definedName name="MSTR.C083CD4611E5943644E30080EF95049C.568">#REF!</definedName>
    <definedName name="MSTR.C083CD4611E5943644E30080EF95049C.569">#REF!</definedName>
    <definedName name="MSTR.C083CD4611E5943644E30080EF95049C.57">#REF!</definedName>
    <definedName name="MSTR.C083CD4611E5943644E30080EF95049C.570">#REF!</definedName>
    <definedName name="MSTR.C083CD4611E5943644E30080EF95049C.571">#REF!</definedName>
    <definedName name="MSTR.C083CD4611E5943644E30080EF95049C.572">#REF!</definedName>
    <definedName name="MSTR.C083CD4611E5943644E30080EF95049C.573">#REF!</definedName>
    <definedName name="MSTR.C083CD4611E5943644E30080EF95049C.574">#REF!</definedName>
    <definedName name="MSTR.C083CD4611E5943644E30080EF95049C.575">#REF!</definedName>
    <definedName name="MSTR.C083CD4611E5943644E30080EF95049C.576">#REF!</definedName>
    <definedName name="MSTR.C083CD4611E5943644E30080EF95049C.577">#REF!</definedName>
    <definedName name="MSTR.C083CD4611E5943644E30080EF95049C.578">#REF!</definedName>
    <definedName name="MSTR.C083CD4611E5943644E30080EF95049C.579">#REF!</definedName>
    <definedName name="MSTR.C083CD4611E5943644E30080EF95049C.58">#REF!</definedName>
    <definedName name="MSTR.C083CD4611E5943644E30080EF95049C.580">#REF!</definedName>
    <definedName name="MSTR.C083CD4611E5943644E30080EF95049C.581">#REF!</definedName>
    <definedName name="MSTR.C083CD4611E5943644E30080EF95049C.582">#REF!</definedName>
    <definedName name="MSTR.C083CD4611E5943644E30080EF95049C.583">#REF!</definedName>
    <definedName name="MSTR.C083CD4611E5943644E30080EF95049C.584">#REF!</definedName>
    <definedName name="MSTR.C083CD4611E5943644E30080EF95049C.585">#REF!</definedName>
    <definedName name="MSTR.C083CD4611E5943644E30080EF95049C.586">#REF!</definedName>
    <definedName name="MSTR.C083CD4611E5943644E30080EF95049C.587">#REF!</definedName>
    <definedName name="MSTR.C083CD4611E5943644E30080EF95049C.588">#REF!</definedName>
    <definedName name="MSTR.C083CD4611E5943644E30080EF95049C.589">#REF!</definedName>
    <definedName name="MSTR.C083CD4611E5943644E30080EF95049C.59">#REF!</definedName>
    <definedName name="MSTR.C083CD4611E5943644E30080EF95049C.590">#REF!</definedName>
    <definedName name="MSTR.C083CD4611E5943644E30080EF95049C.591">#REF!</definedName>
    <definedName name="MSTR.C083CD4611E5943644E30080EF95049C.592">#REF!</definedName>
    <definedName name="MSTR.C083CD4611E5943644E30080EF95049C.593">#REF!</definedName>
    <definedName name="MSTR.C083CD4611E5943644E30080EF95049C.594">#REF!</definedName>
    <definedName name="MSTR.C083CD4611E5943644E30080EF95049C.595">#REF!</definedName>
    <definedName name="MSTR.C083CD4611E5943644E30080EF95049C.596">#REF!</definedName>
    <definedName name="MSTR.C083CD4611E5943644E30080EF95049C.597">#REF!</definedName>
    <definedName name="MSTR.C083CD4611E5943644E30080EF95049C.598">#REF!</definedName>
    <definedName name="MSTR.C083CD4611E5943644E30080EF95049C.599">#REF!</definedName>
    <definedName name="MSTR.C083CD4611E5943644E30080EF95049C.6">#REF!</definedName>
    <definedName name="MSTR.C083CD4611E5943644E30080EF95049C.60">#REF!</definedName>
    <definedName name="MSTR.C083CD4611E5943644E30080EF95049C.600">#REF!</definedName>
    <definedName name="MSTR.C083CD4611E5943644E30080EF95049C.601">#REF!</definedName>
    <definedName name="MSTR.C083CD4611E5943644E30080EF95049C.602">#REF!</definedName>
    <definedName name="MSTR.C083CD4611E5943644E30080EF95049C.603">#REF!</definedName>
    <definedName name="MSTR.C083CD4611E5943644E30080EF95049C.604">#REF!</definedName>
    <definedName name="MSTR.C083CD4611E5943644E30080EF95049C.605">#REF!</definedName>
    <definedName name="MSTR.C083CD4611E5943644E30080EF95049C.606">#REF!</definedName>
    <definedName name="MSTR.C083CD4611E5943644E30080EF95049C.607">#REF!</definedName>
    <definedName name="MSTR.C083CD4611E5943644E30080EF95049C.608">#REF!</definedName>
    <definedName name="MSTR.C083CD4611E5943644E30080EF95049C.609">#REF!</definedName>
    <definedName name="MSTR.C083CD4611E5943644E30080EF95049C.61">#REF!</definedName>
    <definedName name="MSTR.C083CD4611E5943644E30080EF95049C.610">#REF!</definedName>
    <definedName name="MSTR.C083CD4611E5943644E30080EF95049C.611">#REF!</definedName>
    <definedName name="MSTR.C083CD4611E5943644E30080EF95049C.612">#REF!</definedName>
    <definedName name="MSTR.C083CD4611E5943644E30080EF95049C.613">#REF!</definedName>
    <definedName name="MSTR.C083CD4611E5943644E30080EF95049C.614">#REF!</definedName>
    <definedName name="MSTR.C083CD4611E5943644E30080EF95049C.615">#REF!</definedName>
    <definedName name="MSTR.C083CD4611E5943644E30080EF95049C.616">#REF!</definedName>
    <definedName name="MSTR.C083CD4611E5943644E30080EF95049C.617">#REF!</definedName>
    <definedName name="MSTR.C083CD4611E5943644E30080EF95049C.618">#REF!</definedName>
    <definedName name="MSTR.C083CD4611E5943644E30080EF95049C.619">#REF!</definedName>
    <definedName name="MSTR.C083CD4611E5943644E30080EF95049C.62">#REF!</definedName>
    <definedName name="MSTR.C083CD4611E5943644E30080EF95049C.620">#REF!</definedName>
    <definedName name="MSTR.C083CD4611E5943644E30080EF95049C.621">#REF!</definedName>
    <definedName name="MSTR.C083CD4611E5943644E30080EF95049C.622">#REF!</definedName>
    <definedName name="MSTR.C083CD4611E5943644E30080EF95049C.623">#REF!</definedName>
    <definedName name="MSTR.C083CD4611E5943644E30080EF95049C.624">#REF!</definedName>
    <definedName name="MSTR.C083CD4611E5943644E30080EF95049C.625">#REF!</definedName>
    <definedName name="MSTR.C083CD4611E5943644E30080EF95049C.626">#REF!</definedName>
    <definedName name="MSTR.C083CD4611E5943644E30080EF95049C.627">#REF!</definedName>
    <definedName name="MSTR.C083CD4611E5943644E30080EF95049C.628">#REF!</definedName>
    <definedName name="MSTR.C083CD4611E5943644E30080EF95049C.629">#REF!</definedName>
    <definedName name="MSTR.C083CD4611E5943644E30080EF95049C.63">#REF!</definedName>
    <definedName name="MSTR.C083CD4611E5943644E30080EF95049C.630">#REF!</definedName>
    <definedName name="MSTR.C083CD4611E5943644E30080EF95049C.631">#REF!</definedName>
    <definedName name="MSTR.C083CD4611E5943644E30080EF95049C.632">#REF!</definedName>
    <definedName name="MSTR.C083CD4611E5943644E30080EF95049C.633">#REF!</definedName>
    <definedName name="MSTR.C083CD4611E5943644E30080EF95049C.634">#REF!</definedName>
    <definedName name="MSTR.C083CD4611E5943644E30080EF95049C.635">#REF!</definedName>
    <definedName name="MSTR.C083CD4611E5943644E30080EF95049C.636">#REF!</definedName>
    <definedName name="MSTR.C083CD4611E5943644E30080EF95049C.637">#REF!</definedName>
    <definedName name="MSTR.C083CD4611E5943644E30080EF95049C.638">#REF!</definedName>
    <definedName name="MSTR.C083CD4611E5943644E30080EF95049C.639">#REF!</definedName>
    <definedName name="MSTR.C083CD4611E5943644E30080EF95049C.64">#REF!</definedName>
    <definedName name="MSTR.C083CD4611E5943644E30080EF95049C.640">#REF!</definedName>
    <definedName name="MSTR.C083CD4611E5943644E30080EF95049C.641">#REF!</definedName>
    <definedName name="MSTR.C083CD4611E5943644E30080EF95049C.642">#REF!</definedName>
    <definedName name="MSTR.C083CD4611E5943644E30080EF95049C.643">#REF!</definedName>
    <definedName name="MSTR.C083CD4611E5943644E30080EF95049C.644">#REF!</definedName>
    <definedName name="MSTR.C083CD4611E5943644E30080EF95049C.645">#REF!</definedName>
    <definedName name="MSTR.C083CD4611E5943644E30080EF95049C.646">#REF!</definedName>
    <definedName name="MSTR.C083CD4611E5943644E30080EF95049C.647">#REF!</definedName>
    <definedName name="MSTR.C083CD4611E5943644E30080EF95049C.648">#REF!</definedName>
    <definedName name="MSTR.C083CD4611E5943644E30080EF95049C.649">#REF!</definedName>
    <definedName name="MSTR.C083CD4611E5943644E30080EF95049C.65">#REF!</definedName>
    <definedName name="MSTR.C083CD4611E5943644E30080EF95049C.650">#REF!</definedName>
    <definedName name="MSTR.C083CD4611E5943644E30080EF95049C.651">#REF!</definedName>
    <definedName name="MSTR.C083CD4611E5943644E30080EF95049C.652">#REF!</definedName>
    <definedName name="MSTR.C083CD4611E5943644E30080EF95049C.653">#REF!</definedName>
    <definedName name="MSTR.C083CD4611E5943644E30080EF95049C.654">#REF!</definedName>
    <definedName name="MSTR.C083CD4611E5943644E30080EF95049C.655">#REF!</definedName>
    <definedName name="MSTR.C083CD4611E5943644E30080EF95049C.656">#REF!</definedName>
    <definedName name="MSTR.C083CD4611E5943644E30080EF95049C.657">#REF!</definedName>
    <definedName name="MSTR.C083CD4611E5943644E30080EF95049C.658">#REF!</definedName>
    <definedName name="MSTR.C083CD4611E5943644E30080EF95049C.659">#REF!</definedName>
    <definedName name="MSTR.C083CD4611E5943644E30080EF95049C.66">#REF!</definedName>
    <definedName name="MSTR.C083CD4611E5943644E30080EF95049C.660">#REF!</definedName>
    <definedName name="MSTR.C083CD4611E5943644E30080EF95049C.661">#REF!</definedName>
    <definedName name="MSTR.C083CD4611E5943644E30080EF95049C.662">#REF!</definedName>
    <definedName name="MSTR.C083CD4611E5943644E30080EF95049C.663">#REF!</definedName>
    <definedName name="MSTR.C083CD4611E5943644E30080EF95049C.664">#REF!</definedName>
    <definedName name="MSTR.C083CD4611E5943644E30080EF95049C.665">#REF!</definedName>
    <definedName name="MSTR.C083CD4611E5943644E30080EF95049C.666">#REF!</definedName>
    <definedName name="MSTR.C083CD4611E5943644E30080EF95049C.667">#REF!</definedName>
    <definedName name="MSTR.C083CD4611E5943644E30080EF95049C.668">#REF!</definedName>
    <definedName name="MSTR.C083CD4611E5943644E30080EF95049C.669">#REF!</definedName>
    <definedName name="MSTR.C083CD4611E5943644E30080EF95049C.67">#REF!</definedName>
    <definedName name="MSTR.C083CD4611E5943644E30080EF95049C.670">#REF!</definedName>
    <definedName name="MSTR.C083CD4611E5943644E30080EF95049C.671">#REF!</definedName>
    <definedName name="MSTR.C083CD4611E5943644E30080EF95049C.672">#REF!</definedName>
    <definedName name="MSTR.C083CD4611E5943644E30080EF95049C.673">#REF!</definedName>
    <definedName name="MSTR.C083CD4611E5943644E30080EF95049C.674">#REF!</definedName>
    <definedName name="MSTR.C083CD4611E5943644E30080EF95049C.675">#REF!</definedName>
    <definedName name="MSTR.C083CD4611E5943644E30080EF95049C.676">#REF!</definedName>
    <definedName name="MSTR.C083CD4611E5943644E30080EF95049C.677">#REF!</definedName>
    <definedName name="MSTR.C083CD4611E5943644E30080EF95049C.678">#REF!</definedName>
    <definedName name="MSTR.C083CD4611E5943644E30080EF95049C.679">#REF!</definedName>
    <definedName name="MSTR.C083CD4611E5943644E30080EF95049C.68">#REF!</definedName>
    <definedName name="MSTR.C083CD4611E5943644E30080EF95049C.680">#REF!</definedName>
    <definedName name="MSTR.C083CD4611E5943644E30080EF95049C.681">#REF!</definedName>
    <definedName name="MSTR.C083CD4611E5943644E30080EF95049C.682">#REF!</definedName>
    <definedName name="MSTR.C083CD4611E5943644E30080EF95049C.683">#REF!</definedName>
    <definedName name="MSTR.C083CD4611E5943644E30080EF95049C.684">#REF!</definedName>
    <definedName name="MSTR.C083CD4611E5943644E30080EF95049C.685">#REF!</definedName>
    <definedName name="MSTR.C083CD4611E5943644E30080EF95049C.686">#REF!</definedName>
    <definedName name="MSTR.C083CD4611E5943644E30080EF95049C.687">#REF!</definedName>
    <definedName name="MSTR.C083CD4611E5943644E30080EF95049C.688">#REF!</definedName>
    <definedName name="MSTR.C083CD4611E5943644E30080EF95049C.689">#REF!</definedName>
    <definedName name="MSTR.C083CD4611E5943644E30080EF95049C.69">#REF!</definedName>
    <definedName name="MSTR.C083CD4611E5943644E30080EF95049C.690">#REF!</definedName>
    <definedName name="MSTR.C083CD4611E5943644E30080EF95049C.691">#REF!</definedName>
    <definedName name="MSTR.C083CD4611E5943644E30080EF95049C.692">#REF!</definedName>
    <definedName name="MSTR.C083CD4611E5943644E30080EF95049C.693">#REF!</definedName>
    <definedName name="MSTR.C083CD4611E5943644E30080EF95049C.694">#REF!</definedName>
    <definedName name="MSTR.C083CD4611E5943644E30080EF95049C.695">#REF!</definedName>
    <definedName name="MSTR.C083CD4611E5943644E30080EF95049C.696">#REF!</definedName>
    <definedName name="MSTR.C083CD4611E5943644E30080EF95049C.697">#REF!</definedName>
    <definedName name="MSTR.C083CD4611E5943644E30080EF95049C.698">#REF!</definedName>
    <definedName name="MSTR.C083CD4611E5943644E30080EF95049C.699">#REF!</definedName>
    <definedName name="MSTR.C083CD4611E5943644E30080EF95049C.7">#REF!</definedName>
    <definedName name="MSTR.C083CD4611E5943644E30080EF95049C.70">#REF!</definedName>
    <definedName name="MSTR.C083CD4611E5943644E30080EF95049C.700">#REF!</definedName>
    <definedName name="MSTR.C083CD4611E5943644E30080EF95049C.701">#REF!</definedName>
    <definedName name="MSTR.C083CD4611E5943644E30080EF95049C.702">#REF!</definedName>
    <definedName name="MSTR.C083CD4611E5943644E30080EF95049C.703">#REF!</definedName>
    <definedName name="MSTR.C083CD4611E5943644E30080EF95049C.704">#REF!</definedName>
    <definedName name="MSTR.C083CD4611E5943644E30080EF95049C.705">#REF!</definedName>
    <definedName name="MSTR.C083CD4611E5943644E30080EF95049C.706">#REF!</definedName>
    <definedName name="MSTR.C083CD4611E5943644E30080EF95049C.707">#REF!</definedName>
    <definedName name="MSTR.C083CD4611E5943644E30080EF95049C.708">#REF!</definedName>
    <definedName name="MSTR.C083CD4611E5943644E30080EF95049C.709">#REF!</definedName>
    <definedName name="MSTR.C083CD4611E5943644E30080EF95049C.71">#REF!</definedName>
    <definedName name="MSTR.C083CD4611E5943644E30080EF95049C.710">#REF!</definedName>
    <definedName name="MSTR.C083CD4611E5943644E30080EF95049C.711">#REF!</definedName>
    <definedName name="MSTR.C083CD4611E5943644E30080EF95049C.712">#REF!</definedName>
    <definedName name="MSTR.C083CD4611E5943644E30080EF95049C.713">#REF!</definedName>
    <definedName name="MSTR.C083CD4611E5943644E30080EF95049C.714">#REF!</definedName>
    <definedName name="MSTR.C083CD4611E5943644E30080EF95049C.715">#REF!</definedName>
    <definedName name="MSTR.C083CD4611E5943644E30080EF95049C.716">#REF!</definedName>
    <definedName name="MSTR.C083CD4611E5943644E30080EF95049C.717">#REF!</definedName>
    <definedName name="MSTR.C083CD4611E5943644E30080EF95049C.718">#REF!</definedName>
    <definedName name="MSTR.C083CD4611E5943644E30080EF95049C.719">#REF!</definedName>
    <definedName name="MSTR.C083CD4611E5943644E30080EF95049C.72">#REF!</definedName>
    <definedName name="MSTR.C083CD4611E5943644E30080EF95049C.720">#REF!</definedName>
    <definedName name="MSTR.C083CD4611E5943644E30080EF95049C.721">#REF!</definedName>
    <definedName name="MSTR.C083CD4611E5943644E30080EF95049C.722">#REF!</definedName>
    <definedName name="MSTR.C083CD4611E5943644E30080EF95049C.723">#REF!</definedName>
    <definedName name="MSTR.C083CD4611E5943644E30080EF95049C.724">#REF!</definedName>
    <definedName name="MSTR.C083CD4611E5943644E30080EF95049C.725">#REF!</definedName>
    <definedName name="MSTR.C083CD4611E5943644E30080EF95049C.726">#REF!</definedName>
    <definedName name="MSTR.C083CD4611E5943644E30080EF95049C.727">#REF!</definedName>
    <definedName name="MSTR.C083CD4611E5943644E30080EF95049C.728">#REF!</definedName>
    <definedName name="MSTR.C083CD4611E5943644E30080EF95049C.729">#REF!</definedName>
    <definedName name="MSTR.C083CD4611E5943644E30080EF95049C.73">#REF!</definedName>
    <definedName name="MSTR.C083CD4611E5943644E30080EF95049C.730">#REF!</definedName>
    <definedName name="MSTR.C083CD4611E5943644E30080EF95049C.731">#REF!</definedName>
    <definedName name="MSTR.C083CD4611E5943644E30080EF95049C.732">#REF!</definedName>
    <definedName name="MSTR.C083CD4611E5943644E30080EF95049C.733">#REF!</definedName>
    <definedName name="MSTR.C083CD4611E5943644E30080EF95049C.734">#REF!</definedName>
    <definedName name="MSTR.C083CD4611E5943644E30080EF95049C.735">#REF!</definedName>
    <definedName name="MSTR.C083CD4611E5943644E30080EF95049C.736">#REF!</definedName>
    <definedName name="MSTR.C083CD4611E5943644E30080EF95049C.737">#REF!</definedName>
    <definedName name="MSTR.C083CD4611E5943644E30080EF95049C.738">#REF!</definedName>
    <definedName name="MSTR.C083CD4611E5943644E30080EF95049C.739">#REF!</definedName>
    <definedName name="MSTR.C083CD4611E5943644E30080EF95049C.74">#REF!</definedName>
    <definedName name="MSTR.C083CD4611E5943644E30080EF95049C.740">#REF!</definedName>
    <definedName name="MSTR.C083CD4611E5943644E30080EF95049C.741">#REF!</definedName>
    <definedName name="MSTR.C083CD4611E5943644E30080EF95049C.742">#REF!</definedName>
    <definedName name="MSTR.C083CD4611E5943644E30080EF95049C.743">#REF!</definedName>
    <definedName name="MSTR.C083CD4611E5943644E30080EF95049C.744">#REF!</definedName>
    <definedName name="MSTR.C083CD4611E5943644E30080EF95049C.745">#REF!</definedName>
    <definedName name="MSTR.C083CD4611E5943644E30080EF95049C.746">#REF!</definedName>
    <definedName name="MSTR.C083CD4611E5943644E30080EF95049C.747">#REF!</definedName>
    <definedName name="MSTR.C083CD4611E5943644E30080EF95049C.748">#REF!</definedName>
    <definedName name="MSTR.C083CD4611E5943644E30080EF95049C.749">#REF!</definedName>
    <definedName name="MSTR.C083CD4611E5943644E30080EF95049C.75">#REF!</definedName>
    <definedName name="MSTR.C083CD4611E5943644E30080EF95049C.750">#REF!</definedName>
    <definedName name="MSTR.C083CD4611E5943644E30080EF95049C.751">#REF!</definedName>
    <definedName name="MSTR.C083CD4611E5943644E30080EF95049C.752">#REF!</definedName>
    <definedName name="MSTR.C083CD4611E5943644E30080EF95049C.753">#REF!</definedName>
    <definedName name="MSTR.C083CD4611E5943644E30080EF95049C.754">#REF!</definedName>
    <definedName name="MSTR.C083CD4611E5943644E30080EF95049C.755">#REF!</definedName>
    <definedName name="MSTR.C083CD4611E5943644E30080EF95049C.756">#REF!</definedName>
    <definedName name="MSTR.C083CD4611E5943644E30080EF95049C.757">#REF!</definedName>
    <definedName name="MSTR.C083CD4611E5943644E30080EF95049C.758">#REF!</definedName>
    <definedName name="MSTR.C083CD4611E5943644E30080EF95049C.759">#REF!</definedName>
    <definedName name="MSTR.C083CD4611E5943644E30080EF95049C.76">#REF!</definedName>
    <definedName name="MSTR.C083CD4611E5943644E30080EF95049C.760">#REF!</definedName>
    <definedName name="MSTR.C083CD4611E5943644E30080EF95049C.761">#REF!</definedName>
    <definedName name="MSTR.C083CD4611E5943644E30080EF95049C.762">#REF!</definedName>
    <definedName name="MSTR.C083CD4611E5943644E30080EF95049C.763">#REF!</definedName>
    <definedName name="MSTR.C083CD4611E5943644E30080EF95049C.764">#REF!</definedName>
    <definedName name="MSTR.C083CD4611E5943644E30080EF95049C.765">#REF!</definedName>
    <definedName name="MSTR.C083CD4611E5943644E30080EF95049C.766">#REF!</definedName>
    <definedName name="MSTR.C083CD4611E5943644E30080EF95049C.767">#REF!</definedName>
    <definedName name="MSTR.C083CD4611E5943644E30080EF95049C.768">#REF!</definedName>
    <definedName name="MSTR.C083CD4611E5943644E30080EF95049C.769">#REF!</definedName>
    <definedName name="MSTR.C083CD4611E5943644E30080EF95049C.77">#REF!</definedName>
    <definedName name="MSTR.C083CD4611E5943644E30080EF95049C.770">#REF!</definedName>
    <definedName name="MSTR.C083CD4611E5943644E30080EF95049C.771">#REF!</definedName>
    <definedName name="MSTR.C083CD4611E5943644E30080EF95049C.772">#REF!</definedName>
    <definedName name="MSTR.C083CD4611E5943644E30080EF95049C.773">#REF!</definedName>
    <definedName name="MSTR.C083CD4611E5943644E30080EF95049C.774">#REF!</definedName>
    <definedName name="MSTR.C083CD4611E5943644E30080EF95049C.775">#REF!</definedName>
    <definedName name="MSTR.C083CD4611E5943644E30080EF95049C.776">#REF!</definedName>
    <definedName name="MSTR.C083CD4611E5943644E30080EF95049C.777">#REF!</definedName>
    <definedName name="MSTR.C083CD4611E5943644E30080EF95049C.778">#REF!</definedName>
    <definedName name="MSTR.C083CD4611E5943644E30080EF95049C.779">#REF!</definedName>
    <definedName name="MSTR.C083CD4611E5943644E30080EF95049C.78">#REF!</definedName>
    <definedName name="MSTR.C083CD4611E5943644E30080EF95049C.780">#REF!</definedName>
    <definedName name="MSTR.C083CD4611E5943644E30080EF95049C.781">#REF!</definedName>
    <definedName name="MSTR.C083CD4611E5943644E30080EF95049C.782">#REF!</definedName>
    <definedName name="MSTR.C083CD4611E5943644E30080EF95049C.783">#REF!</definedName>
    <definedName name="MSTR.C083CD4611E5943644E30080EF95049C.784">#REF!</definedName>
    <definedName name="MSTR.C083CD4611E5943644E30080EF95049C.785">#REF!</definedName>
    <definedName name="MSTR.C083CD4611E5943644E30080EF95049C.786">#REF!</definedName>
    <definedName name="MSTR.C083CD4611E5943644E30080EF95049C.787">#REF!</definedName>
    <definedName name="MSTR.C083CD4611E5943644E30080EF95049C.788">#REF!</definedName>
    <definedName name="MSTR.C083CD4611E5943644E30080EF95049C.789">#REF!</definedName>
    <definedName name="MSTR.C083CD4611E5943644E30080EF95049C.79">#REF!</definedName>
    <definedName name="MSTR.C083CD4611E5943644E30080EF95049C.790">#REF!</definedName>
    <definedName name="MSTR.C083CD4611E5943644E30080EF95049C.791">#REF!</definedName>
    <definedName name="MSTR.C083CD4611E5943644E30080EF95049C.792">#REF!</definedName>
    <definedName name="MSTR.C083CD4611E5943644E30080EF95049C.793">#REF!</definedName>
    <definedName name="MSTR.C083CD4611E5943644E30080EF95049C.794">#REF!</definedName>
    <definedName name="MSTR.C083CD4611E5943644E30080EF95049C.795">#REF!</definedName>
    <definedName name="MSTR.C083CD4611E5943644E30080EF95049C.796">#REF!</definedName>
    <definedName name="MSTR.C083CD4611E5943644E30080EF95049C.797">#REF!</definedName>
    <definedName name="MSTR.C083CD4611E5943644E30080EF95049C.798">#REF!</definedName>
    <definedName name="MSTR.C083CD4611E5943644E30080EF95049C.799">#REF!</definedName>
    <definedName name="MSTR.C083CD4611E5943644E30080EF95049C.8">#REF!</definedName>
    <definedName name="MSTR.C083CD4611E5943644E30080EF95049C.80">#REF!</definedName>
    <definedName name="MSTR.C083CD4611E5943644E30080EF95049C.800">#REF!</definedName>
    <definedName name="MSTR.C083CD4611E5943644E30080EF95049C.801">#REF!</definedName>
    <definedName name="MSTR.C083CD4611E5943644E30080EF95049C.802">#REF!</definedName>
    <definedName name="MSTR.C083CD4611E5943644E30080EF95049C.803">#REF!</definedName>
    <definedName name="MSTR.C083CD4611E5943644E30080EF95049C.804">#REF!</definedName>
    <definedName name="MSTR.C083CD4611E5943644E30080EF95049C.805">#REF!</definedName>
    <definedName name="MSTR.C083CD4611E5943644E30080EF95049C.806">#REF!</definedName>
    <definedName name="MSTR.C083CD4611E5943644E30080EF95049C.807">#REF!</definedName>
    <definedName name="MSTR.C083CD4611E5943644E30080EF95049C.808">#REF!</definedName>
    <definedName name="MSTR.C083CD4611E5943644E30080EF95049C.809">#REF!</definedName>
    <definedName name="MSTR.C083CD4611E5943644E30080EF95049C.81">#REF!</definedName>
    <definedName name="MSTR.C083CD4611E5943644E30080EF95049C.810">#REF!</definedName>
    <definedName name="MSTR.C083CD4611E5943644E30080EF95049C.811">#REF!</definedName>
    <definedName name="MSTR.C083CD4611E5943644E30080EF95049C.812">#REF!</definedName>
    <definedName name="MSTR.C083CD4611E5943644E30080EF95049C.813">#REF!</definedName>
    <definedName name="MSTR.C083CD4611E5943644E30080EF95049C.814">#REF!</definedName>
    <definedName name="MSTR.C083CD4611E5943644E30080EF95049C.815">#REF!</definedName>
    <definedName name="MSTR.C083CD4611E5943644E30080EF95049C.816">#REF!</definedName>
    <definedName name="MSTR.C083CD4611E5943644E30080EF95049C.817">#REF!</definedName>
    <definedName name="MSTR.C083CD4611E5943644E30080EF95049C.818">#REF!</definedName>
    <definedName name="MSTR.C083CD4611E5943644E30080EF95049C.819">#REF!</definedName>
    <definedName name="MSTR.C083CD4611E5943644E30080EF95049C.82">#REF!</definedName>
    <definedName name="MSTR.C083CD4611E5943644E30080EF95049C.820">#REF!</definedName>
    <definedName name="MSTR.C083CD4611E5943644E30080EF95049C.821">#REF!</definedName>
    <definedName name="MSTR.C083CD4611E5943644E30080EF95049C.822">#REF!</definedName>
    <definedName name="MSTR.C083CD4611E5943644E30080EF95049C.823">#REF!</definedName>
    <definedName name="MSTR.C083CD4611E5943644E30080EF95049C.824">#REF!</definedName>
    <definedName name="MSTR.C083CD4611E5943644E30080EF95049C.825">#REF!</definedName>
    <definedName name="MSTR.C083CD4611E5943644E30080EF95049C.826">#REF!</definedName>
    <definedName name="MSTR.C083CD4611E5943644E30080EF95049C.827">#REF!</definedName>
    <definedName name="MSTR.C083CD4611E5943644E30080EF95049C.828">#REF!</definedName>
    <definedName name="MSTR.C083CD4611E5943644E30080EF95049C.829">#REF!</definedName>
    <definedName name="MSTR.C083CD4611E5943644E30080EF95049C.83">#REF!</definedName>
    <definedName name="MSTR.C083CD4611E5943644E30080EF95049C.830">#REF!</definedName>
    <definedName name="MSTR.C083CD4611E5943644E30080EF95049C.831">#REF!</definedName>
    <definedName name="MSTR.C083CD4611E5943644E30080EF95049C.832">#REF!</definedName>
    <definedName name="MSTR.C083CD4611E5943644E30080EF95049C.833">#REF!</definedName>
    <definedName name="MSTR.C083CD4611E5943644E30080EF95049C.834">#REF!</definedName>
    <definedName name="MSTR.C083CD4611E5943644E30080EF95049C.835">#REF!</definedName>
    <definedName name="MSTR.C083CD4611E5943644E30080EF95049C.836">#REF!</definedName>
    <definedName name="MSTR.C083CD4611E5943644E30080EF95049C.837">#REF!</definedName>
    <definedName name="MSTR.C083CD4611E5943644E30080EF95049C.838">#REF!</definedName>
    <definedName name="MSTR.C083CD4611E5943644E30080EF95049C.839">#REF!</definedName>
    <definedName name="MSTR.C083CD4611E5943644E30080EF95049C.84">#REF!</definedName>
    <definedName name="MSTR.C083CD4611E5943644E30080EF95049C.840">#REF!</definedName>
    <definedName name="MSTR.C083CD4611E5943644E30080EF95049C.841">#REF!</definedName>
    <definedName name="MSTR.C083CD4611E5943644E30080EF95049C.842">#REF!</definedName>
    <definedName name="MSTR.C083CD4611E5943644E30080EF95049C.843">#REF!</definedName>
    <definedName name="MSTR.C083CD4611E5943644E30080EF95049C.844">#REF!</definedName>
    <definedName name="MSTR.C083CD4611E5943644E30080EF95049C.845">#REF!</definedName>
    <definedName name="MSTR.C083CD4611E5943644E30080EF95049C.846">#REF!</definedName>
    <definedName name="MSTR.C083CD4611E5943644E30080EF95049C.847">#REF!</definedName>
    <definedName name="MSTR.C083CD4611E5943644E30080EF95049C.848">#REF!</definedName>
    <definedName name="MSTR.C083CD4611E5943644E30080EF95049C.849">#REF!</definedName>
    <definedName name="MSTR.C083CD4611E5943644E30080EF95049C.85">#REF!</definedName>
    <definedName name="MSTR.C083CD4611E5943644E30080EF95049C.850">#REF!</definedName>
    <definedName name="MSTR.C083CD4611E5943644E30080EF95049C.851">#REF!</definedName>
    <definedName name="MSTR.C083CD4611E5943644E30080EF95049C.852">#REF!</definedName>
    <definedName name="MSTR.C083CD4611E5943644E30080EF95049C.853">#REF!</definedName>
    <definedName name="MSTR.C083CD4611E5943644E30080EF95049C.854">#REF!</definedName>
    <definedName name="MSTR.C083CD4611E5943644E30080EF95049C.855">#REF!</definedName>
    <definedName name="MSTR.C083CD4611E5943644E30080EF95049C.856">#REF!</definedName>
    <definedName name="MSTR.C083CD4611E5943644E30080EF95049C.857">#REF!</definedName>
    <definedName name="MSTR.C083CD4611E5943644E30080EF95049C.858">#REF!</definedName>
    <definedName name="MSTR.C083CD4611E5943644E30080EF95049C.859">#REF!</definedName>
    <definedName name="MSTR.C083CD4611E5943644E30080EF95049C.86">#REF!</definedName>
    <definedName name="MSTR.C083CD4611E5943644E30080EF95049C.860">#REF!</definedName>
    <definedName name="MSTR.C083CD4611E5943644E30080EF95049C.861">#REF!</definedName>
    <definedName name="MSTR.C083CD4611E5943644E30080EF95049C.862">#REF!</definedName>
    <definedName name="MSTR.C083CD4611E5943644E30080EF95049C.863">#REF!</definedName>
    <definedName name="MSTR.C083CD4611E5943644E30080EF95049C.864">#REF!</definedName>
    <definedName name="MSTR.C083CD4611E5943644E30080EF95049C.865">#REF!</definedName>
    <definedName name="MSTR.C083CD4611E5943644E30080EF95049C.866">#REF!</definedName>
    <definedName name="MSTR.C083CD4611E5943644E30080EF95049C.867">#REF!</definedName>
    <definedName name="MSTR.C083CD4611E5943644E30080EF95049C.868">#REF!</definedName>
    <definedName name="MSTR.C083CD4611E5943644E30080EF95049C.869">#REF!</definedName>
    <definedName name="MSTR.C083CD4611E5943644E30080EF95049C.87">#REF!</definedName>
    <definedName name="MSTR.C083CD4611E5943644E30080EF95049C.870">#REF!</definedName>
    <definedName name="MSTR.C083CD4611E5943644E30080EF95049C.871">#REF!</definedName>
    <definedName name="MSTR.C083CD4611E5943644E30080EF95049C.872">#REF!</definedName>
    <definedName name="MSTR.C083CD4611E5943644E30080EF95049C.873">#REF!</definedName>
    <definedName name="MSTR.C083CD4611E5943644E30080EF95049C.874">#REF!</definedName>
    <definedName name="MSTR.C083CD4611E5943644E30080EF95049C.875">#REF!</definedName>
    <definedName name="MSTR.C083CD4611E5943644E30080EF95049C.876">#REF!</definedName>
    <definedName name="MSTR.C083CD4611E5943644E30080EF95049C.877">#REF!</definedName>
    <definedName name="MSTR.C083CD4611E5943644E30080EF95049C.878">#REF!</definedName>
    <definedName name="MSTR.C083CD4611E5943644E30080EF95049C.879">#REF!</definedName>
    <definedName name="MSTR.C083CD4611E5943644E30080EF95049C.88">#REF!</definedName>
    <definedName name="MSTR.C083CD4611E5943644E30080EF95049C.880">#REF!</definedName>
    <definedName name="MSTR.C083CD4611E5943644E30080EF95049C.881">#REF!</definedName>
    <definedName name="MSTR.C083CD4611E5943644E30080EF95049C.882">#REF!</definedName>
    <definedName name="MSTR.C083CD4611E5943644E30080EF95049C.89">#REF!</definedName>
    <definedName name="MSTR.C083CD4611E5943644E30080EF95049C.9">#REF!</definedName>
    <definedName name="MSTR.C083CD4611E5943644E30080EF95049C.90">#REF!</definedName>
    <definedName name="MSTR.C083CD4611E5943644E30080EF95049C.91">#REF!</definedName>
    <definedName name="MSTR.C083CD4611E5943644E30080EF95049C.92">#REF!</definedName>
    <definedName name="MSTR.C083CD4611E5943644E30080EF95049C.93">#REF!</definedName>
    <definedName name="MSTR.C083CD4611E5943644E30080EF95049C.94">#REF!</definedName>
    <definedName name="MSTR.C083CD4611E5943644E30080EF95049C.95">#REF!</definedName>
    <definedName name="MSTR.C083CD4611E5943644E30080EF95049C.96">#REF!</definedName>
    <definedName name="MSTR.C083CD4611E5943644E30080EF95049C.97">#REF!</definedName>
    <definedName name="MSTR.C083CD4611E5943644E30080EF95049C.98">#REF!</definedName>
    <definedName name="MSTR.C083CD4611E5943644E30080EF95049C.99">#REF!</definedName>
    <definedName name="MSTR.C1CFC84546675BC59DC2B4A21CC6C078">#REF!</definedName>
    <definedName name="MSTR.C1CFC84546675BC59DC2B4A21CC6C078.1">#REF!</definedName>
    <definedName name="MSTR.C1CFC84546675BC59DC2B4A21CC6C078.10">#REF!</definedName>
    <definedName name="MSTR.C1CFC84546675BC59DC2B4A21CC6C078.11">#REF!</definedName>
    <definedName name="MSTR.C1CFC84546675BC59DC2B4A21CC6C078.12">#REF!</definedName>
    <definedName name="MSTR.C1CFC84546675BC59DC2B4A21CC6C078.13">#REF!</definedName>
    <definedName name="MSTR.C1CFC84546675BC59DC2B4A21CC6C078.14">#REF!</definedName>
    <definedName name="MSTR.C1CFC84546675BC59DC2B4A21CC6C078.15">#REF!</definedName>
    <definedName name="MSTR.C1CFC84546675BC59DC2B4A21CC6C078.16">#REF!</definedName>
    <definedName name="MSTR.C1CFC84546675BC59DC2B4A21CC6C078.17">#REF!</definedName>
    <definedName name="MSTR.C1CFC84546675BC59DC2B4A21CC6C078.18">#REF!</definedName>
    <definedName name="MSTR.C1CFC84546675BC59DC2B4A21CC6C078.19">#REF!</definedName>
    <definedName name="MSTR.C1CFC84546675BC59DC2B4A21CC6C078.2">#REF!</definedName>
    <definedName name="MSTR.C1CFC84546675BC59DC2B4A21CC6C078.3">#REF!</definedName>
    <definedName name="MSTR.C1CFC84546675BC59DC2B4A21CC6C078.4">#REF!</definedName>
    <definedName name="MSTR.C1CFC84546675BC59DC2B4A21CC6C078.5">#REF!</definedName>
    <definedName name="MSTR.C1CFC84546675BC59DC2B4A21CC6C078.6">#REF!</definedName>
    <definedName name="MSTR.C1CFC84546675BC59DC2B4A21CC6C078.7">#REF!</definedName>
    <definedName name="MSTR.C1CFC84546675BC59DC2B4A21CC6C078.8">#REF!</definedName>
    <definedName name="MSTR.C1CFC84546675BC59DC2B4A21CC6C078.9">#REF!</definedName>
    <definedName name="MSTR.C7706BAE425F6CD1D4E9CDBFA0AEA356">#REF!</definedName>
    <definedName name="MSTR.C7706BAE425F6CD1D4E9CDBFA0AEA356.1">#REF!</definedName>
    <definedName name="MSTR.C7706BAE425F6CD1D4E9CDBFA0AEA356.10">#REF!</definedName>
    <definedName name="MSTR.C7706BAE425F6CD1D4E9CDBFA0AEA356.11">#REF!</definedName>
    <definedName name="MSTR.C7706BAE425F6CD1D4E9CDBFA0AEA356.12">#REF!</definedName>
    <definedName name="MSTR.C7706BAE425F6CD1D4E9CDBFA0AEA356.13">#REF!</definedName>
    <definedName name="MSTR.C7706BAE425F6CD1D4E9CDBFA0AEA356.14">#REF!</definedName>
    <definedName name="MSTR.C7706BAE425F6CD1D4E9CDBFA0AEA356.15">#REF!</definedName>
    <definedName name="MSTR.C7706BAE425F6CD1D4E9CDBFA0AEA356.16">#REF!</definedName>
    <definedName name="MSTR.C7706BAE425F6CD1D4E9CDBFA0AEA356.17">#REF!</definedName>
    <definedName name="MSTR.C7706BAE425F6CD1D4E9CDBFA0AEA356.18">#REF!</definedName>
    <definedName name="MSTR.C7706BAE425F6CD1D4E9CDBFA0AEA356.19">#REF!</definedName>
    <definedName name="MSTR.C7706BAE425F6CD1D4E9CDBFA0AEA356.2">#REF!</definedName>
    <definedName name="MSTR.C7706BAE425F6CD1D4E9CDBFA0AEA356.20">#REF!</definedName>
    <definedName name="MSTR.C7706BAE425F6CD1D4E9CDBFA0AEA356.21">#REF!</definedName>
    <definedName name="MSTR.C7706BAE425F6CD1D4E9CDBFA0AEA356.22">#REF!</definedName>
    <definedName name="MSTR.C7706BAE425F6CD1D4E9CDBFA0AEA356.23">#REF!</definedName>
    <definedName name="MSTR.C7706BAE425F6CD1D4E9CDBFA0AEA356.24">#REF!</definedName>
    <definedName name="MSTR.C7706BAE425F6CD1D4E9CDBFA0AEA356.25">#REF!</definedName>
    <definedName name="MSTR.C7706BAE425F6CD1D4E9CDBFA0AEA356.26">#REF!</definedName>
    <definedName name="MSTR.C7706BAE425F6CD1D4E9CDBFA0AEA356.27">#REF!</definedName>
    <definedName name="MSTR.C7706BAE425F6CD1D4E9CDBFA0AEA356.28">#REF!</definedName>
    <definedName name="MSTR.C7706BAE425F6CD1D4E9CDBFA0AEA356.29">#REF!</definedName>
    <definedName name="MSTR.C7706BAE425F6CD1D4E9CDBFA0AEA356.3">#REF!</definedName>
    <definedName name="MSTR.C7706BAE425F6CD1D4E9CDBFA0AEA356.30">#REF!</definedName>
    <definedName name="MSTR.C7706BAE425F6CD1D4E9CDBFA0AEA356.31">#REF!</definedName>
    <definedName name="MSTR.C7706BAE425F6CD1D4E9CDBFA0AEA356.32">#REF!</definedName>
    <definedName name="MSTR.C7706BAE425F6CD1D4E9CDBFA0AEA356.33">#REF!</definedName>
    <definedName name="MSTR.C7706BAE425F6CD1D4E9CDBFA0AEA356.34">#REF!</definedName>
    <definedName name="MSTR.C7706BAE425F6CD1D4E9CDBFA0AEA356.35">#REF!</definedName>
    <definedName name="MSTR.C7706BAE425F6CD1D4E9CDBFA0AEA356.36">#REF!</definedName>
    <definedName name="MSTR.C7706BAE425F6CD1D4E9CDBFA0AEA356.37">#REF!</definedName>
    <definedName name="MSTR.C7706BAE425F6CD1D4E9CDBFA0AEA356.38">#REF!</definedName>
    <definedName name="MSTR.C7706BAE425F6CD1D4E9CDBFA0AEA356.39">#REF!</definedName>
    <definedName name="MSTR.C7706BAE425F6CD1D4E9CDBFA0AEA356.4">#REF!</definedName>
    <definedName name="MSTR.C7706BAE425F6CD1D4E9CDBFA0AEA356.40">#REF!</definedName>
    <definedName name="MSTR.C7706BAE425F6CD1D4E9CDBFA0AEA356.41">#REF!</definedName>
    <definedName name="MSTR.C7706BAE425F6CD1D4E9CDBFA0AEA356.42">#REF!</definedName>
    <definedName name="MSTR.C7706BAE425F6CD1D4E9CDBFA0AEA356.43">#REF!</definedName>
    <definedName name="MSTR.C7706BAE425F6CD1D4E9CDBFA0AEA356.44">#REF!</definedName>
    <definedName name="MSTR.C7706BAE425F6CD1D4E9CDBFA0AEA356.45">#REF!</definedName>
    <definedName name="MSTR.C7706BAE425F6CD1D4E9CDBFA0AEA356.46">#REF!</definedName>
    <definedName name="MSTR.C7706BAE425F6CD1D4E9CDBFA0AEA356.47">#REF!</definedName>
    <definedName name="MSTR.C7706BAE425F6CD1D4E9CDBFA0AEA356.48">#REF!</definedName>
    <definedName name="MSTR.C7706BAE425F6CD1D4E9CDBFA0AEA356.49">#REF!</definedName>
    <definedName name="MSTR.C7706BAE425F6CD1D4E9CDBFA0AEA356.5">#REF!</definedName>
    <definedName name="MSTR.C7706BAE425F6CD1D4E9CDBFA0AEA356.50">#REF!</definedName>
    <definedName name="MSTR.C7706BAE425F6CD1D4E9CDBFA0AEA356.51">#REF!</definedName>
    <definedName name="MSTR.C7706BAE425F6CD1D4E9CDBFA0AEA356.52">#REF!</definedName>
    <definedName name="MSTR.C7706BAE425F6CD1D4E9CDBFA0AEA356.53">#REF!</definedName>
    <definedName name="MSTR.C7706BAE425F6CD1D4E9CDBFA0AEA356.54">#REF!</definedName>
    <definedName name="MSTR.C7706BAE425F6CD1D4E9CDBFA0AEA356.55">#REF!</definedName>
    <definedName name="MSTR.C7706BAE425F6CD1D4E9CDBFA0AEA356.56">#REF!</definedName>
    <definedName name="MSTR.C7706BAE425F6CD1D4E9CDBFA0AEA356.57">#REF!</definedName>
    <definedName name="MSTR.C7706BAE425F6CD1D4E9CDBFA0AEA356.58">#REF!</definedName>
    <definedName name="MSTR.C7706BAE425F6CD1D4E9CDBFA0AEA356.59">#REF!</definedName>
    <definedName name="MSTR.C7706BAE425F6CD1D4E9CDBFA0AEA356.6">#REF!</definedName>
    <definedName name="MSTR.C7706BAE425F6CD1D4E9CDBFA0AEA356.60">#REF!</definedName>
    <definedName name="MSTR.C7706BAE425F6CD1D4E9CDBFA0AEA356.61">#REF!</definedName>
    <definedName name="MSTR.C7706BAE425F6CD1D4E9CDBFA0AEA356.62">#REF!</definedName>
    <definedName name="MSTR.C7706BAE425F6CD1D4E9CDBFA0AEA356.63">#REF!</definedName>
    <definedName name="MSTR.C7706BAE425F6CD1D4E9CDBFA0AEA356.64">#REF!</definedName>
    <definedName name="MSTR.C7706BAE425F6CD1D4E9CDBFA0AEA356.65">#REF!</definedName>
    <definedName name="MSTR.C7706BAE425F6CD1D4E9CDBFA0AEA356.66">#REF!</definedName>
    <definedName name="MSTR.C7706BAE425F6CD1D4E9CDBFA0AEA356.67">#REF!</definedName>
    <definedName name="MSTR.C7706BAE425F6CD1D4E9CDBFA0AEA356.68">#REF!</definedName>
    <definedName name="MSTR.C7706BAE425F6CD1D4E9CDBFA0AEA356.69">#REF!</definedName>
    <definedName name="MSTR.C7706BAE425F6CD1D4E9CDBFA0AEA356.7">#REF!</definedName>
    <definedName name="MSTR.C7706BAE425F6CD1D4E9CDBFA0AEA356.70">#REF!</definedName>
    <definedName name="MSTR.C7706BAE425F6CD1D4E9CDBFA0AEA356.71">#REF!</definedName>
    <definedName name="MSTR.C7706BAE425F6CD1D4E9CDBFA0AEA356.72">#REF!</definedName>
    <definedName name="MSTR.C7706BAE425F6CD1D4E9CDBFA0AEA356.73">#REF!</definedName>
    <definedName name="MSTR.C7706BAE425F6CD1D4E9CDBFA0AEA356.74">#REF!</definedName>
    <definedName name="MSTR.C7706BAE425F6CD1D4E9CDBFA0AEA356.75">#REF!</definedName>
    <definedName name="MSTR.C7706BAE425F6CD1D4E9CDBFA0AEA356.76">#REF!</definedName>
    <definedName name="MSTR.C7706BAE425F6CD1D4E9CDBFA0AEA356.77">#REF!</definedName>
    <definedName name="MSTR.C7706BAE425F6CD1D4E9CDBFA0AEA356.78">#REF!</definedName>
    <definedName name="MSTR.C7706BAE425F6CD1D4E9CDBFA0AEA356.79">#REF!</definedName>
    <definedName name="MSTR.C7706BAE425F6CD1D4E9CDBFA0AEA356.8">#REF!</definedName>
    <definedName name="MSTR.C7706BAE425F6CD1D4E9CDBFA0AEA356.80">#REF!</definedName>
    <definedName name="MSTR.C7706BAE425F6CD1D4E9CDBFA0AEA356.81">#REF!</definedName>
    <definedName name="MSTR.C7706BAE425F6CD1D4E9CDBFA0AEA356.82">#REF!</definedName>
    <definedName name="MSTR.C7706BAE425F6CD1D4E9CDBFA0AEA356.83">#REF!</definedName>
    <definedName name="MSTR.C7706BAE425F6CD1D4E9CDBFA0AEA356.84">#REF!</definedName>
    <definedName name="MSTR.C7706BAE425F6CD1D4E9CDBFA0AEA356.85">#REF!</definedName>
    <definedName name="MSTR.C7706BAE425F6CD1D4E9CDBFA0AEA356.86">#REF!</definedName>
    <definedName name="MSTR.C7706BAE425F6CD1D4E9CDBFA0AEA356.87">#REF!</definedName>
    <definedName name="MSTR.C7706BAE425F6CD1D4E9CDBFA0AEA356.88">#REF!</definedName>
    <definedName name="MSTR.C7706BAE425F6CD1D4E9CDBFA0AEA356.89">#REF!</definedName>
    <definedName name="MSTR.C7706BAE425F6CD1D4E9CDBFA0AEA356.9">#REF!</definedName>
    <definedName name="MSTR.C7706BAE425F6CD1D4E9CDBFA0AEA356.90">#REF!</definedName>
    <definedName name="MSTR.C7706BAE425F6CD1D4E9CDBFA0AEA356.91">#REF!</definedName>
    <definedName name="MSTR.C7706BAE425F6CD1D4E9CDBFA0AEA356.92">#REF!</definedName>
    <definedName name="MSTR.C7706BAE425F6CD1D4E9CDBFA0AEA356.93">#REF!</definedName>
    <definedName name="MSTR.Capacidad_del_enlace__Diario_Simple_">#REF!</definedName>
    <definedName name="MSTR.Capacidad_del_enlace__Diario_Simple_1">#REF!</definedName>
    <definedName name="MSTR.CE5C3FC74516634D17B86D8979C778E8">#REF!</definedName>
    <definedName name="MSTR.CE5C3FC74516634D17B86D8979C778E8.1">#REF!</definedName>
    <definedName name="MSTR.CE5C3FC74516634D17B86D8979C778E8.10">#REF!</definedName>
    <definedName name="MSTR.CE5C3FC74516634D17B86D8979C778E8.11">#REF!</definedName>
    <definedName name="MSTR.CE5C3FC74516634D17B86D8979C778E8.12">#REF!</definedName>
    <definedName name="MSTR.CE5C3FC74516634D17B86D8979C778E8.13">#REF!</definedName>
    <definedName name="MSTR.CE5C3FC74516634D17B86D8979C778E8.14">#REF!</definedName>
    <definedName name="MSTR.CE5C3FC74516634D17B86D8979C778E8.15">#REF!</definedName>
    <definedName name="MSTR.CE5C3FC74516634D17B86D8979C778E8.16">#REF!</definedName>
    <definedName name="MSTR.CE5C3FC74516634D17B86D8979C778E8.17">#REF!</definedName>
    <definedName name="MSTR.CE5C3FC74516634D17B86D8979C778E8.18">#REF!</definedName>
    <definedName name="MSTR.CE5C3FC74516634D17B86D8979C778E8.19">#REF!</definedName>
    <definedName name="MSTR.CE5C3FC74516634D17B86D8979C778E8.2">#REF!</definedName>
    <definedName name="MSTR.CE5C3FC74516634D17B86D8979C778E8.20">#REF!</definedName>
    <definedName name="MSTR.CE5C3FC74516634D17B86D8979C778E8.21">#REF!</definedName>
    <definedName name="MSTR.CE5C3FC74516634D17B86D8979C778E8.22">#REF!</definedName>
    <definedName name="MSTR.CE5C3FC74516634D17B86D8979C778E8.23">#REF!</definedName>
    <definedName name="MSTR.CE5C3FC74516634D17B86D8979C778E8.24">#REF!</definedName>
    <definedName name="MSTR.CE5C3FC74516634D17B86D8979C778E8.25">#REF!</definedName>
    <definedName name="MSTR.CE5C3FC74516634D17B86D8979C778E8.26">#REF!</definedName>
    <definedName name="MSTR.CE5C3FC74516634D17B86D8979C778E8.27">#REF!</definedName>
    <definedName name="MSTR.CE5C3FC74516634D17B86D8979C778E8.28">#REF!</definedName>
    <definedName name="MSTR.CE5C3FC74516634D17B86D8979C778E8.29">#REF!</definedName>
    <definedName name="MSTR.CE5C3FC74516634D17B86D8979C778E8.3">#REF!</definedName>
    <definedName name="MSTR.CE5C3FC74516634D17B86D8979C778E8.30">#REF!</definedName>
    <definedName name="MSTR.CE5C3FC74516634D17B86D8979C778E8.31">#REF!</definedName>
    <definedName name="MSTR.CE5C3FC74516634D17B86D8979C778E8.32">#REF!</definedName>
    <definedName name="MSTR.CE5C3FC74516634D17B86D8979C778E8.33">#REF!</definedName>
    <definedName name="MSTR.CE5C3FC74516634D17B86D8979C778E8.34">#REF!</definedName>
    <definedName name="MSTR.CE5C3FC74516634D17B86D8979C778E8.35">#REF!</definedName>
    <definedName name="MSTR.CE5C3FC74516634D17B86D8979C778E8.36">#REF!</definedName>
    <definedName name="MSTR.CE5C3FC74516634D17B86D8979C778E8.37">#REF!</definedName>
    <definedName name="MSTR.CE5C3FC74516634D17B86D8979C778E8.38">#REF!</definedName>
    <definedName name="MSTR.CE5C3FC74516634D17B86D8979C778E8.39">#REF!</definedName>
    <definedName name="MSTR.CE5C3FC74516634D17B86D8979C778E8.4">#REF!</definedName>
    <definedName name="MSTR.CE5C3FC74516634D17B86D8979C778E8.40">#REF!</definedName>
    <definedName name="MSTR.CE5C3FC74516634D17B86D8979C778E8.41">#REF!</definedName>
    <definedName name="MSTR.CE5C3FC74516634D17B86D8979C778E8.42">#REF!</definedName>
    <definedName name="MSTR.CE5C3FC74516634D17B86D8979C778E8.43">#REF!</definedName>
    <definedName name="MSTR.CE5C3FC74516634D17B86D8979C778E8.44">#REF!</definedName>
    <definedName name="MSTR.CE5C3FC74516634D17B86D8979C778E8.45">#REF!</definedName>
    <definedName name="MSTR.CE5C3FC74516634D17B86D8979C778E8.46">#REF!</definedName>
    <definedName name="MSTR.CE5C3FC74516634D17B86D8979C778E8.47">#REF!</definedName>
    <definedName name="MSTR.CE5C3FC74516634D17B86D8979C778E8.48">#REF!</definedName>
    <definedName name="MSTR.CE5C3FC74516634D17B86D8979C778E8.49">#REF!</definedName>
    <definedName name="MSTR.CE5C3FC74516634D17B86D8979C778E8.5">#REF!</definedName>
    <definedName name="MSTR.CE5C3FC74516634D17B86D8979C778E8.50">#REF!</definedName>
    <definedName name="MSTR.CE5C3FC74516634D17B86D8979C778E8.6">#REF!</definedName>
    <definedName name="MSTR.CE5C3FC74516634D17B86D8979C778E8.7">#REF!</definedName>
    <definedName name="MSTR.CE5C3FC74516634D17B86D8979C778E8.8">#REF!</definedName>
    <definedName name="MSTR.CE5C3FC74516634D17B86D8979C778E8.9">#REF!</definedName>
    <definedName name="MSTR.Composición_de_la_Demanda__Diario_acumulado_">#REF!</definedName>
    <definedName name="MSTR.Composición_de_la_Demanda__Diario_acumulado_1">#REF!</definedName>
    <definedName name="MSTR.Composición_de_la_Demanda__Diario_acumulado_2">#REF!</definedName>
    <definedName name="MSTR.Composición_de_la_Demanda__Diario_acumulado_3">#REF!</definedName>
    <definedName name="MSTR.Composición_de_la_Demanda_horaria">#REF!</definedName>
    <definedName name="MSTR.Composición_de_la_Demanda_horaria1">#REF!</definedName>
    <definedName name="MSTR.Composición_de_la_Demanda_horaria2">#REF!</definedName>
    <definedName name="MSTR.Composición_de_la_Demanda_horaria3">#REF!</definedName>
    <definedName name="MSTR.Composición_de_la_Demanda_horaria4">#REF!</definedName>
    <definedName name="MSTR.Composición_de_la_Demanda_pbf">#REF!</definedName>
    <definedName name="MSTR.Composición_de_la_Demanda_pbf1">#REF!</definedName>
    <definedName name="MSTR.Composición_de_la_Demanda_pbf2">#REF!</definedName>
    <definedName name="MSTR.Composición_de_la_Demanda_pbf3">#REF!</definedName>
    <definedName name="MSTR.Composición_de_la_Demanda_pbf4">#REF!</definedName>
    <definedName name="MSTR.D148B31811E539AE00000080EFE543AF">#REF!</definedName>
    <definedName name="MSTR.D148B31811E539AE00000080EFE543AF.1">#REF!</definedName>
    <definedName name="MSTR.D148B31811E539AE00000080EFE543AF.10">#REF!</definedName>
    <definedName name="MSTR.D148B31811E539AE00000080EFE543AF.11">#REF!</definedName>
    <definedName name="MSTR.D148B31811E539AE00000080EFE543AF.12">#REF!</definedName>
    <definedName name="MSTR.D148B31811E539AE00000080EFE543AF.13">#REF!</definedName>
    <definedName name="MSTR.D148B31811E539AE00000080EFE543AF.2">#REF!</definedName>
    <definedName name="MSTR.D148B31811E539AE00000080EFE543AF.3">#REF!</definedName>
    <definedName name="MSTR.D148B31811E539AE00000080EFE543AF.4">#REF!</definedName>
    <definedName name="MSTR.D148B31811E539AE00000080EFE543AF.5">#REF!</definedName>
    <definedName name="MSTR.D148B31811E539AE00000080EFE543AF.6">#REF!</definedName>
    <definedName name="MSTR.D148B31811E539AE00000080EFE543AF.7">#REF!</definedName>
    <definedName name="MSTR.D148B31811E539AE00000080EFE543AF.8">#REF!</definedName>
    <definedName name="MSTR.D148B31811E539AE00000080EFE543AF.9">#REF!</definedName>
    <definedName name="MSTR.D8F5F70011E594361C430080EF75C298">#REF!</definedName>
    <definedName name="MSTR.D8F5F70011E594361C430080EF75C298.1">#REF!</definedName>
    <definedName name="MSTR.D8F5F70011E594361C430080EF75C298.10">#REF!</definedName>
    <definedName name="MSTR.D8F5F70011E594361C430080EF75C298.100">#REF!</definedName>
    <definedName name="MSTR.D8F5F70011E594361C430080EF75C298.101">#REF!</definedName>
    <definedName name="MSTR.D8F5F70011E594361C430080EF75C298.102">#REF!</definedName>
    <definedName name="MSTR.D8F5F70011E594361C430080EF75C298.103">#REF!</definedName>
    <definedName name="MSTR.D8F5F70011E594361C430080EF75C298.104">#REF!</definedName>
    <definedName name="MSTR.D8F5F70011E594361C430080EF75C298.105">#REF!</definedName>
    <definedName name="MSTR.D8F5F70011E594361C430080EF75C298.106">#REF!</definedName>
    <definedName name="MSTR.D8F5F70011E594361C430080EF75C298.107">#REF!</definedName>
    <definedName name="MSTR.D8F5F70011E594361C430080EF75C298.108">#REF!</definedName>
    <definedName name="MSTR.D8F5F70011E594361C430080EF75C298.109">#REF!</definedName>
    <definedName name="MSTR.D8F5F70011E594361C430080EF75C298.11">#REF!</definedName>
    <definedName name="MSTR.D8F5F70011E594361C430080EF75C298.110">#REF!</definedName>
    <definedName name="MSTR.D8F5F70011E594361C430080EF75C298.111">#REF!</definedName>
    <definedName name="MSTR.D8F5F70011E594361C430080EF75C298.112">#REF!</definedName>
    <definedName name="MSTR.D8F5F70011E594361C430080EF75C298.113">#REF!</definedName>
    <definedName name="MSTR.D8F5F70011E594361C430080EF75C298.114">#REF!</definedName>
    <definedName name="MSTR.D8F5F70011E594361C430080EF75C298.115">#REF!</definedName>
    <definedName name="MSTR.D8F5F70011E594361C430080EF75C298.116">#REF!</definedName>
    <definedName name="MSTR.D8F5F70011E594361C430080EF75C298.117">#REF!</definedName>
    <definedName name="MSTR.D8F5F70011E594361C430080EF75C298.118">#REF!</definedName>
    <definedName name="MSTR.D8F5F70011E594361C430080EF75C298.119">#REF!</definedName>
    <definedName name="MSTR.D8F5F70011E594361C430080EF75C298.12">#REF!</definedName>
    <definedName name="MSTR.D8F5F70011E594361C430080EF75C298.120">#REF!</definedName>
    <definedName name="MSTR.D8F5F70011E594361C430080EF75C298.13">#REF!</definedName>
    <definedName name="MSTR.D8F5F70011E594361C430080EF75C298.14">#REF!</definedName>
    <definedName name="MSTR.D8F5F70011E594361C430080EF75C298.15">#REF!</definedName>
    <definedName name="MSTR.D8F5F70011E594361C430080EF75C298.16">#REF!</definedName>
    <definedName name="MSTR.D8F5F70011E594361C430080EF75C298.17">#REF!</definedName>
    <definedName name="MSTR.D8F5F70011E594361C430080EF75C298.18">#REF!</definedName>
    <definedName name="MSTR.D8F5F70011E594361C430080EF75C298.19">#REF!</definedName>
    <definedName name="MSTR.D8F5F70011E594361C430080EF75C298.2">#REF!</definedName>
    <definedName name="MSTR.D8F5F70011E594361C430080EF75C298.20">#REF!</definedName>
    <definedName name="MSTR.D8F5F70011E594361C430080EF75C298.21">#REF!</definedName>
    <definedName name="MSTR.D8F5F70011E594361C430080EF75C298.22">#REF!</definedName>
    <definedName name="MSTR.D8F5F70011E594361C430080EF75C298.23">#REF!</definedName>
    <definedName name="MSTR.D8F5F70011E594361C430080EF75C298.24">#REF!</definedName>
    <definedName name="MSTR.D8F5F70011E594361C430080EF75C298.25">#REF!</definedName>
    <definedName name="MSTR.D8F5F70011E594361C430080EF75C298.26">#REF!</definedName>
    <definedName name="MSTR.D8F5F70011E594361C430080EF75C298.27">#REF!</definedName>
    <definedName name="MSTR.D8F5F70011E594361C430080EF75C298.28">#REF!</definedName>
    <definedName name="MSTR.D8F5F70011E594361C430080EF75C298.29">#REF!</definedName>
    <definedName name="MSTR.D8F5F70011E594361C430080EF75C298.3">#REF!</definedName>
    <definedName name="MSTR.D8F5F70011E594361C430080EF75C298.30">#REF!</definedName>
    <definedName name="MSTR.D8F5F70011E594361C430080EF75C298.31">#REF!</definedName>
    <definedName name="MSTR.D8F5F70011E594361C430080EF75C298.32">#REF!</definedName>
    <definedName name="MSTR.D8F5F70011E594361C430080EF75C298.33">#REF!</definedName>
    <definedName name="MSTR.D8F5F70011E594361C430080EF75C298.34">#REF!</definedName>
    <definedName name="MSTR.D8F5F70011E594361C430080EF75C298.35">#REF!</definedName>
    <definedName name="MSTR.D8F5F70011E594361C430080EF75C298.36">#REF!</definedName>
    <definedName name="MSTR.D8F5F70011E594361C430080EF75C298.37">#REF!</definedName>
    <definedName name="MSTR.D8F5F70011E594361C430080EF75C298.38">#REF!</definedName>
    <definedName name="MSTR.D8F5F70011E594361C430080EF75C298.39">#REF!</definedName>
    <definedName name="MSTR.D8F5F70011E594361C430080EF75C298.4">#REF!</definedName>
    <definedName name="MSTR.D8F5F70011E594361C430080EF75C298.40">#REF!</definedName>
    <definedName name="MSTR.D8F5F70011E594361C430080EF75C298.41">#REF!</definedName>
    <definedName name="MSTR.D8F5F70011E594361C430080EF75C298.42">#REF!</definedName>
    <definedName name="MSTR.D8F5F70011E594361C430080EF75C298.43">#REF!</definedName>
    <definedName name="MSTR.D8F5F70011E594361C430080EF75C298.44">#REF!</definedName>
    <definedName name="MSTR.D8F5F70011E594361C430080EF75C298.45">#REF!</definedName>
    <definedName name="MSTR.D8F5F70011E594361C430080EF75C298.46">#REF!</definedName>
    <definedName name="MSTR.D8F5F70011E594361C430080EF75C298.47">#REF!</definedName>
    <definedName name="MSTR.D8F5F70011E594361C430080EF75C298.48">#REF!</definedName>
    <definedName name="MSTR.D8F5F70011E594361C430080EF75C298.49">#REF!</definedName>
    <definedName name="MSTR.D8F5F70011E594361C430080EF75C298.5">#REF!</definedName>
    <definedName name="MSTR.D8F5F70011E594361C430080EF75C298.50">#REF!</definedName>
    <definedName name="MSTR.D8F5F70011E594361C430080EF75C298.51">#REF!</definedName>
    <definedName name="MSTR.D8F5F70011E594361C430080EF75C298.52">#REF!</definedName>
    <definedName name="MSTR.D8F5F70011E594361C430080EF75C298.53">#REF!</definedName>
    <definedName name="MSTR.D8F5F70011E594361C430080EF75C298.54">#REF!</definedName>
    <definedName name="MSTR.D8F5F70011E594361C430080EF75C298.55">#REF!</definedName>
    <definedName name="MSTR.D8F5F70011E594361C430080EF75C298.56">#REF!</definedName>
    <definedName name="MSTR.D8F5F70011E594361C430080EF75C298.57">#REF!</definedName>
    <definedName name="MSTR.D8F5F70011E594361C430080EF75C298.58">#REF!</definedName>
    <definedName name="MSTR.D8F5F70011E594361C430080EF75C298.59">#REF!</definedName>
    <definedName name="MSTR.D8F5F70011E594361C430080EF75C298.6">#REF!</definedName>
    <definedName name="MSTR.D8F5F70011E594361C430080EF75C298.60">#REF!</definedName>
    <definedName name="MSTR.D8F5F70011E594361C430080EF75C298.61">#REF!</definedName>
    <definedName name="MSTR.D8F5F70011E594361C430080EF75C298.62">#REF!</definedName>
    <definedName name="MSTR.D8F5F70011E594361C430080EF75C298.63">#REF!</definedName>
    <definedName name="MSTR.D8F5F70011E594361C430080EF75C298.64">#REF!</definedName>
    <definedName name="MSTR.D8F5F70011E594361C430080EF75C298.65">#REF!</definedName>
    <definedName name="MSTR.D8F5F70011E594361C430080EF75C298.66">#REF!</definedName>
    <definedName name="MSTR.D8F5F70011E594361C430080EF75C298.67">#REF!</definedName>
    <definedName name="MSTR.D8F5F70011E594361C430080EF75C298.68">#REF!</definedName>
    <definedName name="MSTR.D8F5F70011E594361C430080EF75C298.69">#REF!</definedName>
    <definedName name="MSTR.D8F5F70011E594361C430080EF75C298.7">#REF!</definedName>
    <definedName name="MSTR.D8F5F70011E594361C430080EF75C298.70">#REF!</definedName>
    <definedName name="MSTR.D8F5F70011E594361C430080EF75C298.71">#REF!</definedName>
    <definedName name="MSTR.D8F5F70011E594361C430080EF75C298.72">#REF!</definedName>
    <definedName name="MSTR.D8F5F70011E594361C430080EF75C298.73">#REF!</definedName>
    <definedName name="MSTR.D8F5F70011E594361C430080EF75C298.74">#REF!</definedName>
    <definedName name="MSTR.D8F5F70011E594361C430080EF75C298.75">#REF!</definedName>
    <definedName name="MSTR.D8F5F70011E594361C430080EF75C298.76">#REF!</definedName>
    <definedName name="MSTR.D8F5F70011E594361C430080EF75C298.77">#REF!</definedName>
    <definedName name="MSTR.D8F5F70011E594361C430080EF75C298.78">#REF!</definedName>
    <definedName name="MSTR.D8F5F70011E594361C430080EF75C298.79">#REF!</definedName>
    <definedName name="MSTR.D8F5F70011E594361C430080EF75C298.8">#REF!</definedName>
    <definedName name="MSTR.D8F5F70011E594361C430080EF75C298.80">#REF!</definedName>
    <definedName name="MSTR.D8F5F70011E594361C430080EF75C298.81">#REF!</definedName>
    <definedName name="MSTR.D8F5F70011E594361C430080EF75C298.82">#REF!</definedName>
    <definedName name="MSTR.D8F5F70011E594361C430080EF75C298.83">#REF!</definedName>
    <definedName name="MSTR.D8F5F70011E594361C430080EF75C298.84">#REF!</definedName>
    <definedName name="MSTR.D8F5F70011E594361C430080EF75C298.85">#REF!</definedName>
    <definedName name="MSTR.D8F5F70011E594361C430080EF75C298.86">#REF!</definedName>
    <definedName name="MSTR.D8F5F70011E594361C430080EF75C298.87">#REF!</definedName>
    <definedName name="MSTR.D8F5F70011E594361C430080EF75C298.88">#REF!</definedName>
    <definedName name="MSTR.D8F5F70011E594361C430080EF75C298.89">#REF!</definedName>
    <definedName name="MSTR.D8F5F70011E594361C430080EF75C298.9">#REF!</definedName>
    <definedName name="MSTR.D8F5F70011E594361C430080EF75C298.90">#REF!</definedName>
    <definedName name="MSTR.D8F5F70011E594361C430080EF75C298.91">#REF!</definedName>
    <definedName name="MSTR.D8F5F70011E594361C430080EF75C298.92">#REF!</definedName>
    <definedName name="MSTR.D8F5F70011E594361C430080EF75C298.93">#REF!</definedName>
    <definedName name="MSTR.D8F5F70011E594361C430080EF75C298.94">#REF!</definedName>
    <definedName name="MSTR.D8F5F70011E594361C430080EF75C298.95">#REF!</definedName>
    <definedName name="MSTR.D8F5F70011E594361C430080EF75C298.96">#REF!</definedName>
    <definedName name="MSTR.D8F5F70011E594361C430080EF75C298.97">#REF!</definedName>
    <definedName name="MSTR.D8F5F70011E594361C430080EF75C298.98">#REF!</definedName>
    <definedName name="MSTR.D8F5F70011E594361C430080EF75C298.99">#REF!</definedName>
    <definedName name="MSTR.DA76E3244BFF66183A115491B6573ECB">#REF!</definedName>
    <definedName name="MSTR.DA76E3244BFF66183A115491B6573ECB.1">#REF!</definedName>
    <definedName name="MSTR.DA76E3244BFF66183A115491B6573ECB.10">#REF!</definedName>
    <definedName name="MSTR.DA76E3244BFF66183A115491B6573ECB.11">#REF!</definedName>
    <definedName name="MSTR.DA76E3244BFF66183A115491B6573ECB.12">#REF!</definedName>
    <definedName name="MSTR.DA76E3244BFF66183A115491B6573ECB.13">#REF!</definedName>
    <definedName name="MSTR.DA76E3244BFF66183A115491B6573ECB.14">#REF!</definedName>
    <definedName name="MSTR.DA76E3244BFF66183A115491B6573ECB.15">#REF!</definedName>
    <definedName name="MSTR.DA76E3244BFF66183A115491B6573ECB.16">#REF!</definedName>
    <definedName name="MSTR.DA76E3244BFF66183A115491B6573ECB.17">#REF!</definedName>
    <definedName name="MSTR.DA76E3244BFF66183A115491B6573ECB.18">#REF!</definedName>
    <definedName name="MSTR.DA76E3244BFF66183A115491B6573ECB.19">#REF!</definedName>
    <definedName name="MSTR.DA76E3244BFF66183A115491B6573ECB.2">#REF!</definedName>
    <definedName name="MSTR.DA76E3244BFF66183A115491B6573ECB.20">#REF!</definedName>
    <definedName name="MSTR.DA76E3244BFF66183A115491B6573ECB.21">#REF!</definedName>
    <definedName name="MSTR.DA76E3244BFF66183A115491B6573ECB.22">#REF!</definedName>
    <definedName name="MSTR.DA76E3244BFF66183A115491B6573ECB.23">#REF!</definedName>
    <definedName name="MSTR.DA76E3244BFF66183A115491B6573ECB.24">#REF!</definedName>
    <definedName name="MSTR.DA76E3244BFF66183A115491B6573ECB.25">#REF!</definedName>
    <definedName name="MSTR.DA76E3244BFF66183A115491B6573ECB.26">#REF!</definedName>
    <definedName name="MSTR.DA76E3244BFF66183A115491B6573ECB.27">#REF!</definedName>
    <definedName name="MSTR.DA76E3244BFF66183A115491B6573ECB.28">#REF!</definedName>
    <definedName name="MSTR.DA76E3244BFF66183A115491B6573ECB.29">#REF!</definedName>
    <definedName name="MSTR.DA76E3244BFF66183A115491B6573ECB.3">#REF!</definedName>
    <definedName name="MSTR.DA76E3244BFF66183A115491B6573ECB.30">#REF!</definedName>
    <definedName name="MSTR.DA76E3244BFF66183A115491B6573ECB.31">#REF!</definedName>
    <definedName name="MSTR.DA76E3244BFF66183A115491B6573ECB.32">#REF!</definedName>
    <definedName name="MSTR.DA76E3244BFF66183A115491B6573ECB.33">#REF!</definedName>
    <definedName name="MSTR.DA76E3244BFF66183A115491B6573ECB.34">#REF!</definedName>
    <definedName name="MSTR.DA76E3244BFF66183A115491B6573ECB.35">#REF!</definedName>
    <definedName name="MSTR.DA76E3244BFF66183A115491B6573ECB.36">#REF!</definedName>
    <definedName name="MSTR.DA76E3244BFF66183A115491B6573ECB.37">#REF!</definedName>
    <definedName name="MSTR.DA76E3244BFF66183A115491B6573ECB.38">#REF!</definedName>
    <definedName name="MSTR.DA76E3244BFF66183A115491B6573ECB.39">#REF!</definedName>
    <definedName name="MSTR.DA76E3244BFF66183A115491B6573ECB.4">#REF!</definedName>
    <definedName name="MSTR.DA76E3244BFF66183A115491B6573ECB.40">#REF!</definedName>
    <definedName name="MSTR.DA76E3244BFF66183A115491B6573ECB.41">#REF!</definedName>
    <definedName name="MSTR.DA76E3244BFF66183A115491B6573ECB.42">#REF!</definedName>
    <definedName name="MSTR.DA76E3244BFF66183A115491B6573ECB.43">#REF!</definedName>
    <definedName name="MSTR.DA76E3244BFF66183A115491B6573ECB.44">#REF!</definedName>
    <definedName name="MSTR.DA76E3244BFF66183A115491B6573ECB.45">#REF!</definedName>
    <definedName name="MSTR.DA76E3244BFF66183A115491B6573ECB.46">#REF!</definedName>
    <definedName name="MSTR.DA76E3244BFF66183A115491B6573ECB.47">#REF!</definedName>
    <definedName name="MSTR.DA76E3244BFF66183A115491B6573ECB.48">#REF!</definedName>
    <definedName name="MSTR.DA76E3244BFF66183A115491B6573ECB.5">#REF!</definedName>
    <definedName name="MSTR.DA76E3244BFF66183A115491B6573ECB.6">#REF!</definedName>
    <definedName name="MSTR.DA76E3244BFF66183A115491B6573ECB.7">#REF!</definedName>
    <definedName name="MSTR.DA76E3244BFF66183A115491B6573ECB.8">#REF!</definedName>
    <definedName name="MSTR.DA76E3244BFF66183A115491B6573ECB.9">#REF!</definedName>
    <definedName name="MSTR.DC68287011E53FEC00000080EF5523B0">#REF!</definedName>
    <definedName name="MSTR.DC68287011E53FEC00000080EF5523B0.1">#REF!</definedName>
    <definedName name="MSTR.DC68287011E53FEC00000080EF5523B0.10">#REF!</definedName>
    <definedName name="MSTR.DC68287011E53FEC00000080EF5523B0.11">#REF!</definedName>
    <definedName name="MSTR.DC68287011E53FEC00000080EF5523B0.12">#REF!</definedName>
    <definedName name="MSTR.DC68287011E53FEC00000080EF5523B0.13">#REF!</definedName>
    <definedName name="MSTR.DC68287011E53FEC00000080EF5523B0.14">#REF!</definedName>
    <definedName name="MSTR.DC68287011E53FEC00000080EF5523B0.15">#REF!</definedName>
    <definedName name="MSTR.DC68287011E53FEC00000080EF5523B0.16">#REF!</definedName>
    <definedName name="MSTR.DC68287011E53FEC00000080EF5523B0.17">#REF!</definedName>
    <definedName name="MSTR.DC68287011E53FEC00000080EF5523B0.18">#REF!</definedName>
    <definedName name="MSTR.DC68287011E53FEC00000080EF5523B0.19">#REF!</definedName>
    <definedName name="MSTR.DC68287011E53FEC00000080EF5523B0.2">#REF!</definedName>
    <definedName name="MSTR.DC68287011E53FEC00000080EF5523B0.3">#REF!</definedName>
    <definedName name="MSTR.DC68287011E53FEC00000080EF5523B0.4">#REF!</definedName>
    <definedName name="MSTR.DC68287011E53FEC00000080EF5523B0.5">#REF!</definedName>
    <definedName name="MSTR.DC68287011E53FEC00000080EF5523B0.6">#REF!</definedName>
    <definedName name="MSTR.DC68287011E53FEC00000080EF5523B0.7">#REF!</definedName>
    <definedName name="MSTR.DC68287011E53FEC00000080EF5523B0.8">#REF!</definedName>
    <definedName name="MSTR.DC68287011E53FEC00000080EF5523B0.9">#REF!</definedName>
    <definedName name="MSTR.DE23B2D211E539A800000080EF951320">#REF!</definedName>
    <definedName name="MSTR.DE23B2D211E539A800000080EF951320.1">#REF!</definedName>
    <definedName name="MSTR.DE23B2D211E539A800000080EF951320.10">#REF!</definedName>
    <definedName name="MSTR.DE23B2D211E539A800000080EF951320.11">#REF!</definedName>
    <definedName name="MSTR.DE23B2D211E539A800000080EF951320.12">#REF!</definedName>
    <definedName name="MSTR.DE23B2D211E539A800000080EF951320.13">#REF!</definedName>
    <definedName name="MSTR.DE23B2D211E539A800000080EF951320.14">#REF!</definedName>
    <definedName name="MSTR.DE23B2D211E539A800000080EF951320.2">#REF!</definedName>
    <definedName name="MSTR.DE23B2D211E539A800000080EF951320.3">#REF!</definedName>
    <definedName name="MSTR.DE23B2D211E539A800000080EF951320.4">#REF!</definedName>
    <definedName name="MSTR.DE23B2D211E539A800000080EF951320.5">#REF!</definedName>
    <definedName name="MSTR.DE23B2D211E539A800000080EF951320.6">#REF!</definedName>
    <definedName name="MSTR.DE23B2D211E539A800000080EF951320.7">#REF!</definedName>
    <definedName name="MSTR.DE23B2D211E539A800000080EF951320.8">#REF!</definedName>
    <definedName name="MSTR.DE23B2D211E539A800000080EF951320.9">#REF!</definedName>
    <definedName name="MSTR.Demanda__día_hora_">#REF!</definedName>
    <definedName name="MSTR.Demanda__día_hora_1">#REF!</definedName>
    <definedName name="MSTR.Demanda__día_hora_2">#REF!</definedName>
    <definedName name="MSTR.Demanda__día_hora_3">#REF!</definedName>
    <definedName name="MSTR.E4ACB6004B447AAE78DA06B6A694B5DF">#REF!</definedName>
    <definedName name="MSTR.E4ACB6004B447AAE78DA06B6A694B5DF.1">#REF!</definedName>
    <definedName name="MSTR.E500C91F4579C0CD449CCD8D5476A3BE">#REF!</definedName>
    <definedName name="MSTR.E500C91F4579C0CD449CCD8D5476A3BE.1">#REF!</definedName>
    <definedName name="MSTR.E500C91F4579C0CD449CCD8D5476A3BE.10">#REF!</definedName>
    <definedName name="MSTR.E500C91F4579C0CD449CCD8D5476A3BE.11">#REF!</definedName>
    <definedName name="MSTR.E500C91F4579C0CD449CCD8D5476A3BE.12">#REF!</definedName>
    <definedName name="MSTR.E500C91F4579C0CD449CCD8D5476A3BE.13">#REF!</definedName>
    <definedName name="MSTR.E500C91F4579C0CD449CCD8D5476A3BE.14">#REF!</definedName>
    <definedName name="MSTR.E500C91F4579C0CD449CCD8D5476A3BE.15">#REF!</definedName>
    <definedName name="MSTR.E500C91F4579C0CD449CCD8D5476A3BE.16">#REF!</definedName>
    <definedName name="MSTR.E500C91F4579C0CD449CCD8D5476A3BE.17">#REF!</definedName>
    <definedName name="MSTR.E500C91F4579C0CD449CCD8D5476A3BE.18">#REF!</definedName>
    <definedName name="MSTR.E500C91F4579C0CD449CCD8D5476A3BE.19">#REF!</definedName>
    <definedName name="MSTR.E500C91F4579C0CD449CCD8D5476A3BE.2">#REF!</definedName>
    <definedName name="MSTR.E500C91F4579C0CD449CCD8D5476A3BE.20">#REF!</definedName>
    <definedName name="MSTR.E500C91F4579C0CD449CCD8D5476A3BE.21">#REF!</definedName>
    <definedName name="MSTR.E500C91F4579C0CD449CCD8D5476A3BE.22">#REF!</definedName>
    <definedName name="MSTR.E500C91F4579C0CD449CCD8D5476A3BE.23">#REF!</definedName>
    <definedName name="MSTR.E500C91F4579C0CD449CCD8D5476A3BE.24">#REF!</definedName>
    <definedName name="MSTR.E500C91F4579C0CD449CCD8D5476A3BE.25">#REF!</definedName>
    <definedName name="MSTR.E500C91F4579C0CD449CCD8D5476A3BE.26">#REF!</definedName>
    <definedName name="MSTR.E500C91F4579C0CD449CCD8D5476A3BE.27">#REF!</definedName>
    <definedName name="MSTR.E500C91F4579C0CD449CCD8D5476A3BE.28">#REF!</definedName>
    <definedName name="MSTR.E500C91F4579C0CD449CCD8D5476A3BE.29">#REF!</definedName>
    <definedName name="MSTR.E500C91F4579C0CD449CCD8D5476A3BE.3">#REF!</definedName>
    <definedName name="MSTR.E500C91F4579C0CD449CCD8D5476A3BE.30">#REF!</definedName>
    <definedName name="MSTR.E500C91F4579C0CD449CCD8D5476A3BE.31">#REF!</definedName>
    <definedName name="MSTR.E500C91F4579C0CD449CCD8D5476A3BE.32">#REF!</definedName>
    <definedName name="MSTR.E500C91F4579C0CD449CCD8D5476A3BE.33">#REF!</definedName>
    <definedName name="MSTR.E500C91F4579C0CD449CCD8D5476A3BE.34">#REF!</definedName>
    <definedName name="MSTR.E500C91F4579C0CD449CCD8D5476A3BE.35">#REF!</definedName>
    <definedName name="MSTR.E500C91F4579C0CD449CCD8D5476A3BE.36">#REF!</definedName>
    <definedName name="MSTR.E500C91F4579C0CD449CCD8D5476A3BE.37">#REF!</definedName>
    <definedName name="MSTR.E500C91F4579C0CD449CCD8D5476A3BE.38">#REF!</definedName>
    <definedName name="MSTR.E500C91F4579C0CD449CCD8D5476A3BE.39">#REF!</definedName>
    <definedName name="MSTR.E500C91F4579C0CD449CCD8D5476A3BE.4">#REF!</definedName>
    <definedName name="MSTR.E500C91F4579C0CD449CCD8D5476A3BE.40">#REF!</definedName>
    <definedName name="MSTR.E500C91F4579C0CD449CCD8D5476A3BE.41">#REF!</definedName>
    <definedName name="MSTR.E500C91F4579C0CD449CCD8D5476A3BE.42">#REF!</definedName>
    <definedName name="MSTR.E500C91F4579C0CD449CCD8D5476A3BE.43">#REF!</definedName>
    <definedName name="MSTR.E500C91F4579C0CD449CCD8D5476A3BE.44">#REF!</definedName>
    <definedName name="MSTR.E500C91F4579C0CD449CCD8D5476A3BE.45">#REF!</definedName>
    <definedName name="MSTR.E500C91F4579C0CD449CCD8D5476A3BE.46">#REF!</definedName>
    <definedName name="MSTR.E500C91F4579C0CD449CCD8D5476A3BE.47">#REF!</definedName>
    <definedName name="MSTR.E500C91F4579C0CD449CCD8D5476A3BE.48">#REF!</definedName>
    <definedName name="MSTR.E500C91F4579C0CD449CCD8D5476A3BE.49">#REF!</definedName>
    <definedName name="MSTR.E500C91F4579C0CD449CCD8D5476A3BE.5">#REF!</definedName>
    <definedName name="MSTR.E500C91F4579C0CD449CCD8D5476A3BE.6">#REF!</definedName>
    <definedName name="MSTR.E500C91F4579C0CD449CCD8D5476A3BE.7">#REF!</definedName>
    <definedName name="MSTR.E500C91F4579C0CD449CCD8D5476A3BE.8">#REF!</definedName>
    <definedName name="MSTR.E500C91F4579C0CD449CCD8D5476A3BE.9">#REF!</definedName>
    <definedName name="MSTR.EA45B89211E5943620850080EF95049C">#REF!</definedName>
    <definedName name="MSTR.EA45B89211E5943620850080EF95049C.1">#REF!</definedName>
    <definedName name="MSTR.EA45B89211E5943620850080EF95049C.10">#REF!</definedName>
    <definedName name="MSTR.EA45B89211E5943620850080EF95049C.11">#REF!</definedName>
    <definedName name="MSTR.EA45B89211E5943620850080EF95049C.12">#REF!</definedName>
    <definedName name="MSTR.EA45B89211E5943620850080EF95049C.13">#REF!</definedName>
    <definedName name="MSTR.EA45B89211E5943620850080EF95049C.14">#REF!</definedName>
    <definedName name="MSTR.EA45B89211E5943620850080EF95049C.15">#REF!</definedName>
    <definedName name="MSTR.EA45B89211E5943620850080EF95049C.16">#REF!</definedName>
    <definedName name="MSTR.EA45B89211E5943620850080EF95049C.17">#REF!</definedName>
    <definedName name="MSTR.EA45B89211E5943620850080EF95049C.18">#REF!</definedName>
    <definedName name="MSTR.EA45B89211E5943620850080EF95049C.19">#REF!</definedName>
    <definedName name="MSTR.EA45B89211E5943620850080EF95049C.2">#REF!</definedName>
    <definedName name="MSTR.EA45B89211E5943620850080EF95049C.20">#REF!</definedName>
    <definedName name="MSTR.EA45B89211E5943620850080EF95049C.21">#REF!</definedName>
    <definedName name="MSTR.EA45B89211E5943620850080EF95049C.22">#REF!</definedName>
    <definedName name="MSTR.EA45B89211E5943620850080EF95049C.23">#REF!</definedName>
    <definedName name="MSTR.EA45B89211E5943620850080EF95049C.24">#REF!</definedName>
    <definedName name="MSTR.EA45B89211E5943620850080EF95049C.25">#REF!</definedName>
    <definedName name="MSTR.EA45B89211E5943620850080EF95049C.26">#REF!</definedName>
    <definedName name="MSTR.EA45B89211E5943620850080EF95049C.27">#REF!</definedName>
    <definedName name="MSTR.EA45B89211E5943620850080EF95049C.28">#REF!</definedName>
    <definedName name="MSTR.EA45B89211E5943620850080EF95049C.29">#REF!</definedName>
    <definedName name="MSTR.EA45B89211E5943620850080EF95049C.3">#REF!</definedName>
    <definedName name="MSTR.EA45B89211E5943620850080EF95049C.30">#REF!</definedName>
    <definedName name="MSTR.EA45B89211E5943620850080EF95049C.31">#REF!</definedName>
    <definedName name="MSTR.EA45B89211E5943620850080EF95049C.32">#REF!</definedName>
    <definedName name="MSTR.EA45B89211E5943620850080EF95049C.33">#REF!</definedName>
    <definedName name="MSTR.EA45B89211E5943620850080EF95049C.34">#REF!</definedName>
    <definedName name="MSTR.EA45B89211E5943620850080EF95049C.35">#REF!</definedName>
    <definedName name="MSTR.EA45B89211E5943620850080EF95049C.36">#REF!</definedName>
    <definedName name="MSTR.EA45B89211E5943620850080EF95049C.37">#REF!</definedName>
    <definedName name="MSTR.EA45B89211E5943620850080EF95049C.38">#REF!</definedName>
    <definedName name="MSTR.EA45B89211E5943620850080EF95049C.39">#REF!</definedName>
    <definedName name="MSTR.EA45B89211E5943620850080EF95049C.4">#REF!</definedName>
    <definedName name="MSTR.EA45B89211E5943620850080EF95049C.40">#REF!</definedName>
    <definedName name="MSTR.EA45B89211E5943620850080EF95049C.41">#REF!</definedName>
    <definedName name="MSTR.EA45B89211E5943620850080EF95049C.42">#REF!</definedName>
    <definedName name="MSTR.EA45B89211E5943620850080EF95049C.43">#REF!</definedName>
    <definedName name="MSTR.EA45B89211E5943620850080EF95049C.44">#REF!</definedName>
    <definedName name="MSTR.EA45B89211E5943620850080EF95049C.45">#REF!</definedName>
    <definedName name="MSTR.EA45B89211E5943620850080EF95049C.46">#REF!</definedName>
    <definedName name="MSTR.EA45B89211E5943620850080EF95049C.47">#REF!</definedName>
    <definedName name="MSTR.EA45B89211E5943620850080EF95049C.48">#REF!</definedName>
    <definedName name="MSTR.EA45B89211E5943620850080EF95049C.49">#REF!</definedName>
    <definedName name="MSTR.EA45B89211E5943620850080EF95049C.5">#REF!</definedName>
    <definedName name="MSTR.EA45B89211E5943620850080EF95049C.50">#REF!</definedName>
    <definedName name="MSTR.EA45B89211E5943620850080EF95049C.51">#REF!</definedName>
    <definedName name="MSTR.EA45B89211E5943620850080EF95049C.52">#REF!</definedName>
    <definedName name="MSTR.EA45B89211E5943620850080EF95049C.6">#REF!</definedName>
    <definedName name="MSTR.EA45B89211E5943620850080EF95049C.7">#REF!</definedName>
    <definedName name="MSTR.EA45B89211E5943620850080EF95049C.8">#REF!</definedName>
    <definedName name="MSTR.EA45B89211E5943620850080EF95049C.9">#REF!</definedName>
    <definedName name="MSTR.EA7D952611E544C4AAB70080EF858F8F">#REF!</definedName>
    <definedName name="MSTR.EA7D952611E544C4AAB70080EF858F8F.1">#REF!</definedName>
    <definedName name="MSTR.EA7D952611E544C4AAB70080EF858F8F.10">#REF!</definedName>
    <definedName name="MSTR.EA7D952611E544C4AAB70080EF858F8F.2">#REF!</definedName>
    <definedName name="MSTR.EA7D952611E544C4AAB70080EF858F8F.3">#REF!</definedName>
    <definedName name="MSTR.EA7D952611E544C4AAB70080EF858F8F.4">#REF!</definedName>
    <definedName name="MSTR.EA7D952611E544C4AAB70080EF858F8F.5">#REF!</definedName>
    <definedName name="MSTR.EA7D952611E544C4AAB70080EF858F8F.6">#REF!</definedName>
    <definedName name="MSTR.EA7D952611E544C4AAB70080EF858F8F.7">#REF!</definedName>
    <definedName name="MSTR.EA7D952611E544C4AAB70080EF858F8F.8">#REF!</definedName>
    <definedName name="MSTR.EA7D952611E544C4AAB70080EF858F8F.9">#REF!</definedName>
    <definedName name="MSTR.Energía_restricciones_técnicas_PDBF_Combustible">#REF!</definedName>
    <definedName name="MSTR.F36A8F7E413F36F43E1DDFB5ADE315A1">#REF!</definedName>
    <definedName name="MSTR.F36A8F7E413F36F43E1DDFB5ADE315A1.1">#REF!</definedName>
    <definedName name="MSTR.F36A8F7E413F36F43E1DDFB5ADE315A1.10">#REF!</definedName>
    <definedName name="MSTR.F36A8F7E413F36F43E1DDFB5ADE315A1.11">#REF!</definedName>
    <definedName name="MSTR.F36A8F7E413F36F43E1DDFB5ADE315A1.12">#REF!</definedName>
    <definedName name="MSTR.F36A8F7E413F36F43E1DDFB5ADE315A1.13">#REF!</definedName>
    <definedName name="MSTR.F36A8F7E413F36F43E1DDFB5ADE315A1.14">#REF!</definedName>
    <definedName name="MSTR.F36A8F7E413F36F43E1DDFB5ADE315A1.15">#REF!</definedName>
    <definedName name="MSTR.F36A8F7E413F36F43E1DDFB5ADE315A1.16">#REF!</definedName>
    <definedName name="MSTR.F36A8F7E413F36F43E1DDFB5ADE315A1.17">#REF!</definedName>
    <definedName name="MSTR.F36A8F7E413F36F43E1DDFB5ADE315A1.18">#REF!</definedName>
    <definedName name="MSTR.F36A8F7E413F36F43E1DDFB5ADE315A1.19">#REF!</definedName>
    <definedName name="MSTR.F36A8F7E413F36F43E1DDFB5ADE315A1.2">#REF!</definedName>
    <definedName name="MSTR.F36A8F7E413F36F43E1DDFB5ADE315A1.20">#REF!</definedName>
    <definedName name="MSTR.F36A8F7E413F36F43E1DDFB5ADE315A1.21">#REF!</definedName>
    <definedName name="MSTR.F36A8F7E413F36F43E1DDFB5ADE315A1.22">#REF!</definedName>
    <definedName name="MSTR.F36A8F7E413F36F43E1DDFB5ADE315A1.23">#REF!</definedName>
    <definedName name="MSTR.F36A8F7E413F36F43E1DDFB5ADE315A1.24">#REF!</definedName>
    <definedName name="MSTR.F36A8F7E413F36F43E1DDFB5ADE315A1.25">#REF!</definedName>
    <definedName name="MSTR.F36A8F7E413F36F43E1DDFB5ADE315A1.26">#REF!</definedName>
    <definedName name="MSTR.F36A8F7E413F36F43E1DDFB5ADE315A1.27">#REF!</definedName>
    <definedName name="MSTR.F36A8F7E413F36F43E1DDFB5ADE315A1.28">#REF!</definedName>
    <definedName name="MSTR.F36A8F7E413F36F43E1DDFB5ADE315A1.29">#REF!</definedName>
    <definedName name="MSTR.F36A8F7E413F36F43E1DDFB5ADE315A1.3">#REF!</definedName>
    <definedName name="MSTR.F36A8F7E413F36F43E1DDFB5ADE315A1.30">#REF!</definedName>
    <definedName name="MSTR.F36A8F7E413F36F43E1DDFB5ADE315A1.31">#REF!</definedName>
    <definedName name="MSTR.F36A8F7E413F36F43E1DDFB5ADE315A1.32">#REF!</definedName>
    <definedName name="MSTR.F36A8F7E413F36F43E1DDFB5ADE315A1.33">#REF!</definedName>
    <definedName name="MSTR.F36A8F7E413F36F43E1DDFB5ADE315A1.34">#REF!</definedName>
    <definedName name="MSTR.F36A8F7E413F36F43E1DDFB5ADE315A1.35">#REF!</definedName>
    <definedName name="MSTR.F36A8F7E413F36F43E1DDFB5ADE315A1.36">#REF!</definedName>
    <definedName name="MSTR.F36A8F7E413F36F43E1DDFB5ADE315A1.37">#REF!</definedName>
    <definedName name="MSTR.F36A8F7E413F36F43E1DDFB5ADE315A1.38">#REF!</definedName>
    <definedName name="MSTR.F36A8F7E413F36F43E1DDFB5ADE315A1.39">#REF!</definedName>
    <definedName name="MSTR.F36A8F7E413F36F43E1DDFB5ADE315A1.4">#REF!</definedName>
    <definedName name="MSTR.F36A8F7E413F36F43E1DDFB5ADE315A1.40">#REF!</definedName>
    <definedName name="MSTR.F36A8F7E413F36F43E1DDFB5ADE315A1.41">#REF!</definedName>
    <definedName name="MSTR.F36A8F7E413F36F43E1DDFB5ADE315A1.42">#REF!</definedName>
    <definedName name="MSTR.F36A8F7E413F36F43E1DDFB5ADE315A1.43">#REF!</definedName>
    <definedName name="MSTR.F36A8F7E413F36F43E1DDFB5ADE315A1.44">#REF!</definedName>
    <definedName name="MSTR.F36A8F7E413F36F43E1DDFB5ADE315A1.45">#REF!</definedName>
    <definedName name="MSTR.F36A8F7E413F36F43E1DDFB5ADE315A1.46">#REF!</definedName>
    <definedName name="MSTR.F36A8F7E413F36F43E1DDFB5ADE315A1.47">#REF!</definedName>
    <definedName name="MSTR.F36A8F7E413F36F43E1DDFB5ADE315A1.48">#REF!</definedName>
    <definedName name="MSTR.F36A8F7E413F36F43E1DDFB5ADE315A1.49">#REF!</definedName>
    <definedName name="MSTR.F36A8F7E413F36F43E1DDFB5ADE315A1.5">#REF!</definedName>
    <definedName name="MSTR.F36A8F7E413F36F43E1DDFB5ADE315A1.50">#REF!</definedName>
    <definedName name="MSTR.F36A8F7E413F36F43E1DDFB5ADE315A1.51">#REF!</definedName>
    <definedName name="MSTR.F36A8F7E413F36F43E1DDFB5ADE315A1.52">#REF!</definedName>
    <definedName name="MSTR.F36A8F7E413F36F43E1DDFB5ADE315A1.6">#REF!</definedName>
    <definedName name="MSTR.F36A8F7E413F36F43E1DDFB5ADE315A1.7">#REF!</definedName>
    <definedName name="MSTR.F36A8F7E413F36F43E1DDFB5ADE315A1.8">#REF!</definedName>
    <definedName name="MSTR.F36A8F7E413F36F43E1DDFB5ADE315A1.9">#REF!</definedName>
    <definedName name="MSTR.GENERACION_BILATERAL">#REF!</definedName>
    <definedName name="MSTR.GENERACION_BILATERAL1">#REF!</definedName>
    <definedName name="MSTR.GENERACION_BILATERAL2">#REF!</definedName>
    <definedName name="MSTR.GENERACION_BILATERAL3">#REF!</definedName>
    <definedName name="MSTR.GENERACION_BILATERAL4">#REF!</definedName>
    <definedName name="MSTR.GeneraciónPBF">#REF!</definedName>
    <definedName name="MSTR.GeneraciónPBF1">#REF!</definedName>
    <definedName name="MSTR.GeneraciónPBF2">#REF!</definedName>
    <definedName name="MSTR.GeneraciónPBF3">#REF!</definedName>
    <definedName name="MSTR.GeneraciónPBF4">#REF!</definedName>
    <definedName name="MSTR.Mercado_Diario">#REF!</definedName>
    <definedName name="MSTR.Mercado_Intradiario2">#REF!</definedName>
    <definedName name="MSTR.Mercado_Intradiario3">#REF!</definedName>
    <definedName name="MSTR.Mercado_Intradiario4">#REF!</definedName>
    <definedName name="MSTR.Mercado_Intradiario5">#REF!</definedName>
    <definedName name="MSTR.Mercado_Intradiario6">#REF!</definedName>
    <definedName name="MSTR.Precio_medio_final_Mensual">#REF!</definedName>
    <definedName name="MSTR.Precios_Enlace_Baleares">#REF!</definedName>
    <definedName name="MSTR.pRECIOS_MERCADOS_EUROPEOS">#REF!</definedName>
    <definedName name="MSTR.Precios_y_energías_MD____Diario_simple_">#REF!</definedName>
    <definedName name="MSTR.Precios_y_energías_MD____Diario_simple_1">#REF!</definedName>
    <definedName name="MSTR.Precios_y_energías_MD____Diario_simple_2">#REF!</definedName>
    <definedName name="MSTR.Precios_y_energías_MD____Diario_simple_3">#REF!</definedName>
    <definedName name="MSTR.Programa_del_enlace__Diario_Simple_">#REF!</definedName>
    <definedName name="MSTR.Res_adi_subir_mensual__Combustible">#REF!</definedName>
    <definedName name="MSTR.ROPRIMA">#REF!</definedName>
    <definedName name="MSTR.ROPRIMA1">#REF!</definedName>
    <definedName name="MSTR.ROPRIMA2">#REF!</definedName>
    <definedName name="MSTR.ROPRIMA3">#REF!</definedName>
    <definedName name="MSTR.Transición_PBC_P48__Balance_detalle_desglose">#REF!</definedName>
    <definedName name="MSTR.Transición_PBC_P48__Balance_detalle_desglose1">#REF!</definedName>
  </definedNames>
  <calcPr calcId="191029"/>
  <customWorkbookViews>
    <customWorkbookView name="C1_V" guid="{900DFCB2-DCF9-11D6-8470-0008C7298EBA}" includePrintSettings="0" includeHiddenRowCol="0" maximized="1" showSheetTabs="0" windowWidth="794" windowHeight="457" tabRatio="905" activeSheetId="62755" showStatusbar="0"/>
    <customWorkbookView name="C3_V" guid="{900DFCB4-DCF9-11D6-8470-0008C7298EBA}" includePrintSettings="0" includeHiddenRowCol="0" maximized="1" showSheetTabs="0" windowWidth="794" windowHeight="457" tabRatio="905" activeSheetId="62755" showStatusbar="0"/>
    <customWorkbookView name="C2_V" guid="{900DFCB5-DCF9-11D6-8470-0008C7298EBA}" includePrintSettings="0" includeHiddenRowCol="0" maximized="1" showSheetTabs="0" windowWidth="794" windowHeight="457" tabRatio="905" activeSheetId="62754" showStatusbar="0"/>
    <customWorkbookView name="C4_V" guid="{900DFCB6-DCF9-11D6-8470-0008C7298EBA}" includePrintSettings="0" includeHiddenRowCol="0" maximized="1" showSheetTabs="0" windowWidth="794" windowHeight="457" tabRatio="905" activeSheetId="62755" showStatusbar="0"/>
    <customWorkbookView name="C5_V" guid="{900DFCB7-DCF9-11D6-8470-0008C7298EBA}" includePrintSettings="0" includeHiddenRowCol="0" maximized="1" showSheetTabs="0" windowWidth="794" windowHeight="457" tabRatio="905" activeSheetId="62755" showStatusbar="0"/>
    <customWorkbookView name="C7_V" guid="{900DFCB8-DCF9-11D6-8470-0008C7298EBA}" includePrintSettings="0" includeHiddenRowCol="0" maximized="1" showSheetTabs="0" windowWidth="794" windowHeight="457" tabRatio="905" activeSheetId="62754" showStatusbar="0"/>
    <customWorkbookView name="C8_V" guid="{900DFCB9-DCF9-11D6-8470-0008C7298EBA}" includePrintSettings="0" includeHiddenRowCol="0" maximized="1" showSheetTabs="0" windowWidth="794" windowHeight="457" tabRatio="905" activeSheetId="62755" showStatusbar="0"/>
    <customWorkbookView name="C9_V" guid="{900DFCBA-DCF9-11D6-8470-0008C7298EBA}" includePrintSettings="0" includeHiddenRowCol="0" maximized="1" showSheetTabs="0" windowWidth="794" windowHeight="457" tabRatio="905" activeSheetId="62755" showStatusbar="0"/>
    <customWorkbookView name="C10_V" guid="{900DFCBB-DCF9-11D6-8470-0008C7298EBA}" includePrintSettings="0" includeHiddenRowCol="0" maximized="1" showSheetTabs="0" windowWidth="794" windowHeight="457" tabRatio="905" activeSheetId="62755" showStatusbar="0"/>
    <customWorkbookView name="C11_V" guid="{900DFCBC-DCF9-11D6-8470-0008C7298EBA}" includePrintSettings="0" includeHiddenRowCol="0" maximized="1" showSheetTabs="0" windowWidth="794" windowHeight="457" tabRatio="905" activeSheetId="62755" showStatusbar="0"/>
    <customWorkbookView name="C12_V" guid="{900DFCBD-DCF9-11D6-8470-0008C7298EBA}" includePrintSettings="0" includeHiddenRowCol="0" maximized="1" showSheetTabs="0" windowWidth="794" windowHeight="457" tabRatio="905" activeSheetId="62755" showStatusbar="0"/>
    <customWorkbookView name="C13_V" guid="{900DFCBE-DCF9-11D6-8470-0008C7298EBA}" includePrintSettings="0" includeHiddenRowCol="0" maximized="1" showSheetTabs="0" windowWidth="794" windowHeight="457" tabRatio="905" activeSheetId="62755" showStatusbar="0"/>
    <customWorkbookView name="C14_V" guid="{900DFCBF-DCF9-11D6-8470-0008C7298EBA}" includePrintSettings="0" includeHiddenRowCol="0" maximized="1" showSheetTabs="0" windowWidth="794" windowHeight="457" tabRatio="905" activeSheetId="62755" showStatusbar="0"/>
    <customWorkbookView name="C20_V" guid="{900DFCC0-DCF9-11D6-8470-0008C7298EBA}" includePrintSettings="0" includeHiddenRowCol="0" maximized="1" showSheetTabs="0" windowWidth="794" windowHeight="457" tabRatio="905" activeSheetId="62755" showStatusbar="0"/>
    <customWorkbookView name="C23_V" guid="{900DFCC1-DCF9-11D6-8470-0008C7298EBA}" includePrintSettings="0" includeHiddenRowCol="0" maximized="1" showSheetTabs="0" windowWidth="794" windowHeight="457" tabRatio="905" activeSheetId="62755" showStatusbar="0"/>
    <customWorkbookView name="C25_V" guid="{900DFCC2-DCF9-11D6-8470-0008C7298EBA}" includePrintSettings="0" includeHiddenRowCol="0" maximized="1" showSheetTabs="0" windowWidth="794" windowHeight="457" tabRatio="905" activeSheetId="62755" showStatusbar="0"/>
    <customWorkbookView name="C26_V" guid="{900DFCC3-DCF9-11D6-8470-0008C7298EBA}" includePrintSettings="0" includeHiddenRowCol="0" maximized="1" showSheetTabs="0" windowWidth="794" windowHeight="457" tabRatio="905" activeSheetId="62755" showStatusbar="0"/>
    <customWorkbookView name="C28_V" guid="{900DFCC4-DCF9-11D6-8470-0008C7298EBA}" includePrintSettings="0" includeHiddenRowCol="0" maximized="1" showSheetTabs="0" windowWidth="794" windowHeight="457" tabRatio="905" activeSheetId="62755" showStatusbar="0"/>
    <customWorkbookView name="C29_V" guid="{900DFCC5-DCF9-11D6-8470-0008C7298EBA}" includePrintSettings="0" includeHiddenRowCol="0" maximized="1" showSheetTabs="0" windowWidth="794" windowHeight="457" tabRatio="905" activeSheetId="62755" showStatusbar="0"/>
    <customWorkbookView name="C31_V" guid="{900DFCC6-DCF9-11D6-8470-0008C7298EBA}" includePrintSettings="0" includeHiddenRowCol="0" maximized="1" showSheetTabs="0" windowWidth="794" windowHeight="457" tabRatio="905" activeSheetId="62755" showStatusbar="0"/>
    <customWorkbookView name="C33_V" guid="{900DFCC7-DCF9-11D6-8470-0008C7298EBA}" includePrintSettings="0" includeHiddenRowCol="0" maximized="1" showSheetTabs="0" windowWidth="794" windowHeight="457" tabRatio="905" activeSheetId="62755"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5" i="96" l="1"/>
  <c r="N91" i="96"/>
  <c r="N74" i="96" l="1"/>
  <c r="N73" i="96"/>
  <c r="O65" i="96"/>
  <c r="L84" i="96" l="1"/>
  <c r="AN8" i="96" l="1"/>
  <c r="M87" i="96" l="1"/>
  <c r="M86" i="96"/>
  <c r="M82" i="96"/>
  <c r="M89" i="96"/>
  <c r="AN38" i="96" l="1"/>
  <c r="AN9" i="96"/>
  <c r="AN10" i="96"/>
  <c r="AN11" i="96"/>
  <c r="AN12" i="96"/>
  <c r="AN13" i="96"/>
  <c r="AN14" i="96"/>
  <c r="AN15" i="96"/>
  <c r="AN16" i="96"/>
  <c r="AN17" i="96"/>
  <c r="AN18" i="96"/>
  <c r="AN19" i="96"/>
  <c r="AN20" i="96"/>
  <c r="AN21" i="96"/>
  <c r="AN22" i="96"/>
  <c r="AN23" i="96"/>
  <c r="AN24" i="96"/>
  <c r="AN25" i="96"/>
  <c r="AN26" i="96"/>
  <c r="AN27" i="96"/>
  <c r="AN28" i="96"/>
  <c r="AN29" i="96"/>
  <c r="AN30" i="96"/>
  <c r="AN31" i="96"/>
  <c r="AN32" i="96"/>
  <c r="AN33" i="96"/>
  <c r="AN34" i="96"/>
  <c r="AN35" i="96"/>
  <c r="AN36" i="96"/>
  <c r="AN37" i="96"/>
  <c r="B89" i="96" l="1"/>
  <c r="Q372" i="96" l="1"/>
  <c r="P372" i="96"/>
  <c r="P355" i="96"/>
  <c r="N318" i="96" l="1"/>
  <c r="M318" i="96"/>
  <c r="L318" i="96"/>
  <c r="K318" i="96"/>
  <c r="J318" i="96"/>
  <c r="I318" i="96"/>
  <c r="H318" i="96"/>
  <c r="G318" i="96"/>
  <c r="F318" i="96"/>
  <c r="E318" i="96"/>
  <c r="D318" i="96"/>
  <c r="C318" i="96"/>
  <c r="B318" i="96"/>
  <c r="P171" i="96"/>
  <c r="P152" i="96"/>
  <c r="C107" i="96" l="1"/>
  <c r="I466" i="96"/>
  <c r="F466" i="96"/>
  <c r="C466" i="96"/>
  <c r="B466" i="96"/>
  <c r="C105" i="96"/>
  <c r="C104" i="96"/>
  <c r="C103" i="96"/>
  <c r="C102" i="96"/>
  <c r="C101" i="96"/>
  <c r="C100" i="96"/>
  <c r="C99" i="96"/>
  <c r="C98" i="96"/>
  <c r="H94" i="96"/>
  <c r="F94" i="96"/>
  <c r="E94" i="96"/>
  <c r="C94" i="96"/>
  <c r="B94" i="96"/>
  <c r="N90" i="96"/>
  <c r="N89" i="96"/>
  <c r="N88" i="96"/>
  <c r="N87" i="96"/>
  <c r="N86" i="96"/>
  <c r="N85" i="96"/>
  <c r="N83" i="96"/>
  <c r="N82" i="96"/>
  <c r="A116" i="96"/>
  <c r="G106" i="96" s="1"/>
  <c r="G101" i="96"/>
  <c r="C106" i="96" l="1"/>
  <c r="I465" i="96"/>
  <c r="F465" i="96"/>
  <c r="C465" i="96"/>
  <c r="B465" i="96"/>
  <c r="B464" i="96"/>
  <c r="B454" i="96"/>
  <c r="N395" i="96" l="1"/>
  <c r="M395" i="96"/>
  <c r="L395" i="96"/>
  <c r="K395" i="96"/>
  <c r="J395" i="96"/>
  <c r="I395" i="96"/>
  <c r="H395" i="96"/>
  <c r="G395" i="96"/>
  <c r="F395" i="96"/>
  <c r="E395" i="96"/>
  <c r="D395" i="96"/>
  <c r="C395" i="96"/>
  <c r="B395" i="96"/>
  <c r="M84" i="96" l="1"/>
  <c r="P65" i="96" l="1"/>
  <c r="M90" i="96" l="1"/>
  <c r="M88" i="96"/>
  <c r="M85" i="96"/>
  <c r="M83" i="96"/>
  <c r="K84" i="96"/>
  <c r="J84" i="96"/>
  <c r="I84" i="96"/>
  <c r="K89" i="96"/>
  <c r="J89" i="96"/>
  <c r="I89" i="96"/>
  <c r="H89" i="96"/>
  <c r="G89" i="96"/>
  <c r="F89" i="96"/>
  <c r="E89" i="96"/>
  <c r="D89" i="96"/>
  <c r="C89" i="96"/>
  <c r="L89" i="96"/>
  <c r="G84" i="96"/>
  <c r="H84" i="96"/>
  <c r="C84" i="96"/>
  <c r="D84" i="96"/>
  <c r="E84" i="96"/>
  <c r="F84" i="96"/>
  <c r="B84" i="96"/>
  <c r="N84" i="96" l="1"/>
  <c r="P420" i="96" l="1"/>
  <c r="P419" i="96"/>
  <c r="P418" i="96"/>
  <c r="P416" i="96"/>
  <c r="P415" i="96"/>
  <c r="P414" i="96"/>
  <c r="P413" i="96"/>
  <c r="P406" i="96" l="1"/>
  <c r="P405" i="96"/>
  <c r="P404" i="96"/>
  <c r="P403" i="96"/>
  <c r="N390" i="96"/>
  <c r="M390" i="96"/>
  <c r="L390" i="96"/>
  <c r="K390" i="96"/>
  <c r="J390" i="96"/>
  <c r="I390" i="96"/>
  <c r="H390" i="96"/>
  <c r="G390" i="96"/>
  <c r="F390" i="96"/>
  <c r="E390" i="96"/>
  <c r="D390" i="96"/>
  <c r="C390" i="96"/>
  <c r="B390" i="96"/>
  <c r="C126" i="96"/>
  <c r="B126" i="96"/>
  <c r="K94" i="96" l="1"/>
  <c r="G107" i="96" l="1"/>
  <c r="G105" i="96"/>
  <c r="G104" i="96"/>
  <c r="G103" i="96"/>
  <c r="G102" i="96"/>
  <c r="G100" i="96"/>
  <c r="G99" i="96"/>
  <c r="G98" i="96"/>
  <c r="L90" i="96"/>
  <c r="L88" i="96"/>
  <c r="L87" i="96"/>
  <c r="L86" i="96"/>
  <c r="L85" i="96"/>
  <c r="L83" i="96"/>
  <c r="L82" i="96"/>
  <c r="K90" i="96"/>
  <c r="K88" i="96"/>
  <c r="K87" i="96"/>
  <c r="K86" i="96"/>
  <c r="K85" i="96"/>
  <c r="K83" i="96"/>
  <c r="K82" i="96"/>
  <c r="J90" i="96"/>
  <c r="J88" i="96"/>
  <c r="J87" i="96"/>
  <c r="J86" i="96"/>
  <c r="J85" i="96"/>
  <c r="J83" i="96"/>
  <c r="J82" i="96"/>
  <c r="I90" i="96"/>
  <c r="I88" i="96"/>
  <c r="I87" i="96"/>
  <c r="I86" i="96"/>
  <c r="I85" i="96"/>
  <c r="I83" i="96"/>
  <c r="I82" i="96"/>
  <c r="H90" i="96"/>
  <c r="H88" i="96"/>
  <c r="H87" i="96"/>
  <c r="H86" i="96"/>
  <c r="H85" i="96"/>
  <c r="H83" i="96"/>
  <c r="H82" i="96"/>
  <c r="G90" i="96"/>
  <c r="G88" i="96"/>
  <c r="G87" i="96"/>
  <c r="G86" i="96"/>
  <c r="G85" i="96"/>
  <c r="G83" i="96"/>
  <c r="G82" i="96"/>
  <c r="F90" i="96"/>
  <c r="F88" i="96"/>
  <c r="F87" i="96"/>
  <c r="F86" i="96"/>
  <c r="F85" i="96"/>
  <c r="F83" i="96"/>
  <c r="F82" i="96"/>
  <c r="E90" i="96"/>
  <c r="E88" i="96"/>
  <c r="E87" i="96"/>
  <c r="E86" i="96"/>
  <c r="E85" i="96"/>
  <c r="E83" i="96"/>
  <c r="E82" i="96"/>
  <c r="D90" i="96"/>
  <c r="D88" i="96"/>
  <c r="D87" i="96"/>
  <c r="D86" i="96"/>
  <c r="D85" i="96"/>
  <c r="D83" i="96"/>
  <c r="D82" i="96"/>
  <c r="C90" i="96"/>
  <c r="C88" i="96"/>
  <c r="C87" i="96"/>
  <c r="C86" i="96"/>
  <c r="C85" i="96"/>
  <c r="C83" i="96"/>
  <c r="C82" i="96"/>
  <c r="B82" i="96"/>
  <c r="M81" i="96" l="1"/>
  <c r="N81" i="96"/>
  <c r="F13" i="76" l="1"/>
  <c r="G97" i="96"/>
  <c r="B88" i="96" l="1"/>
  <c r="B87" i="96"/>
  <c r="B86" i="96"/>
  <c r="B85" i="96"/>
  <c r="B83" i="96"/>
  <c r="B90" i="96"/>
  <c r="O90" i="96" l="1"/>
  <c r="P90" i="96" s="1"/>
  <c r="J94" i="96"/>
  <c r="I94" i="96"/>
  <c r="H121" i="96" l="1"/>
  <c r="C81" i="96"/>
  <c r="D81" i="96"/>
  <c r="E81" i="96"/>
  <c r="F81" i="96"/>
  <c r="G81" i="96"/>
  <c r="H81" i="96"/>
  <c r="I81" i="96"/>
  <c r="J81" i="96"/>
  <c r="K81" i="96"/>
  <c r="L81" i="96"/>
  <c r="B81" i="96"/>
  <c r="H4" i="71" l="1"/>
  <c r="A2" i="96"/>
  <c r="F95" i="96" l="1"/>
  <c r="G459" i="96"/>
  <c r="G458" i="96"/>
  <c r="G457" i="96"/>
  <c r="G460" i="96"/>
  <c r="G461" i="96"/>
  <c r="G462" i="96"/>
  <c r="G463" i="96"/>
  <c r="G464" i="96"/>
  <c r="G456" i="96"/>
  <c r="G455" i="96"/>
  <c r="I454" i="96"/>
  <c r="G454" i="96"/>
  <c r="F454" i="96"/>
  <c r="C454" i="96"/>
  <c r="E454" i="96"/>
  <c r="F464" i="96"/>
  <c r="C464" i="96"/>
  <c r="F463" i="96"/>
  <c r="C463" i="96"/>
  <c r="B463" i="96"/>
  <c r="F462" i="96"/>
  <c r="C462" i="96"/>
  <c r="B462" i="96"/>
  <c r="F461" i="96"/>
  <c r="C461" i="96"/>
  <c r="B461" i="96"/>
  <c r="F460" i="96"/>
  <c r="C460" i="96"/>
  <c r="B460" i="96"/>
  <c r="F459" i="96"/>
  <c r="C459" i="96"/>
  <c r="B459" i="96"/>
  <c r="F458" i="96"/>
  <c r="C458" i="96"/>
  <c r="B458" i="96"/>
  <c r="F457" i="96"/>
  <c r="C457" i="96"/>
  <c r="B457" i="96"/>
  <c r="F456" i="96"/>
  <c r="C456" i="96"/>
  <c r="B456" i="96"/>
  <c r="F455" i="96"/>
  <c r="C455" i="96"/>
  <c r="B455" i="96"/>
  <c r="E465" i="96"/>
  <c r="E464" i="96"/>
  <c r="E463" i="96"/>
  <c r="E462" i="96"/>
  <c r="E461" i="96"/>
  <c r="E460" i="96"/>
  <c r="E459" i="96"/>
  <c r="E458" i="96"/>
  <c r="E457" i="96"/>
  <c r="E456" i="96"/>
  <c r="E455" i="96"/>
  <c r="E466" i="96" l="1"/>
  <c r="G94" i="96" s="1"/>
  <c r="G14" i="76"/>
  <c r="F14" i="76"/>
  <c r="Q298" i="96" l="1"/>
  <c r="O183" i="96" l="1"/>
  <c r="P192" i="96"/>
  <c r="O191" i="96"/>
  <c r="O192" i="96"/>
  <c r="C187" i="96"/>
  <c r="D187" i="96"/>
  <c r="E187" i="96"/>
  <c r="F187" i="96"/>
  <c r="G187" i="96"/>
  <c r="H187" i="96"/>
  <c r="I187" i="96"/>
  <c r="J187" i="96"/>
  <c r="K187" i="96"/>
  <c r="L187" i="96"/>
  <c r="M187" i="96"/>
  <c r="N187" i="96"/>
  <c r="B187" i="96"/>
  <c r="C180" i="96"/>
  <c r="D180" i="96"/>
  <c r="E180" i="96"/>
  <c r="F180" i="96"/>
  <c r="G180" i="96"/>
  <c r="H180" i="96"/>
  <c r="I180" i="96"/>
  <c r="J180" i="96"/>
  <c r="K180" i="96"/>
  <c r="L180" i="96"/>
  <c r="M180" i="96"/>
  <c r="N180" i="96"/>
  <c r="B180" i="96"/>
  <c r="O336" i="96"/>
  <c r="N336" i="96"/>
  <c r="M336" i="96"/>
  <c r="L336" i="96"/>
  <c r="K336" i="96"/>
  <c r="J336" i="96"/>
  <c r="I336" i="96"/>
  <c r="H336" i="96"/>
  <c r="G336" i="96"/>
  <c r="F336" i="96"/>
  <c r="E336" i="96"/>
  <c r="D336" i="96"/>
  <c r="C336" i="96"/>
  <c r="C125" i="96"/>
  <c r="B125" i="96"/>
  <c r="N313" i="96"/>
  <c r="M313" i="96"/>
  <c r="L313" i="96"/>
  <c r="K313" i="96"/>
  <c r="J313" i="96"/>
  <c r="I313" i="96"/>
  <c r="H313" i="96"/>
  <c r="G313" i="96"/>
  <c r="F313" i="96"/>
  <c r="E313" i="96"/>
  <c r="D313" i="96"/>
  <c r="C313" i="96"/>
  <c r="B313" i="96"/>
  <c r="O257" i="96"/>
  <c r="N257" i="96"/>
  <c r="M257" i="96"/>
  <c r="L257" i="96"/>
  <c r="K257" i="96"/>
  <c r="J257" i="96"/>
  <c r="I257" i="96"/>
  <c r="H257" i="96"/>
  <c r="G257" i="96"/>
  <c r="F257" i="96"/>
  <c r="E257" i="96"/>
  <c r="D257" i="96"/>
  <c r="C257" i="96"/>
  <c r="O194" i="96"/>
  <c r="N194" i="96"/>
  <c r="M194" i="96"/>
  <c r="L194" i="96"/>
  <c r="K194" i="96"/>
  <c r="J194" i="96"/>
  <c r="I194" i="96"/>
  <c r="H194" i="96"/>
  <c r="G194" i="96"/>
  <c r="F194" i="96"/>
  <c r="E194" i="96"/>
  <c r="D194" i="96"/>
  <c r="C194" i="96"/>
  <c r="P298" i="96" l="1"/>
  <c r="P279" i="96"/>
  <c r="Q235" i="96"/>
  <c r="P235" i="96"/>
  <c r="P216" i="96"/>
  <c r="I121" i="96" l="1"/>
  <c r="F8" i="76" l="1"/>
  <c r="C97" i="96"/>
  <c r="G8" i="76" s="1"/>
  <c r="H122" i="96" l="1"/>
  <c r="I122" i="96" l="1"/>
  <c r="D130" i="96"/>
  <c r="E130" i="96"/>
  <c r="F130" i="96"/>
  <c r="G130" i="96"/>
  <c r="H130" i="96"/>
  <c r="I130" i="96"/>
  <c r="J130" i="96"/>
  <c r="K130" i="96"/>
  <c r="L130" i="96"/>
  <c r="M130" i="96"/>
  <c r="N130" i="96"/>
  <c r="O130" i="96"/>
  <c r="C130" i="96"/>
  <c r="G9" i="76"/>
  <c r="F15" i="76"/>
  <c r="G15" i="76"/>
  <c r="G13" i="76"/>
  <c r="F12" i="76"/>
  <c r="G12" i="76"/>
  <c r="F10" i="76"/>
  <c r="G10" i="76"/>
  <c r="F9" i="76"/>
  <c r="A454" i="96" l="1"/>
  <c r="J454" i="96" s="1"/>
  <c r="A455" i="96"/>
  <c r="J455" i="96" s="1"/>
  <c r="I455" i="96"/>
  <c r="A456" i="96"/>
  <c r="J456" i="96" s="1"/>
  <c r="I456" i="96"/>
  <c r="A457" i="96"/>
  <c r="J457" i="96" s="1"/>
  <c r="I457" i="96"/>
  <c r="A458" i="96"/>
  <c r="J458" i="96" s="1"/>
  <c r="I458" i="96"/>
  <c r="A459" i="96"/>
  <c r="J459" i="96" s="1"/>
  <c r="I459" i="96"/>
  <c r="A460" i="96"/>
  <c r="J460" i="96" s="1"/>
  <c r="I460" i="96"/>
  <c r="A461" i="96"/>
  <c r="J461" i="96" s="1"/>
  <c r="I461" i="96"/>
  <c r="A462" i="96"/>
  <c r="J462" i="96" s="1"/>
  <c r="I462" i="96"/>
  <c r="A463" i="96"/>
  <c r="J463" i="96" s="1"/>
  <c r="I463" i="96"/>
  <c r="A464" i="96"/>
  <c r="J464" i="96" s="1"/>
  <c r="I464" i="96"/>
  <c r="A465" i="96"/>
  <c r="J465" i="96" s="1"/>
  <c r="D457" i="96" l="1"/>
  <c r="D458" i="96"/>
  <c r="D454" i="96"/>
  <c r="D456" i="96"/>
  <c r="D460" i="96"/>
  <c r="D463" i="96"/>
  <c r="D455" i="96"/>
  <c r="D465" i="96"/>
  <c r="D462" i="96"/>
  <c r="D461" i="96"/>
  <c r="D464" i="96"/>
  <c r="D459" i="96"/>
  <c r="F11" i="76" l="1"/>
  <c r="F16" i="76" s="1"/>
  <c r="G11" i="76" l="1"/>
  <c r="G16" i="76" s="1"/>
  <c r="G17" i="76" s="1"/>
  <c r="D124" i="96" l="1"/>
  <c r="D123" i="96"/>
  <c r="D121" i="96"/>
  <c r="E17" i="76" l="1"/>
  <c r="E95" i="96" l="1"/>
  <c r="A466" i="96"/>
  <c r="J466" i="96" s="1"/>
  <c r="D94" i="96" l="1"/>
  <c r="H454" i="96"/>
  <c r="H464" i="96"/>
  <c r="H456" i="96"/>
  <c r="H457" i="96"/>
  <c r="H465" i="96"/>
  <c r="H458" i="96"/>
  <c r="H459" i="96"/>
  <c r="H460" i="96"/>
  <c r="H461" i="96"/>
  <c r="H462" i="96"/>
  <c r="H455" i="96"/>
  <c r="H463" i="96"/>
  <c r="D466" i="96"/>
  <c r="L94" i="96" l="1"/>
  <c r="D95" i="96"/>
  <c r="H466" i="96"/>
  <c r="K466" i="96" s="1"/>
  <c r="L466" i="96" l="1"/>
  <c r="M466" i="96"/>
  <c r="N466" i="96"/>
  <c r="E3" i="92"/>
  <c r="L2" i="85" l="1"/>
  <c r="H3" i="53"/>
  <c r="L2" i="86"/>
  <c r="L3" i="70"/>
  <c r="E3" i="10"/>
  <c r="L2" i="77"/>
  <c r="L2" i="87"/>
  <c r="L2" i="58"/>
  <c r="E3" i="71"/>
  <c r="E3" i="76"/>
  <c r="L2" i="83"/>
  <c r="L2" i="84"/>
  <c r="E3" i="3"/>
  <c r="E3" i="75"/>
</calcChain>
</file>

<file path=xl/sharedStrings.xml><?xml version="1.0" encoding="utf-8"?>
<sst xmlns="http://schemas.openxmlformats.org/spreadsheetml/2006/main" count="820" uniqueCount="298">
  <si>
    <t>Total</t>
  </si>
  <si>
    <t>Mercado diario</t>
  </si>
  <si>
    <t>Mercado intradiario</t>
  </si>
  <si>
    <t>Regulación terciaria</t>
  </si>
  <si>
    <t xml:space="preserve"> </t>
  </si>
  <si>
    <t>E</t>
  </si>
  <si>
    <t>F</t>
  </si>
  <si>
    <t>M</t>
  </si>
  <si>
    <t>A</t>
  </si>
  <si>
    <t>J</t>
  </si>
  <si>
    <t>S</t>
  </si>
  <si>
    <t>O</t>
  </si>
  <si>
    <t>N</t>
  </si>
  <si>
    <t>D</t>
  </si>
  <si>
    <t>(€/MWh)</t>
  </si>
  <si>
    <t>Desvíos</t>
  </si>
  <si>
    <t>Servicios de ajuste</t>
  </si>
  <si>
    <t>Pagos por capacidad</t>
  </si>
  <si>
    <t>Repercusión de los servicios de ajuste en el precio final (€/MWh)</t>
  </si>
  <si>
    <t>Hidráulica</t>
  </si>
  <si>
    <t>Restricciones técnicas PDBF</t>
  </si>
  <si>
    <t>Banda</t>
  </si>
  <si>
    <t>Control del factor de potencia</t>
  </si>
  <si>
    <t>Ciclo Combinado</t>
  </si>
  <si>
    <t>Restricciones técnicas en tiempo real</t>
  </si>
  <si>
    <t xml:space="preserve">Mercados Diario e Intradiario </t>
  </si>
  <si>
    <t xml:space="preserve">PRECIO FINAL </t>
  </si>
  <si>
    <t>Indicadores</t>
  </si>
  <si>
    <t>Repercusión de los servicios de ajuste del sistema en el precio final medio</t>
  </si>
  <si>
    <t>Energía final</t>
  </si>
  <si>
    <t>Mercado eléctrico</t>
  </si>
  <si>
    <t>Boletín mensual</t>
  </si>
  <si>
    <t xml:space="preserve"> Restricciones técnicas PBF</t>
  </si>
  <si>
    <t>Pagos  por capacidad</t>
  </si>
  <si>
    <t>Demanda peninsular</t>
  </si>
  <si>
    <t>Solución de restricciones técnicas (Fase I)</t>
  </si>
  <si>
    <t>Otros procesos OS</t>
  </si>
  <si>
    <t>Valores extremos y medio del precio del mercado diario</t>
  </si>
  <si>
    <t>Componentes del precio final medio de la energía</t>
  </si>
  <si>
    <t>Mercado diario e intradiario</t>
  </si>
  <si>
    <t>Restricciones técnicas</t>
  </si>
  <si>
    <t>Control de factor de potencia</t>
  </si>
  <si>
    <t>(GWh)</t>
  </si>
  <si>
    <t>(GWh y €/MWh)</t>
  </si>
  <si>
    <r>
      <t xml:space="preserve">Evolución del componente del precio final medio de la energía. </t>
    </r>
    <r>
      <rPr>
        <b/>
        <sz val="8"/>
        <color indexed="8"/>
        <rFont val="Arial"/>
        <family val="2"/>
      </rPr>
      <t>(Suministro de referencia + libre)</t>
    </r>
  </si>
  <si>
    <t>Coste medio de la energía de comercializadores y consumidores directos</t>
  </si>
  <si>
    <t>Energía final MWh</t>
  </si>
  <si>
    <t>Cuota %</t>
  </si>
  <si>
    <t>Mercado Diario</t>
  </si>
  <si>
    <t>Restricciones PBF</t>
  </si>
  <si>
    <t>Restricciones TR</t>
  </si>
  <si>
    <t>Mercado Intradiario</t>
  </si>
  <si>
    <t>Restricciones Intradiario</t>
  </si>
  <si>
    <t>Reserva subir</t>
  </si>
  <si>
    <t>Incumplimiento energía balance</t>
  </si>
  <si>
    <t>Coste desvíos</t>
  </si>
  <si>
    <t>Saldo desvíos</t>
  </si>
  <si>
    <t>Pago capacidad</t>
  </si>
  <si>
    <t>Saldo PO 14.6</t>
  </si>
  <si>
    <t>Coste medio final (€/MWh)</t>
  </si>
  <si>
    <t>Energia (MWh) a subir</t>
  </si>
  <si>
    <t>Energia (MWh) a bajar</t>
  </si>
  <si>
    <r>
      <t>Evolución de los componentes del precio final medio (</t>
    </r>
    <r>
      <rPr>
        <b/>
        <sz val="8"/>
        <color rgb="FF004563"/>
        <rFont val="Calibri"/>
        <family val="2"/>
      </rPr>
      <t>€</t>
    </r>
    <r>
      <rPr>
        <b/>
        <sz val="8"/>
        <color rgb="FF004563"/>
        <rFont val="Arial"/>
        <family val="2"/>
      </rPr>
      <t>/MWh)</t>
    </r>
  </si>
  <si>
    <t>Coste de los servicios de ajuste (M€)</t>
  </si>
  <si>
    <t>Regulación secundaria</t>
  </si>
  <si>
    <t xml:space="preserve">• </t>
  </si>
  <si>
    <t>Evolución del componente del  precio medio final de la energía.</t>
  </si>
  <si>
    <t>Componentes del precio medio final de la energía.</t>
  </si>
  <si>
    <t>Coste de los servicios de ajuste</t>
  </si>
  <si>
    <t>Restricciones Técnicas al PBF</t>
  </si>
  <si>
    <t>Restric. en Tiempo Real</t>
  </si>
  <si>
    <t>Subir</t>
  </si>
  <si>
    <t>Nuclear</t>
  </si>
  <si>
    <t>Carbón</t>
  </si>
  <si>
    <t>Consumo Bombeo</t>
  </si>
  <si>
    <t>Bajar</t>
  </si>
  <si>
    <t>Turbinación bombeo</t>
  </si>
  <si>
    <t>Eólica</t>
  </si>
  <si>
    <t>Solar fotovoltaica</t>
  </si>
  <si>
    <t>Solar térmica</t>
  </si>
  <si>
    <t>Cogeneración</t>
  </si>
  <si>
    <t>Otras Renovables</t>
  </si>
  <si>
    <t>Adquisición de Energía</t>
  </si>
  <si>
    <t>Enlace Península Baleares</t>
  </si>
  <si>
    <t>Fuel-Gas</t>
  </si>
  <si>
    <t>Internacionales</t>
  </si>
  <si>
    <t>Residuos no Renovables</t>
  </si>
  <si>
    <t>Mes</t>
  </si>
  <si>
    <t>Precios horarios Mercado Diario €/MWh</t>
  </si>
  <si>
    <t>Mínimo</t>
  </si>
  <si>
    <t>Máximo</t>
  </si>
  <si>
    <t>1</t>
  </si>
  <si>
    <t>2</t>
  </si>
  <si>
    <t>3</t>
  </si>
  <si>
    <t>4</t>
  </si>
  <si>
    <t>5</t>
  </si>
  <si>
    <t>6</t>
  </si>
  <si>
    <t>7</t>
  </si>
  <si>
    <t>8</t>
  </si>
  <si>
    <t>9</t>
  </si>
  <si>
    <t>10</t>
  </si>
  <si>
    <t>11</t>
  </si>
  <si>
    <t>12</t>
  </si>
  <si>
    <t>13</t>
  </si>
  <si>
    <t>14</t>
  </si>
  <si>
    <t>15</t>
  </si>
  <si>
    <t>16</t>
  </si>
  <si>
    <t>17</t>
  </si>
  <si>
    <t>18</t>
  </si>
  <si>
    <t>19</t>
  </si>
  <si>
    <t>20</t>
  </si>
  <si>
    <t>21</t>
  </si>
  <si>
    <t>22</t>
  </si>
  <si>
    <t>23</t>
  </si>
  <si>
    <t>24</t>
  </si>
  <si>
    <t>Hora</t>
  </si>
  <si>
    <t>Mes_ind</t>
  </si>
  <si>
    <t>Concepto</t>
  </si>
  <si>
    <t xml:space="preserve">Mes </t>
  </si>
  <si>
    <t>Validación</t>
  </si>
  <si>
    <t>Sentido</t>
  </si>
  <si>
    <t>Combustible</t>
  </si>
  <si>
    <t>Programa (MWh)</t>
  </si>
  <si>
    <t>Mes informe</t>
  </si>
  <si>
    <t>Fecha</t>
  </si>
  <si>
    <t>Coste de los servicios de ajuste (€)</t>
  </si>
  <si>
    <t>SegDiario</t>
  </si>
  <si>
    <t>Banda 2ª</t>
  </si>
  <si>
    <t>Asign 2ª</t>
  </si>
  <si>
    <t>Terciaria</t>
  </si>
  <si>
    <t>T Real</t>
  </si>
  <si>
    <t>(MW y €/MW)</t>
  </si>
  <si>
    <t/>
  </si>
  <si>
    <t>Restriciones en Tiempo Real</t>
  </si>
  <si>
    <t>Precio Medio Ponderado (€/MWh) según Mercados</t>
  </si>
  <si>
    <t>Otros (*)</t>
  </si>
  <si>
    <t>Total Servicios ajuste</t>
  </si>
  <si>
    <t>Energia Gestionada</t>
  </si>
  <si>
    <t>Importación</t>
  </si>
  <si>
    <t>RRFRON</t>
  </si>
  <si>
    <t>Francia</t>
  </si>
  <si>
    <t>Portugal</t>
  </si>
  <si>
    <t>IC</t>
  </si>
  <si>
    <t>Redespacho</t>
  </si>
  <si>
    <t>Frontera</t>
  </si>
  <si>
    <t>(GW )</t>
  </si>
  <si>
    <t xml:space="preserve">Reservas de sustitución. Energía asignada SEPE </t>
  </si>
  <si>
    <t>Reservas de sustitución, Necesidades cubiertas y asignaciones SEPE y frontera</t>
  </si>
  <si>
    <t>Reservas de sustitución, Necesidades cubiertas y asignaciones en peninsula y en frontera</t>
  </si>
  <si>
    <t>Reservas de sustitución</t>
  </si>
  <si>
    <t>(1) El servicio de Energías de Balance de tipo RR cuenta con un precio único. El valor representado corresponde al precio medio ponderado según el sentido de la necesidad cubierta del Sistema Eléctrico Español</t>
  </si>
  <si>
    <t xml:space="preserve">   Restricciones técnicas al PDBF</t>
  </si>
  <si>
    <t xml:space="preserve">   Restricciones técnicas en tiempo real</t>
  </si>
  <si>
    <t>Energía limitada por restricciones (MWh)</t>
  </si>
  <si>
    <t>Energía programada por seguridad</t>
  </si>
  <si>
    <t>Energía utilizada por balances</t>
  </si>
  <si>
    <t>IGCC</t>
  </si>
  <si>
    <t>Asignación Terciaria (MWh)</t>
  </si>
  <si>
    <t>IGCC (1)</t>
  </si>
  <si>
    <t>(1) Energía de regulación secundaria evitada mediante la Plataforma europea de neteo de necesidades de regulación secundaria</t>
  </si>
  <si>
    <t>VOLUMEN MWh</t>
  </si>
  <si>
    <t>Energía Importación IGCC (MWh)</t>
  </si>
  <si>
    <t>Energía Exportación IGCC (MWh)</t>
  </si>
  <si>
    <t>Restricciones PDBF</t>
  </si>
  <si>
    <t>Asignaciones RR en frontera</t>
  </si>
  <si>
    <t>Precios en €/MWh</t>
  </si>
  <si>
    <t>Mercado de restricciones</t>
  </si>
  <si>
    <t>Mercado de reserva y de balance</t>
  </si>
  <si>
    <t>Exportación</t>
  </si>
  <si>
    <t>Precio medio aritmético</t>
  </si>
  <si>
    <t>Necesidades de energía cubiertas en los servicios de ajuste</t>
  </si>
  <si>
    <t>Instrumentales DESV</t>
  </si>
  <si>
    <t>Asignación Energía (MWh)</t>
  </si>
  <si>
    <t>Energía de regulación secundaria utilizada en GWh</t>
  </si>
  <si>
    <t>Asignación terciaria</t>
  </si>
  <si>
    <t>Reserva de sustitución</t>
  </si>
  <si>
    <t>Necesidades RR</t>
  </si>
  <si>
    <t>Restricciones TREAL</t>
  </si>
  <si>
    <t>Precio medio aritmético año anterior</t>
  </si>
  <si>
    <t>Variación año anterior</t>
  </si>
  <si>
    <t>Mecanismo ajuste RD-L 10/2022</t>
  </si>
  <si>
    <t>Porcentaje SA s/precio medio final</t>
  </si>
  <si>
    <t>Precio medio aritmético mes anterior</t>
  </si>
  <si>
    <t>Variación mes anterior</t>
  </si>
  <si>
    <t>Mecanismo Ajuste RD-L10/2022 Coste OM</t>
  </si>
  <si>
    <t>Mecanismo Ajuste RD-L10/2022 Coste OS</t>
  </si>
  <si>
    <t>Mecanismo Ajuste RD-L10/2022 Ajuste OS</t>
  </si>
  <si>
    <t>Banda Secundaria y RAD</t>
  </si>
  <si>
    <t>Banda de regulación secundaria y RAD</t>
  </si>
  <si>
    <t>Servicio RAD</t>
  </si>
  <si>
    <t>(*) RAD (Respuesta Activa de la Demanda)</t>
  </si>
  <si>
    <t>Promedio</t>
  </si>
  <si>
    <t>Secundaria utilizada en GWh</t>
  </si>
  <si>
    <t>Precios Ponderados Restricciones</t>
  </si>
  <si>
    <t>RR</t>
  </si>
  <si>
    <t>Precios Ponderados programa</t>
  </si>
  <si>
    <t>Energía Asignada abs MWh</t>
  </si>
  <si>
    <t>Coste Banda Secundaria Desvíos</t>
  </si>
  <si>
    <t>Fallo Nominación UPG</t>
  </si>
  <si>
    <t>Banda Secundaria</t>
  </si>
  <si>
    <t>Servicio interrumpibilidad</t>
  </si>
  <si>
    <t>Servicio respuesta activa (potencia)</t>
  </si>
  <si>
    <t>Servicio respuesta activa (I)</t>
  </si>
  <si>
    <t>Coste a BRP servicio de respuesta activa</t>
  </si>
  <si>
    <t>Servicio de respuesta activa desvíos</t>
  </si>
  <si>
    <t>Fuentes: OMIE y RE.</t>
  </si>
  <si>
    <t>Energía de regulación secundaria evitada mediante la plataforma de neteo IGCC</t>
  </si>
  <si>
    <t>Servicio RAD e ingreso control de tensión</t>
  </si>
  <si>
    <t>(*) Incluye incumplimento de energía de balance, saldo de desvíos, desvíos entre sistemas, Servicio RAD (Respuesta Activa de la Demanda) e ingreso control de tensión</t>
  </si>
  <si>
    <t>Almacenamiento</t>
  </si>
  <si>
    <t>Hibridación</t>
  </si>
  <si>
    <t>2024 Agosto</t>
  </si>
  <si>
    <t>AGO-24</t>
  </si>
  <si>
    <t>2024 Septiembre</t>
  </si>
  <si>
    <t>SEP-24</t>
  </si>
  <si>
    <t>2024 Octubre</t>
  </si>
  <si>
    <t>OCT-24</t>
  </si>
  <si>
    <t>NOV-24</t>
  </si>
  <si>
    <t>2024 Noviembre</t>
  </si>
  <si>
    <t>Reserva de regulación secundaria</t>
  </si>
  <si>
    <t>2024 Diciembre</t>
  </si>
  <si>
    <t>Reserva de regulación</t>
  </si>
  <si>
    <t>DIC-24</t>
  </si>
  <si>
    <t xml:space="preserve">Banda Secundaria </t>
  </si>
  <si>
    <t>2025 Enero</t>
  </si>
  <si>
    <t>ENE-25</t>
  </si>
  <si>
    <t>2025 Febrero</t>
  </si>
  <si>
    <t>Precio Medio Ponderado (€/MWh) según Medidas toda la energía</t>
  </si>
  <si>
    <t>FEB-25</t>
  </si>
  <si>
    <t>2025 Marzo</t>
  </si>
  <si>
    <t>MAR-25</t>
  </si>
  <si>
    <t>%h con p=&lt;0</t>
  </si>
  <si>
    <t>%h con 0&lt;p=&lt;50</t>
  </si>
  <si>
    <t>%h con 50&lt;p=&lt;100</t>
  </si>
  <si>
    <t>%h con 100&lt;p=&lt;150</t>
  </si>
  <si>
    <t>%h con p&gt;150</t>
  </si>
  <si>
    <t>Mercado diario. Porcentaje de horas en que los precios han estado dentro de unos márgenes</t>
  </si>
  <si>
    <t>Mercado diario: rango de precios en el mercado diario</t>
  </si>
  <si>
    <t>Mercado diario: Número de horas con diferentes rango del precios  (%)</t>
  </si>
  <si>
    <t>2025 Abril</t>
  </si>
  <si>
    <t>ABR-25</t>
  </si>
  <si>
    <t>BANDA</t>
  </si>
  <si>
    <t>2025 Mayo</t>
  </si>
  <si>
    <t>MAY-25</t>
  </si>
  <si>
    <t>2025 Junio</t>
  </si>
  <si>
    <t>ingreso control de tensión</t>
  </si>
  <si>
    <t>JUN-25</t>
  </si>
  <si>
    <t>2025 Julio</t>
  </si>
  <si>
    <t>JUL-25</t>
  </si>
  <si>
    <t>Turbina Vapor, Gas y Fuel</t>
  </si>
  <si>
    <t>01/08/2025</t>
  </si>
  <si>
    <t>02/08/2025</t>
  </si>
  <si>
    <t>03/08/2025</t>
  </si>
  <si>
    <t>04/08/2025</t>
  </si>
  <si>
    <t>05/08/2025</t>
  </si>
  <si>
    <t>06/08/2025</t>
  </si>
  <si>
    <t>07/08/2025</t>
  </si>
  <si>
    <t>08/08/2025</t>
  </si>
  <si>
    <t>09/08/2025</t>
  </si>
  <si>
    <t>10/08/2025</t>
  </si>
  <si>
    <t>11/08/2025</t>
  </si>
  <si>
    <t>12/08/2025</t>
  </si>
  <si>
    <t>13/08/2025</t>
  </si>
  <si>
    <t>14/08/2025</t>
  </si>
  <si>
    <t>15/08/2025</t>
  </si>
  <si>
    <t>16/08/2025</t>
  </si>
  <si>
    <t>17/08/2025</t>
  </si>
  <si>
    <t>18/08/2025</t>
  </si>
  <si>
    <t>19/08/2025</t>
  </si>
  <si>
    <t>20/08/2025</t>
  </si>
  <si>
    <t>21/08/2025</t>
  </si>
  <si>
    <t>22/08/2025</t>
  </si>
  <si>
    <t>23/08/2025</t>
  </si>
  <si>
    <t>24/08/2025</t>
  </si>
  <si>
    <t>25/08/2025</t>
  </si>
  <si>
    <t>26/08/2025</t>
  </si>
  <si>
    <t>27/08/2025</t>
  </si>
  <si>
    <t>28/08/2025</t>
  </si>
  <si>
    <t>29/08/2025</t>
  </si>
  <si>
    <t>30/08/2025</t>
  </si>
  <si>
    <t>31/08/2025</t>
  </si>
  <si>
    <t>2025 Agosto</t>
  </si>
  <si>
    <t>AGO-25</t>
  </si>
  <si>
    <t>&lt;mi app="e" ver="22"&gt;&lt;rptloc guid="1a204dc593334fbb999ed194904edee8" rank="0" ds="1"&gt;&lt;ri hasPG="0" name="Energía restricciones técnicas PDBF por combustible" id="70EF6E234019A35E75876AA6ED3B2373" path="Objetos públicos\Informes\Informes Específicos\Estadística\INFORMES MACROS\Office\Boletín\Energía restricciones técnicas PDBF por combustible" cf="0" prompt="1" ve="0" vm="0" flashpth="d:\Usuarios\ARACABIV\AppData\Local\Temp\" fimagepth="d:\Usuarios\ARACABIV\AppData\Local\Temp\" swfn="DashboardViewer.swf" fvars="" dvis=""&gt;&lt;ci ps="BI" srv="APBI5A" prj="SIOSbi" prjid="A04572404A6ABF2446090B938515E87E" li="MADCONSO" am="s" /&gt;&lt;lu ut="02/12/2025 17:36:21" si="2.00000001290498f73e78da36b80d0d49e700f741b8d5fd9b118bf3f2cba4cbeecf8d8cee29f8b6d9f94b187e7adf470cef85f6c40d065de7cc95f101178bd10aaccce9d77d570157012c1c4c3d2000f23ed5cd00e71ecec6f50e8fcc50ebeb54a69f440d4f0114ce340a4cb6638f728f55c6f9a0dd5022466e25fc183a4ceb7cd5f6f05c9833e4b5504a5bde7f2661bcf6dc7908516d020ffd5ad5a58d6ed84ae6fd.p.3082.0.1.Europe/Madrid.upriv*_1*_pidn2*_14*_session*-lat*_1.000000019e0db2e7366c8341c6080e088418687831cdd82e1f137103aadea17617847b2e4078e15db323b898335e226b871bc65e5cf8e299.00000001e5b8af7819da4676f63c18cf59b9c7ab31cdd82eca62d34a8c8db1a0d31222dea26140af33872c9359748b1359ee2070b214fca5.0.1.1.SIOSbi.A04572404A6ABF2446090B938515E87E.0-3082.1.1_-0.1.0_-3082.1.1_5.5.0.*0.000000018c333f2fa36daac16ad7e1811d3059bbc911585aafe1071c244b44f4451ee1846b1eb222.0.23.11*.2*.0400*.31152J.e.000000015f282a6439dafa0289cb0952bc55e4b7c911585a7fa8c308e999e5c9d1dc6d0da1d53494.0.10*.131*.122*.122.0.0" msgID="D64D464411EFE967123E0080EF059A38"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ece="A131" enr="MSTR.Energía_restricciones_técnicas_PDBF_por_combustible" ptn="" qtn="" rows="45" cols="15" /&gt;&lt;esdo ews="" ece="" ptn="" /&gt;&lt;/excel&gt;&lt;pgs&gt;&lt;pg rows="42" cols="13" nrr="2473" nrc="1365"&gt;&lt;pg /&gt;&lt;bls&gt;&lt;bl sr="1" sc="1" rfetch="42" cfetch="13" posid="1" darows="0" dacols="1"&gt;&lt;excel&gt;&lt;epo ews="Dat_01" ece="A131" enr="MSTR.Energía_restricciones_técnicas_PDBF_por_combustible" ptn="" qtn="" rows="45" cols="15" /&gt;&lt;esdo ews="" ece="" ptn="" /&gt;&lt;/excel&gt;&lt;gridRng&gt;&lt;sect id="TITLE_AREA" rngprop="1:1:3:2" /&gt;&lt;sect id="ROWHEADERS_AREA" rngprop="4:1:42:2" /&gt;&lt;sect id="COLUMNHEADERS_AREA" rngprop="1:3:3:13" /&gt;&lt;sect id="DATA_AREA" rngprop="4:3:42:13" /&gt;&lt;/gridRng&gt;&lt;shapes /&gt;&lt;/bl&gt;&lt;/bls&gt;&lt;/pg&gt;&lt;/pgs&gt;&lt;/rptloc&gt;&lt;/mi&gt;</t>
  </si>
  <si>
    <t>&lt;mi app="e" ver="22"&gt;&lt;rptloc guid="0b2ce989c0c142719127dcdaa8467375" rank="0" ds="1"&gt;&lt;ri hasPG="0" name="Energia de Regulación Secundaria" id="8E803CB745C8D8B5472977B69C35F6D9" path="Objetos públicos\Informes\Informes Específicos\Estadística\INFORMES MACROS\Office\Boletín\Energia de Regulación Secundaria" cf="0" prompt="1" ve="0" vm="0" flashpth="C:\Users\MADCONMA\AppData\Local\Temp\" fimagepth="C:\Users\MADCONMA\AppData\Local\Temp\" swfn="DashboardViewer.swf" fvars="" dvis=""&gt;&lt;ci ps="BI" srv="APBI5A" prj="SIOSbi" prjid="A04572404A6ABF2446090B938515E87E" li="MADCONSO" am="s" /&gt;&lt;lu ut="08/11/2025 10:10:51" si="2.00000001005b062a7deeab7909d37a539777afefa9666d544dad0b6f4b11d8b7ff47f3f61e7f99be7316a65e3401c92373a2295a67924eaa9e057a3ba77dea6b2ddedf7d73f6e9a8243ccbf37796372f6284a0daeec6976a54e24907be2101d357ad2249c8faf5ada3c1c22f2891e23a972c40b137ca97308061bae0f25f62990adbdfcf3a58e44d1fe259dccd112f3c7f6d6b58ce9f3f4ef246f0fd771bb24946ab.p.3082.0.1.Europe/Madrid.upriv*_1*_pidn2*_2*_session*-lat*_1.000000018bbc4199619e03c687264f17a4b945b531cdd82eee93ea256cb5250521966f08d9d281e09ccfe55c301e895ed98409408e3f6abc.0000000192608c2e05b285e87bd3cf98b4911d0b31cdd82efe922e2fdfdf5ee3a0e2cc15e996f5be3e6639b577d9e6805b0795c0d9c9d46b.0.1.1.SIOSbi.A04572404A6ABF2446090B938515E87E.0-3082.1.1_-0.1.0_-3082.1.1_5.5.0.*0.0000000121c623a8843744701c8781c71af283c9c911585a84480bd7b9dce422793be9a6c36fc4ea.0.23.11*.2*.0400*.31152J.e.00000001ee7ab565c7adbb9ad98fbc066ff2f848c911585ab8e3b5fd2e1b40fa5fa1ad5e175cd3d8.0.10*.131*.122*.122.0.0" msgID="6B3B31BB11F0769B123E0080EF059936"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ece="A188" enr="MSTR.Energía_de_Regulación_Secundaria_Utilizada__Periodo_simple_" ptn="" qtn="" rows="5" cols="14" /&gt;&lt;esdo ews="" ece="" ptn="" /&gt;&lt;/excel&gt;&lt;pgs&gt;&lt;pg rows="2" cols="13" nrr="112" nrc="715"&gt;&lt;pg /&gt;&lt;bls&gt;&lt;bl sr="1" sc="1" rfetch="2" cfetch="13" posid="1" darows="0" dacols="1"&gt;&lt;excel&gt;&lt;epo ews="Dat_01" ece="A188" enr="MSTR.Energía_de_Regulación_Secundaria_Utilizada__Periodo_simple_" ptn="" qtn="" rows="5" cols="14" /&gt;&lt;esdo ews="" ece="" ptn="" /&gt;&lt;/excel&gt;&lt;gridRng&gt;&lt;sect id="TITLE_AREA" rngprop="1:1:3:1" /&gt;&lt;sect id="ROWHEADERS_AREA" rngprop="4:1:2:1" /&gt;&lt;sect id="COLUMNHEADERS_AREA" rngprop="1:2:3:13" /&gt;&lt;sect id="DATA_AREA" rngprop="4:2:2:13" /&gt;&lt;/gridRng&gt;&lt;shapes /&gt;&lt;/bl&gt;&lt;/bls&gt;&lt;/pg&gt;&lt;/pgs&gt;&lt;/rptloc&gt;&lt;/mi&gt;</t>
  </si>
  <si>
    <t>&lt;mi app="e" ver="22"&gt;&lt;rptloc guid="f9dba19e258c47bfa4f0abba913b7048" rank="0" ds="1"&gt;&lt;ri hasPG="0" name="Mercados de Operacion. Energía Gestionada" id="450AF1DD4F643349C237188A620CC59A" path="Objetos públicos\Informes\Informes Específicos\Estadística\INFORMES MACROS\Office\Boletín\Mercados de Operacion. Energía Gestionada" cf="0" prompt="1" ve="0" vm="0" flashpth="d:\Usuarios\ARACABIV\AppData\Local\Temp\" fimagepth="d:\Usuarios\ARACABIV\AppData\Local\Temp\" swfn="DashboardViewer.swf" fvars="" dvis=""&gt;&lt;ci ps="BI" srv="APBI5A" prj="SIOSbi" prjid="A04572404A6ABF2446090B938515E87E" li="MADCONSO" am="s" /&gt;&lt;lu ut="08/11/2025 09:04:11" si="2.00000001a3a5ff54591694b19cddc6bb461512dcc5ce12534562e2922eb825a62bda2947a6f5a6ca1a03ce7ec6987f5e2ea8d8b829788f8a4b26cd4e36aa9a08a30e4beb1788a70b44ef191ab2008214d3b3d504aa90a947f57fed94db259c0ffde9ada742c18b0c307896bd25156d40155ff57ff1163d7e98bf79ab79413920ef5e655d28827283fb0faf5e16f9baa18ea06ec97fc730b1211a6737670c3b55d714.p.3082.0.1.Europe/Madrid.upriv*_1*_pidn2*_2*_session*-lat*_1.000000015abfb778e6f0ab072bb1ae1a5e3f21b431cdd82e569eb47e07344addd0394a1c73f85abb9f490b15e992715408f1b784decc8cd3.000000015b749e3f5f5bd1047a56702e4dd6af6c31cdd82e973a069231d6183eacb4a23c3b2df5bb7e0e87c6d79faedc3812818cec551203.0.1.1.SIOSbi.A04572404A6ABF2446090B938515E87E.0-3082.1.1_-0.1.0_-3082.1.1_5.5.0.*0.00000001176a0ee8f3e4e49972c43f4252a215adc911585aaf8ed2c16a325a8c1cc51f074a16398f.0.23.11*.2*.0400*.31152J.e.00000001772def76a26980257d03021d0bfeee7bc911585a5c4732cddaa928f96d6c5736b35bb16f.0.10*.131*.122*.122.0.0" msgID="0F6A79D111F07692123E0080EF35F936"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ece="$A$118" enr="MSTR.Mercados_de_Operacion._Energía_Gestionada" ptn="" qtn="" rows="7" cols="3" /&gt;&lt;esdo ews="" ece="" ptn="" /&gt;&lt;/excel&gt;&lt;pgs&gt;&lt;pg rows="4" cols="2" nrr="515" nrc="224"&gt;&lt;pg /&gt;&lt;bls&gt;&lt;bl sr="1" sc="1" rfetch="4" cfetch="2" posid="1" darows="0" dacols="1"&gt;&lt;excel&gt;&lt;epo ews="Dat_01" ece="$A$118" enr="MSTR.Mercados_de_Operacion._Energía_Gestionada" ptn="" qtn="" rows="7" cols="3" /&gt;&lt;esdo ews="" ece="" ptn="" /&gt;&lt;/excel&gt;&lt;gridRng&gt;&lt;sect id="TITLE_AREA" rngprop="1:1:3:1" /&gt;&lt;sect id="ROWHEADERS_AREA" rngprop="4:1:4:1" /&gt;&lt;sect id="COLUMNHEADERS_AREA" rngprop="1:2:3:2" /&gt;&lt;sect id="DATA_AREA" rngprop="4:2:4:2" /&gt;&lt;/gridRng&gt;&lt;shapes /&gt;&lt;/bl&gt;&lt;/bls&gt;&lt;/pg&gt;&lt;/pgs&gt;&lt;/rptloc&gt;&lt;/mi&gt;</t>
  </si>
  <si>
    <t>&lt;mi app="e" ver="22"&gt;&lt;rptloc guid="4bc3e2b5feb24ed3a682e8c0c1e6e595" rank="0" ds="1"&gt;&lt;ri hasPG="0" name="Secundaria. Banda media mensual" id="F69F171A4E84E3BA10E8E3B3514670A7" path="Objetos públicos\Informes\Informes Específicos\Estadística\INFORMES MACROS\Office\Boletín\Secundaria. Banda media mensual" cf="0" prompt="1" ve="0" vm="0" flashpth="C:\Users\MADCONMA\AppData\Local\Temp\" fimagepth="C:\Users\MADCONMA\AppData\Local\Temp\" swfn="DashboardViewer.swf" fvars="" dvis=""&gt;&lt;ci ps="BI" srv="APBI5A" prj="SIOSbi" prjid="A04572404A6ABF2446090B938515E87E" li="MADCONSO" am="s" /&gt;&lt;lu ut="08/11/2025 09:12:17" si="2.00000001a3a5ff54591694b19cddc6bb461512dcc5ce12534562e2922eb825a62bda2947a6f5a6ca1a03ce7ec6987f5e2ea8d8b829788f8a4b26cd4e36aa9a08a30e4beb1788a70b44ef191ab2008214d3b3d504aa90a947f57fed94db259c0ffde9ada742c18b0c307896bd25156d40155ff57ff1163d7e98bf79ab79413920ef5e655d28827283fb0faf5e16f9baa18ea06ec97fc730b1211a6737670c3b55d714.p.3082.0.1.Europe/Madrid.upriv*_1*_pidn2*_2*_session*-lat*_1.000000015abfb778e6f0ab072bb1ae1a5e3f21b431cdd82e569eb47e07344addd0394a1c73f85abb9f490b15e992715408f1b784decc8cd3.000000015b749e3f5f5bd1047a56702e4dd6af6c31cdd82e973a069231d6183eacb4a23c3b2df5bb7e0e87c6d79faedc3812818cec551203.0.1.1.SIOSbi.A04572404A6ABF2446090B938515E87E.0-3082.1.1_-0.1.0_-3082.1.1_5.5.0.*0.00000001176a0ee8f3e4e49972c43f4252a215adc911585aaf8ed2c16a325a8c1cc51f074a16398f.0.23.11*.2*.0400*.31152J.e.00000001772def76a26980257d03021d0bfeee7bc911585a5c4732cddaa928f96d6c5736b35bb16f.0.10*.131*.122*.122.0.0" msgID="532B76E311F07692123E0080EF757A38"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ece="$A$181" enr="MSTR.Secundaria._Banda_media_mensual" ptn="" qtn="" rows="4" cols="14" /&gt;&lt;esdo ews="" ece="" ptn="" /&gt;&lt;/excel&gt;&lt;pgs&gt;&lt;pg rows="2" cols="13" nrr="98" nrc="637"&gt;&lt;pg /&gt;&lt;bls&gt;&lt;bl sr="1" sc="1" rfetch="2" cfetch="13" posid="1" darows="0" dacols="1"&gt;&lt;excel&gt;&lt;epo ews="Dat_01" ece="$A$181" enr="MSTR.Secundaria._Banda_media_mensual"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</si>
  <si>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guid="1cee8cf001c44d958203e10befc8e8e5" rank="0" ds="1"&gt;&lt;ri hasPG="0" name="Asignación en las fronteras RR" id="C0255CBE4311F279299795AED0CBA130" path="Objetos públicos\Informes\Informes Específicos\Estadística\INFORMES MACROS\Office\Boletín\Asignación en las fronteras RR" cf="0" prompt="1" ve="0" vm="0" flashpth="C:\Users\MADCONMA\AppData\Local\Temp\" fimagepth="C:\Users\MADCONMA\AppData\Local\Temp\" swfn="DashboardViewer.swf" fvars="" dvis=""&gt;&lt;ci ps="BI" srv="APBI5A" prj="SIOSbi" prjid="A04572404A6ABF2446090B938515E87E" li="MADCONSO" am="s" /&gt;&lt;lu ut="08/11/2025 09:06:46" si="2.00000001a3a5ff54591694b19cddc6bb461512dcc5ce12534562e2922eb825a62bda2947a6f5a6ca1a03ce7ec6987f5e2ea8d8b829788f8a4b26cd4e36aa9a08a30e4beb1788a70b44ef191ab2008214d3b3d504aa90a947f57fed94db259c0ffde9ada742c18b0c307896bd25156d40155ff57ff1163d7e98bf79ab79413920ef5e655d28827283fb0faf5e16f9baa18ea06ec97fc730b1211a6737670c3b55d714.p.3082.0.1.Europe/Madrid.upriv*_1*_pidn2*_2*_session*-lat*_1.000000015abfb778e6f0ab072bb1ae1a5e3f21b431cdd82e569eb47e07344addd0394a1c73f85abb9f490b15e992715408f1b784decc8cd3.000000015b749e3f5f5bd1047a56702e4dd6af6c31cdd82e973a069231d6183eacb4a23c3b2df5bb7e0e87c6d79faedc3812818cec551203.0.1.1.SIOSbi.A04572404A6ABF2446090B938515E87E.0-3082.1.1_-0.1.0_-3082.1.1_5.5.0.*0.00000001176a0ee8f3e4e49972c43f4252a215adc911585aaf8ed2c16a325a8c1cc51f074a16398f.0.23.11*.2*.0400*.31152J.e.00000001772def76a26980257d03021d0bfeee7bc911585a5c4732cddaa928f96d6c5736b35bb16f.0.10*.131*.122*.122.0.0" msgID="533B664C11F07692123E0080EF95B937"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ece="$A$320" enr="MSTR.Asignaciones_en_las_fronteras__Periodo_simple_" ptn="" qtn="" rows="11" cols="16" /&gt;&lt;esdo ews="" ece="" ptn="" /&gt;&lt;/excel&gt;&lt;pgs&gt;&lt;pg rows="8" cols="13" nrr="536" nrc="855"&gt;&lt;pg /&gt;&lt;bls&gt;&lt;bl sr="1" sc="1" rfetch="8" cfetch="13" posid="1" darows="0" dacols="1"&gt;&lt;excel&gt;&lt;epo ews="Dat_01" ece="$A$320" enr="MSTR.Asignaciones_en_las_fronteras__Periodo_simple_" ptn="" qtn="" rows="11" cols="16" /&gt;&lt;esdo ews="" ece="" ptn="" /&gt;&lt;/excel&gt;&lt;gridRng&gt;&lt;sect id="TITLE_AREA" rngprop="1:1:3:3" /&gt;&lt;sect id="ROWHEADERS_AREA" rngprop="4:1:8:3" /&gt;&lt;sect id="COLUMNHEADERS_AREA" rngprop="1:4:3:13" /&gt;&lt;sect id="DATA_AREA" rngprop="4:4:8:13" /&gt;&lt;/gridRng&gt;&lt;shapes /&gt;&lt;/bl&gt;&lt;/bls&gt;&lt;/pg&gt;&lt;/pgs&gt;&lt;/rptloc&gt;&lt;/mi&gt;</t>
  </si>
  <si>
    <t>&lt;mi app="e" ver="22"&gt;&lt;rptloc guid="32dd2f1beb36473c94633491262b8d24" rank="0" ds="1"&gt;&lt;ri hasPG="0" name="Asignaciones RR" id="7CB4457A46480F3DF90C8DACCCE838FC" path="Objetos públicos\Informes\Informes Específicos\Estadística\INFORMES MACROS\Office\Boletín\Asignaciones RR" cf="0" prompt="1" ve="0" vm="0" flashpth="C:\Users\MADCONMA\AppData\Local\Temp\" fimagepth="C:\Users\MADCONMA\AppData\Local\Temp\" swfn="DashboardViewer.swf" fvars="" dvis=""&gt;&lt;ci ps="BI" srv="APBI5A" prj="SIOSbi" prjid="A04572404A6ABF2446090B938515E87E" li="MADCONSO" am="s" /&gt;&lt;lu ut="05/12/2025 08:21:17" si="2.000000019e5423ccbb708e4a24d66fda2e318600bd9ccbfb745e533a245cf36d2d71b09fdbfd6770383e5dc720fc4f8e09bf6e24107a0bdbf77a8063fbc5a0b97a0fefd5816704fb108ee318738e994b8c24eb35b460aa63bb1a3a7120044f9597783ee000deca9a6e839238aef01b1b0ca1d7f961db15c691bfa9e3ae318c02b6143d1a82456f3d7e7a0b16aea152874b573d87b11fb893eca29d03bb6d2ae3f871.p.3082.0.1.Europe/Madrid.upriv*_1*_pidn2*_6*_session*-lat*_1.00000001e43eb3f453b43a0439c5ce9164a8d3c431cdd82e4f765be14e55eeb0634a1e717c523b20d7538a762e1ba484032a2cafc97b7386.0000000193b52891257b64c9b76499fee49523d531cdd82ee52c036061fee8df83727af5ecbc90301b45e2eb485d67474faf5b23fbf09cb0.0.1.1.SIOSbi.A04572404A6ABF2446090B938515E87E.0-3082.1.1_-0.1.0_-3082.1.1_5.5.0.*0.00000001b4499e387651003966251c90e9ba2a55c911585ad90936da6edb608e9ecfd30bdc4359b9.0.23.11*.2*.0400*.31152J.e.00000001575e6d5e81188ab002f46fada545a5b9c911585ae7ddcd65a408630800bb95f857d1a4fe.0.10*.131*.122*.122.0.0" msgID="2B36B3DE11F02F09189A0080EFF5E431"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ece="A258" enr="MSTR.Asignaciones_SEPE_Periodo_simple_" ptn="" qtn="" rows="45" cols="15" /&gt;&lt;esdo ews="" ece="" ptn="" /&gt;&lt;/excel&gt;&lt;pgs&gt;&lt;pg rows="42" cols="13" nrr="1497" nrc="572"&gt;&lt;pg /&gt;&lt;bls&gt;&lt;bl sr="1" sc="1" rfetch="42" cfetch="13" posid="1" darows="0" dacols="1"&gt;&lt;excel&gt;&lt;epo ews="Dat_01" ece="A258" enr="MSTR.Asignaciones_SEPE_Periodo_simple_" ptn="" qtn="" rows="45" cols="15" /&gt;&lt;esdo ews="" ece="" ptn="" /&gt;&lt;/excel&gt;&lt;gridRng&gt;&lt;sect id="TITLE_AREA" rngprop="1:1:3:2" /&gt;&lt;sect id="ROWHEADERS_AREA" rngprop="4:1:42:2" /&gt;&lt;sect id="COLUMNHEADERS_AREA" rngprop="1:3:3:13" /&gt;&lt;sect id="DATA_AREA" rngprop="4:3:42:13" /&gt;&lt;/gridRng&gt;&lt;shapes /&gt;&lt;/bl&gt;&lt;/bls&gt;&lt;/pg&gt;&lt;/pgs&gt;&lt;/rptloc&gt;&lt;/mi&gt;</t>
  </si>
  <si>
    <t>&lt;mi app="e" ver="22"&gt;&lt;rptloc guid="6cabc49f5d5c4ad5a5ba49a26441cdc6" rank="0" ds="1"&gt;&lt;ri hasPG="0" name="Asignaciones Terciaria por combustible" id="6DC51F0B4484B81504F54C8BBF673691" path="Objetos públicos\Informes\Informes Específicos\Estadística\INFORMES MACROS\Office\Boletín\Asignaciones Terciaria por combustible" cf="0" prompt="1" ve="0" vm="0" flashpth="d:\Usuarios\ARACABIV\AppData\Local\Temp\" fimagepth="d:\Usuarios\ARACABIV\AppData\Local\Temp\" swfn="DashboardViewer.swf" fvars="" dvis=""&gt;&lt;ci ps="BI" srv="APBI5A" prj="SIOSbi" prjid="A04572404A6ABF2446090B938515E87E" li="MADCONSO" am="s" /&gt;&lt;lu ut="10/11/2024 12:18:40" si="2.00000001d3e7cec91525cc6e90d7111f3f2dfadca6547ca905a5cb86d93787fde1f8092768e6a3cf6bccfedc11350854c4070b14070be5525c5eab70d202fa8db1462fb991d6ed1bc5e8972fa10488408f4ff8b691bdaa94ed18c95b51238c156e523f409f9cb69c02b00da5a2895ef201dc4d799e6c6e3dc5e06f6ba3b179e065df23515db75adadc4a122e0883f70cb31548dcd899857f4ddee5c101bd978663bb.p.3082.0.1.Europe/Madrid.upriv*_1*_pidn2*_5*_session*-lat*_1.000000019bc784de898be4fbd76d5105a0a4f75f31cdd82ed45c6caa4702ecf11b8d7f97be5a8d278c885a68155b50d80f35ff3971182f59.000000010ac1f95629592d9da191c5893d99131e31cdd82e52212f025ac81ad1def8b2edb49ef45c6337bfe40f5a1db595c803ccc71393c0.0.1.1.SIOSbi.A04572404A6ABF2446090B938515E87E.0-3082.1.1_-0.1.0_-3082.1.1_5.5.0.*0.000000010a3d8ebc2199457f3c8742ccf31a8e17c911585ad1721892b5101510cfdcfc591905ea57.0.23.11*.2*.0400*.31152J.e.000000014c4b612f175e38867da3db54c052c3dec911585a576e0eb230fb647d8d7e0d2a01087b00.0.10*.131*.122*.122.0.0" msgID="6332DA6C11EF87C89A360080EF35F097"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ece="A195" enr="MSTR.Asignaciones_Terciaria_por_combustible" ptn="" qtn="" rows="41" cols="15" /&gt;&lt;esdo ews="" ece="" ptn="" /&gt;&lt;/excel&gt;&lt;pgs&gt;&lt;pg rows="38" cols="13" nrr="3552" nrc="1326"&gt;&lt;pg /&gt;&lt;bls&gt;&lt;bl sr="1" sc="1" rfetch="38" cfetch="13" posid="1" darows="0" dacols="1"&gt;&lt;excel&gt;&lt;epo ews="Dat_01" ece="A195" enr="MSTR.Asignaciones_Terciaria_por_combustible" ptn="" qtn="" rows="41" cols="15" /&gt;&lt;esdo ews="" ece="" ptn="" /&gt;&lt;/excel&gt;&lt;gridRng&gt;&lt;sect id="TITLE_AREA" rngprop="1:1:3:2" /&gt;&lt;sect id="ROWHEADERS_AREA" rngprop="4:1:38:2" /&gt;&lt;sect id="COLUMNHEADERS_AREA" rngprop="1:3:3:13" /&gt;&lt;sect id="DATA_AREA" rngprop="4:3:38:13" /&gt;&lt;/gridRng&gt;&lt;shapes /&gt;&lt;/bl&gt;&lt;/bls&gt;&lt;/pg&gt;&lt;/pgs&gt;&lt;/rptloc&gt;&lt;/mi&gt;</t>
  </si>
  <si>
    <t>&lt;mi app="e" ver="22"&gt;&lt;rptloc guid="74294227fd054a849af05a902397764e" rank="0" ds="1"&gt;&lt;ri hasPG="0" name="Precio medio final mensual. Último año móvil" id="147070CA4BE8E55120DC74AE4B57A4FC" path="Objetos públicos\Informes\Informes Específicos\Estadística\INFORMES MACROS\Office\Boletín\Precio medio final mensual. Último año móvil" cf="0" prompt="1" ve="0" vm="0" flashpth="d:\Usuarios\ARACABIV\AppData\Local\Temp\" fimagepth="d:\Usuarios\ARACABIV\AppData\Local\Temp\" swfn="DashboardViewer.swf" fvars="" dvis=""&gt;&lt;ci ps="BI" srv="APBI5A" prj="SIOSbi" prjid="A04572404A6ABF2446090B938515E87E" li="MADCONSO" am="s" /&gt;&lt;lu ut="08/11/2025 09:20:44" si="2.00000001a3a5ff54591694b19cddc6bb461512dcc5ce12534562e2922eb825a62bda2947a6f5a6ca1a03ce7ec6987f5e2ea8d8b829788f8a4b26cd4e36aa9a08a30e4beb1788a70b44ef191ab2008214d3b3d504aa90a947f57fed94db259c0ffde9ada742c18b0c307896bd25156d40155ff57ff1163d7e98bf79ab79413920ef5e655d28827283fb0faf5e16f9baa18ea06ec97fc730b1211a6737670c3b55d714.p.3082.0.1.Europe/Madrid.upriv*_1*_pidn2*_2*_session*-lat*_1.000000015abfb778e6f0ab072bb1ae1a5e3f21b431cdd82e569eb47e07344addd0394a1c73f85abb9f490b15e992715408f1b784decc8cd3.000000015b749e3f5f5bd1047a56702e4dd6af6c31cdd82e973a069231d6183eacb4a23c3b2df5bb7e0e87c6d79faedc3812818cec551203.0.1.1.SIOSbi.A04572404A6ABF2446090B938515E87E.0-3082.1.1_-0.1.0_-3082.1.1_5.5.0.*0.00000001176a0ee8f3e4e49972c43f4252a215adc911585aaf8ed2c16a325a8c1cc51f074a16398f.0.23.11*.2*.0400*.31152J.e.00000001772def76a26980257d03021d0bfeee7bc911585a5c4732cddaa928f96d6c5736b35bb16f.0.10*.131*.122*.122.0.0" msgID="4E635AC411F07694123E0080EF95BA39"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 enr="MSTR.Precio_medio_final_Mensual_estatico_ultimo_año_movil" ptn="" qtn="" rows="30" cols="14" /&gt;&lt;esdo ews="" ece="" ptn="" /&gt;&lt;/excel&gt;&lt;pgs&gt;&lt;pg rows="26" cols="13" nrr="2628" nrc="1690"&gt;&lt;pg /&gt;&lt;bls&gt;&lt;bl sr="1" sc="1" rfetch="26" cfetch="13" posid="1" darows="0" dacols="1"&gt;&lt;excel&gt;&lt;epo ews="Dat_01" ece="$A$41" enr="MSTR.Precio_medio_final_Mensual_estatico_ultimo_año_movil" ptn="" qtn="" rows="30" cols="14" /&gt;&lt;esdo ews="" ece="" ptn="" /&gt;&lt;/excel&gt;&lt;gridRng&gt;&lt;sect id="TITLE_AREA" rngprop="1:1:4:1" /&gt;&lt;sect id="ROWHEADERS_AREA" rngprop="5:1:26:1" /&gt;&lt;sect id="COLUMNHEADERS_AREA" rngprop="1:2:4:13" /&gt;&lt;sect id="DATA_AREA" rngprop="5:2:26:13" /&gt;&lt;/gridRng&gt;&lt;shapes /&gt;&lt;/bl&gt;&lt;/bls&gt;&lt;/pg&gt;&lt;/pgs&gt;&lt;/rptloc&gt;&lt;/mi&gt;</t>
  </si>
  <si>
    <t>&lt;mi app="e" ver="22"&gt;&lt;rptloc guid="762289617dcf4fcaa9486600c0583f14" rank="0" ds="1"&gt;&lt;ri hasPG="0" name="Precios Medios Ponderados Medidas" id="9B86205B4E0AC9F2C6C0AB9F735AF179" path="Objetos públicos\Informes\Informes Específicos\Estadística\INFORMES MACROS\Office\Boletín\Precios Medios Ponderados Medidas" cf="0" prompt="1" ve="0" vm="0" flashpth="C:\Users\MADCONMA\AppData\Local\Temp\" fimagepth="C:\Users\MADCONMA\AppData\Local\Temp\" swfn="DashboardViewer.swf" fvars="" dvis=""&gt;&lt;ci ps="BI" srv="APBI5A" prj="SIOSbi" prjid="A04572404A6ABF2446090B938515E87E" li="MADCONSO" am="s" /&gt;&lt;lu ut="08/11/2025 10:22:29" si="2.00000001005b062a7deeab7909d37a539777afefa9666d544dad0b6f4b11d8b7ff47f3f61e7f99be7316a65e3401c92373a2295a67924eaa9e057a3ba77dea6b2ddedf7d73f6e9a8243ccbf37796372f6284a0daeec6976a54e24907be2101d357ad2249c8faf5ada3c1c22f2891e23a972c40b137ca97308061bae0f25f62990adbdfcf3a58e44d1fe259dccd112f3c7f6d6b58ce9f3f4ef246f0fd771bb24946ab.p.3082.0.1.Europe/Madrid.upriv*_1*_pidn2*_2*_session*-lat*_1.000000018bbc4199619e03c687264f17a4b945b531cdd82eee93ea256cb5250521966f08d9d281e09ccfe55c301e895ed98409408e3f6abc.0000000192608c2e05b285e87bd3cf98b4911d0b31cdd82efe922e2fdfdf5ee3a0e2cc15e996f5be3e6639b577d9e6805b0795c0d9c9d46b.0.1.1.SIOSbi.A04572404A6ABF2446090B938515E87E.0-3082.1.1_-0.1.0_-3082.1.1_5.5.0.*0.0000000121c623a8843744701c8781c71af283c9c911585a84480bd7b9dce422793be9a6c36fc4ea.0.23.11*.2*.0400*.31152J.e.00000001ee7ab565c7adbb9ad98fbc066ff2f848c911585ab8e3b5fd2e1b40fa5fa1ad5e175cd3d8.0.10*.131*.122*.122.0.0" msgID="BF3297DA11F0769C123E0080EF25D936"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ece="A400" enr="MSTR.Precios_Medios_Ponderados_Mensuales" ptn="" qtn="" rows="7" cols="15" /&gt;&lt;esdo ews="" ece="" ptn="" /&gt;&lt;/excel&gt;&lt;pgs&gt;&lt;pg rows="4" cols="13" nrr="188" nrc="611"&gt;&lt;pg /&gt;&lt;bls&gt;&lt;bl sr="1" sc="1" rfetch="4" cfetch="13" posid="1" darows="0" dacols="1"&gt;&lt;excel&gt;&lt;epo ews="Dat_01" ece="A400" enr="MSTR.Precios_Medios_Ponderados_Mensuales" ptn="" qtn="" rows="7" cols="15" /&gt;&lt;esdo ews="" ece="" ptn="" /&gt;&lt;/excel&gt;&lt;gridRng&gt;&lt;sect id="TITLE_AREA" rngprop="1:1:3:2" /&gt;&lt;sect id="ROWHEADERS_AREA" rngprop="4:1:4:2" /&gt;&lt;sect id="COLUMNHEADERS_AREA" rngprop="1:3:3:13" /&gt;&lt;sect id="DATA_AREA" rngprop="4:3:4:13" /&gt;&lt;/gridRng&gt;&lt;shapes /&gt;&lt;/bl&gt;&lt;/bls&gt;&lt;/pg&gt;&lt;/pgs&gt;&lt;/rptloc&gt;&lt;/mi&gt;</t>
  </si>
  <si>
    <t>&lt;mi app="e" ver="22"&gt;&lt;rptloc guid="4017b373be8643068e18cd114704d41b" rank="0" ds="1"&gt;&lt;ri hasPG="0" name="Precios Medios Ponderados programa" id="AB71205A4626F9C93A23D696FB475560" path="Objetos públicos\Informes\Informes Específicos\Estadística\INFORMES MACROS\Office\Boletín\Precios Medios Ponderados programa" cf="0" prompt="1" ve="0" vm="0" flashpth="C:\Users\MADCONMA\AppData\Local\Temp\" fimagepth="C:\Users\MADCONMA\AppData\Local\Temp\" swfn="DashboardViewer.swf" fvars="" dvis=""&gt;&lt;ci ps="BI" srv="APBI5A" prj="SIOSbi" prjid="A04572404A6ABF2446090B938515E87E" li="MADCONSO" am="s" /&gt;&lt;lu ut="08/11/2025 10:25:08" si="2.00000001005b062a7deeab7909d37a539777afefa9666d544dad0b6f4b11d8b7ff47f3f61e7f99be7316a65e3401c92373a2295a67924eaa9e057a3ba77dea6b2ddedf7d73f6e9a8243ccbf37796372f6284a0daeec6976a54e24907be2101d357ad2249c8faf5ada3c1c22f2891e23a972c40b137ca97308061bae0f25f62990adbdfcf3a58e44d1fe259dccd112f3c7f6d6b58ce9f3f4ef246f0fd771bb24946ab.p.3082.0.1.Europe/Madrid.upriv*_1*_pidn2*_2*_session*-lat*_1.000000018bbc4199619e03c687264f17a4b945b531cdd82eee93ea256cb5250521966f08d9d281e09ccfe55c301e895ed98409408e3f6abc.0000000192608c2e05b285e87bd3cf98b4911d0b31cdd82efe922e2fdfdf5ee3a0e2cc15e996f5be3e6639b577d9e6805b0795c0d9c9d46b.0.1.1.SIOSbi.A04572404A6ABF2446090B938515E87E.0-3082.1.1_-0.1.0_-3082.1.1_5.5.0.*0.0000000121c623a8843744701c8781c71af283c9c911585a84480bd7b9dce422793be9a6c36fc4ea.0.23.11*.2*.0400*.31152J.e.00000001ee7ab565c7adbb9ad98fbc066ff2f848c911585ab8e3b5fd2e1b40fa5fa1ad5e175cd3d8.0.10*.131*.122*.122.0.0" msgID="BF2F697B11F0769C123E0080EF655A38"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ece="A410" enr="MSTR.Precios_Medios_Ponderados_Mensuales" ptn="" qtn="" rows="11" cols="15" /&gt;&lt;esdo ews="" ece="" ptn="" /&gt;&lt;/excel&gt;&lt;pgs&gt;&lt;pg rows="8" cols="13" nrr="400" nrc="650"&gt;&lt;pg /&gt;&lt;bls&gt;&lt;bl sr="1" sc="1" rfetch="8" cfetch="13" posid="1" darows="0" dacols="1"&gt;&lt;excel&gt;&lt;epo ews="Dat_01" ece="A410" enr="MSTR.Precios_Medios_Ponderados_Mensuales" ptn="" qtn="" rows="11" cols="15" /&gt;&lt;esdo ews="" ece="" ptn="" /&gt;&lt;/excel&gt;&lt;gridRng&gt;&lt;sect id="TITLE_AREA" rngprop="1:1:3:2" /&gt;&lt;sect id="ROWHEADERS_AREA" rngprop="4:1:8:2" /&gt;&lt;sect id="COLUMNHEADERS_AREA" rngprop="1:3:3:13" /&gt;&lt;sect id="DATA_AREA" rngprop="4:3:8:13" /&gt;&lt;/gridRng&gt;&lt;shapes /&gt;&lt;/bl&gt;&lt;/bls&gt;&lt;/pg&gt;&lt;/pgs&gt;&lt;/rptloc&gt;&lt;/mi&gt;</t>
  </si>
  <si>
    <t>&lt;mi app="e" ver="22"&gt;&lt;rptloc guid="81330f6bd54d43928185d23b657067bb" rank="0" ds="1"&gt;&lt;ri hasPG="0" name="Asignaciones Tiempo Real" id="B899BAE34AF0E79B8C5082A4571C5DFC" path="Objetos públicos\Informes\Informes Específicos\Estadística\INFORMES MACROS\Office\Boletín\Asignaciones Tiempo Real" cf="0" prompt="1" ve="0" vm="0" flashpth="d:\Usuarios\ARACABIV\AppData\Local\Temp\" fimagepth="d:\Usuarios\ARACABIV\AppData\Local\Temp\" swfn="DashboardViewer.swf" fvars="" dvis=""&gt;&lt;ci ps="BI" srv="APBI5A" prj="SIOSbi" prjid="A04572404A6ABF2446090B938515E87E" li="MADCONSO" am="s" /&gt;&lt;lu ut="10/11/2024 12:20:07" si="2.00000001d3e7cec91525cc6e90d7111f3f2dfadca6547ca905a5cb86d93787fde1f8092768e6a3cf6bccfedc11350854c4070b14070be5525c5eab70d202fa8db1462fb991d6ed1bc5e8972fa10488408f4ff8b691bdaa94ed18c95b51238c156e523f409f9cb69c02b00da5a2895ef201dc4d799e6c6e3dc5e06f6ba3b179e065df23515db75adadc4a122e0883f70cb31548dcd899857f4ddee5c101bd978663bb.p.3082.0.1.Europe/Madrid.upriv*_1*_pidn2*_5*_session*-lat*_1.000000019bc784de898be4fbd76d5105a0a4f75f31cdd82ed45c6caa4702ecf11b8d7f97be5a8d278c885a68155b50d80f35ff3971182f59.000000010ac1f95629592d9da191c5893d99131e31cdd82e52212f025ac81ad1def8b2edb49ef45c6337bfe40f5a1db595c803ccc71393c0.0.1.1.SIOSbi.A04572404A6ABF2446090B938515E87E.0-3082.1.1_-0.1.0_-3082.1.1_5.5.0.*0.000000010a3d8ebc2199457f3c8742ccf31a8e17c911585ad1721892b5101510cfdcfc591905ea57.0.23.11*.2*.0400*.31152J.e.000000014c4b612f175e38867da3db54c052c3dec911585a576e0eb230fb647d8d7e0d2a01087b00.0.10*.131*.122*.122.0.0" msgID="6310AA0B11EF87C89A360080EF553097"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ece="$A$337" enr="MSTR.Asignaciones_Tiempo_Real" ptn="" qtn="" rows="39" cols="15" /&gt;&lt;esdo ews="" ece="" ptn="" /&gt;&lt;/excel&gt;&lt;pgs&gt;&lt;pg rows="36" cols="13" nrr="2857" nrc="1365"&gt;&lt;pg /&gt;&lt;bls&gt;&lt;bl sr="1" sc="1" rfetch="36" cfetch="13" posid="1" darows="0" dacols="1"&gt;&lt;excel&gt;&lt;epo ews="Dat_01" ece="$A$337" enr="MSTR.Asignaciones_Tiempo_Real"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</si>
  <si>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guid="4646134067f846f2964723070a09dcaf" rank="0" ds="1"&gt;&lt;ri hasPG="0" name="Energia IGCC" id="39AD04614A7A66EA6258D7BCC4186ACF" path="Objetos públicos\Informes\Informes Específicos\Estadística\INFORMES MACROS\Office\Boletín\Energia IGCC" cf="0" prompt="1" ve="0" vm="0" flashpth="C:\Users\MADCONMA\AppData\Local\Temp\" fimagepth="C:\Users\MADCONMA\AppData\Local\Temp\" swfn="DashboardViewer.swf" fvars="" dvis=""&gt;&lt;ci ps="BI" srv="APBI5A" prj="SIOSbi" prjid="A04572404A6ABF2446090B938515E87E" li="MADCONSO" am="s" /&gt;&lt;lu ut="08/11/2025 09:08:07" si="2.00000001a3a5ff54591694b19cddc6bb461512dcc5ce12534562e2922eb825a62bda2947a6f5a6ca1a03ce7ec6987f5e2ea8d8b829788f8a4b26cd4e36aa9a08a30e4beb1788a70b44ef191ab2008214d3b3d504aa90a947f57fed94db259c0ffde9ada742c18b0c307896bd25156d40155ff57ff1163d7e98bf79ab79413920ef5e655d28827283fb0faf5e16f9baa18ea06ec97fc730b1211a6737670c3b55d714.p.3082.0.1.Europe/Madrid.upriv*_1*_pidn2*_2*_session*-lat*_1.000000015abfb778e6f0ab072bb1ae1a5e3f21b431cdd82e569eb47e07344addd0394a1c73f85abb9f490b15e992715408f1b784decc8cd3.000000015b749e3f5f5bd1047a56702e4dd6af6c31cdd82e973a069231d6183eacb4a23c3b2df5bb7e0e87c6d79faedc3812818cec551203.0.1.1.SIOSbi.A04572404A6ABF2446090B938515E87E.0-3082.1.1_-0.1.0_-3082.1.1_5.5.0.*0.00000001176a0ee8f3e4e49972c43f4252a215adc911585aaf8ed2c16a325a8c1cc51f074a16398f.0.23.11*.2*.0400*.31152J.e.00000001772def76a26980257d03021d0bfeee7bc911585a5c4732cddaa928f96d6c5736b35bb16f.0.10*.131*.122*.122.0.0" msgID="530EF85A11F07692123E0080EFB5F937"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ece="A391" enr="MSTR.Energia_IGCC" ptn="" qtn="" rows="4" cols="14" /&gt;&lt;esdo ews="" ece="" ptn="" /&gt;&lt;/excel&gt;&lt;pgs&gt;&lt;pg rows="2" cols="13" nrr="104" nrc="676"&gt;&lt;pg /&gt;&lt;bls&gt;&lt;bl sr="1" sc="1" rfetch="2" cfetch="13" posid="1" darows="0" dacols="1"&gt;&lt;excel&gt;&lt;epo ews="Dat_01" ece="A391" enr="MSTR.Energia_IGCC"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</si>
  <si>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guid="73e0b6fad32b4890af934515c7628f07" rank="0" ds="1"&gt;&lt;ri hasPG="0" name="Necesidades cubiertas por RR" id="8BF14BDF49DE786A5DEC50BFCD1F92D6" path="Objetos públicos\Informes\Informes Específicos\Estadística\INFORMES MACROS\Office\Boletín\Necesidades cubiertas por RR" cf="0" prompt="1" ve="0" vm="0" flashpth="C:\Users\MADCONMA\AppData\Local\Temp\" fimagepth="C:\Users\MADCONMA\AppData\Local\Temp\" swfn="DashboardViewer.swf" fvars="" dvis=""&gt;&lt;ci ps="BI" srv="APBI5A" prj="SIOSbi" prjid="A04572404A6ABF2446090B938515E87E" li="MADCONSO" am="s" /&gt;&lt;lu ut="08/11/2025 09:05:49" si="2.00000001a3a5ff54591694b19cddc6bb461512dcc5ce12534562e2922eb825a62bda2947a6f5a6ca1a03ce7ec6987f5e2ea8d8b829788f8a4b26cd4e36aa9a08a30e4beb1788a70b44ef191ab2008214d3b3d504aa90a947f57fed94db259c0ffde9ada742c18b0c307896bd25156d40155ff57ff1163d7e98bf79ab79413920ef5e655d28827283fb0faf5e16f9baa18ea06ec97fc730b1211a6737670c3b55d714.p.3082.0.1.Europe/Madrid.upriv*_1*_pidn2*_2*_session*-lat*_1.000000015abfb778e6f0ab072bb1ae1a5e3f21b431cdd82e569eb47e07344addd0394a1c73f85abb9f490b15e992715408f1b784decc8cd3.000000015b749e3f5f5bd1047a56702e4dd6af6c31cdd82e973a069231d6183eacb4a23c3b2df5bb7e0e87c6d79faedc3812818cec551203.0.1.1.SIOSbi.A04572404A6ABF2446090B938515E87E.0-3082.1.1_-0.1.0_-3082.1.1_5.5.0.*0.00000001176a0ee8f3e4e49972c43f4252a215adc911585aaf8ed2c16a325a8c1cc51f074a16398f.0.23.11*.2*.0400*.31152J.e.00000001772def76a26980257d03021d0bfeee7bc911585a5c4732cddaa928f96d6c5736b35bb16f.0.10*.131*.122*.122.0.0" msgID="530F35CD11F07692123E0080EFF57A37"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ece="A314" enr="MSTR.Asignaciones__Periodo_simple_" ptn="" qtn="" rows="4" cols="14" /&gt;&lt;esdo ews="" ece="" ptn="" /&gt;&lt;/excel&gt;&lt;pgs&gt;&lt;pg rows="2" cols="13" nrr="104" nrc="663"&gt;&lt;pg /&gt;&lt;bls&gt;&lt;bl sr="1" sc="1" rfetch="2" cfetch="13" posid="1" darows="0" dacols="1"&gt;&lt;excel&gt;&lt;epo ews="Dat_01" ece="A314" enr="MSTR.Asignaciones__Periodo_simple_"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</si>
  <si>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4a8b948e7c0241c6b0f124a579862383</t>
  </si>
  <si>
    <t>&lt;mi app="e" ver="22"&gt;&lt;rptloc guid="9b2e5227b30741379d882d827211412e" rank="0" ds="1"&gt;&lt;ri hasPG="0" name="Precio Mercado Diario" id="C1FA4C8E4C9BA7AA73F777A98EE0A436" path="Objetos públicos\Informes\Informes Específicos\Estadística\INFORMES MACROS\Office\Boletín\Precio Mercado Diario" cf="0" prompt="1" ve="0" vm="0" flashpth="d:\Usuarios\ARACABIV\AppData\Local\Temp\" fimagepth="d:\Usuarios\ARACABIV\AppData\Local\Temp\" swfn="DashboardViewer.swf" fvars="" dvis=""&gt;&lt;ci ps="BI" srv="APBI5A" prj="SIOSbi" prjid="A04572404A6ABF2446090B938515E87E" li="MADCONSO" am="s" /&gt;&lt;lu ut="08/11/2025 09:00:19" si="2.00000001a3a5ff54591694b19cddc6bb461512dcc5ce12534562e2922eb825a62bda2947a6f5a6ca1a03ce7ec6987f5e2ea8d8b829788f8a4b26cd4e36aa9a08a30e4beb1788a70b44ef191ab2008214d3b3d504aa90a947f57fed94db259c0ffde9ada742c18b0c307896bd25156d40155ff57ff1163d7e98bf79ab79413920ef5e655d28827283fb0faf5e16f9baa18ea06ec97fc730b1211a6737670c3b55d714.p.3082.0.1.Europe/Madrid.upriv*_1*_pidn2*_2*_session*-lat*_1.000000015abfb778e6f0ab072bb1ae1a5e3f21b431cdd82e569eb47e07344addd0394a1c73f85abb9f490b15e992715408f1b784decc8cd3.000000015b749e3f5f5bd1047a56702e4dd6af6c31cdd82e973a069231d6183eacb4a23c3b2df5bb7e0e87c6d79faedc3812818cec551203.0.1.1.SIOSbi.A04572404A6ABF2446090B938515E87E.0-3082.1.1_-0.1.0_-3082.1.1_5.5.0.*0.00000001176a0ee8f3e4e49972c43f4252a215adc911585aaf8ed2c16a325a8c1cc51f074a16398f.0.23.11*.2*.0400*.31152J.e.00000001772def76a26980257d03021d0bfeee7bc911585a5c4732cddaa928f96d6c5736b35bb16f.0.10*.131*.122*.122.0.0" msgID="8FB34AB511F07691123E0080EFD53B39"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 enr="MSTR.Precio_Mercado_Diario" ptn="" qtn="" rows="35" cols="28" /&gt;&lt;esdo ews="" ece="" ptn="" /&gt;&lt;/excel&gt;&lt;pgs&gt;&lt;pg rows="31" cols="27" nrr="3382" nrc="3356"&gt;&lt;pg /&gt;&lt;bls&gt;&lt;bl sr="1" sc="1" rfetch="31" cfetch="27" posid="1" darows="0" dacols="1"&gt;&lt;excel&gt;&lt;epo ews="Dat_01" ece="$A$4" enr="MSTR.Precio_Mercado_Diario" ptn="" qtn="" rows="35" cols="28" /&gt;&lt;esdo ews="" ece="" ptn="" /&gt;&lt;/excel&gt;&lt;gridRng&gt;&lt;sect id="TITLE_AREA" rngprop="1:1:4:1" /&gt;&lt;sect id="ROWHEADERS_AREA" rngprop="5:1:31:1" /&gt;&lt;sect id="COLUMNHEADERS_AREA" rngprop="1:2:4:27" /&gt;&lt;sect id="DATA_AREA" rngprop="5:2:31:27" /&gt;&lt;/gridRng&gt;&lt;shapes /&gt;&lt;/bl&gt;&lt;/bls&gt;&lt;/pg&gt;&lt;/pgs&gt;&lt;/rptloc&gt;&lt;/mi&gt;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</si>
</sst>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43" formatCode="_-* #,##0.00_-;\-* #,##0.00_-;_-* &quot;-&quot;??_-;_-@_-"/>
    <numFmt numFmtId="164" formatCode="#,##0.0"/>
    <numFmt numFmtId="165" formatCode="0.000"/>
    <numFmt numFmtId="166" formatCode="0.0"/>
    <numFmt numFmtId="167" formatCode="_-* #,##0.00[$€]_-;\-* #,##0.00[$€]_-;_-* &quot;-&quot;??[$€]_-;_-@_-"/>
    <numFmt numFmtId="168" formatCode="0.0%"/>
    <numFmt numFmtId="169" formatCode="#,##0.00;\(#,##0.00\)"/>
    <numFmt numFmtId="170" formatCode="#,##0.000"/>
    <numFmt numFmtId="171" formatCode="#,##0;\(#,##0\)"/>
    <numFmt numFmtId="172" formatCode="mmmm\ yyyy"/>
    <numFmt numFmtId="173" formatCode="_-* #,##0.0_-;\-* #,##0.0_-;_-* &quot;-&quot;??_-;_-@_-"/>
    <numFmt numFmtId="174" formatCode="0.0000%"/>
  </numFmts>
  <fonts count="85">
    <font>
      <sz val="10"/>
      <name val="Genev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Geneva"/>
      <family val="2"/>
    </font>
    <font>
      <sz val="9"/>
      <name val="Futura"/>
      <family val="2"/>
    </font>
    <font>
      <sz val="10"/>
      <name val="Arial"/>
      <family val="2"/>
    </font>
    <font>
      <sz val="8"/>
      <name val="Arial"/>
      <family val="2"/>
    </font>
    <font>
      <sz val="8"/>
      <color indexed="8"/>
      <name val="Arial"/>
      <family val="2"/>
    </font>
    <font>
      <b/>
      <sz val="10"/>
      <color indexed="8"/>
      <name val="Arial"/>
      <family val="2"/>
    </font>
    <font>
      <b/>
      <sz val="8"/>
      <color indexed="8"/>
      <name val="Arial"/>
      <family val="2"/>
    </font>
    <font>
      <sz val="10"/>
      <color indexed="56"/>
      <name val="Geneva"/>
      <family val="2"/>
    </font>
    <font>
      <sz val="10"/>
      <color indexed="8"/>
      <name val="Geneva"/>
      <family val="2"/>
    </font>
    <font>
      <sz val="10"/>
      <color indexed="32"/>
      <name val="Avant Garde"/>
    </font>
    <font>
      <sz val="10"/>
      <name val="Arial"/>
      <family val="2"/>
    </font>
    <font>
      <sz val="10"/>
      <name val="Geneva"/>
    </font>
    <font>
      <sz val="11"/>
      <color theme="1"/>
      <name val="Calibri"/>
      <family val="2"/>
      <scheme val="minor"/>
    </font>
    <font>
      <sz val="8"/>
      <color rgb="FF000000"/>
      <name val="Arial"/>
      <family val="2"/>
    </font>
    <font>
      <b/>
      <sz val="8"/>
      <color rgb="FFFFFFFF"/>
      <name val="Arial"/>
      <family val="2"/>
    </font>
    <font>
      <sz val="10"/>
      <color theme="0"/>
      <name val="Arial"/>
      <family val="2"/>
    </font>
    <font>
      <b/>
      <sz val="8"/>
      <color rgb="FF004563"/>
      <name val="Arial"/>
      <family val="2"/>
    </font>
    <font>
      <sz val="8"/>
      <color rgb="FF004563"/>
      <name val="Arial"/>
      <family val="2"/>
    </font>
    <font>
      <sz val="10"/>
      <color rgb="FF004563"/>
      <name val="Geneva"/>
    </font>
    <font>
      <b/>
      <sz val="10"/>
      <color rgb="FF004563"/>
      <name val="Geneva"/>
    </font>
    <font>
      <sz val="8"/>
      <name val="Symbol"/>
      <family val="1"/>
      <charset val="2"/>
    </font>
    <font>
      <b/>
      <sz val="8"/>
      <color rgb="FF005675"/>
      <name val="Verdana"/>
      <family val="2"/>
    </font>
    <font>
      <b/>
      <sz val="10"/>
      <name val="Arial"/>
      <family val="2"/>
    </font>
    <font>
      <sz val="10"/>
      <color rgb="FF000000"/>
      <name val="Arial"/>
      <family val="2"/>
    </font>
    <font>
      <sz val="10"/>
      <color rgb="FF000000"/>
      <name val="Arial"/>
      <family val="2"/>
    </font>
    <font>
      <sz val="18"/>
      <name val="Arial"/>
      <family val="2"/>
    </font>
    <font>
      <sz val="8"/>
      <name val="Helv"/>
    </font>
    <font>
      <sz val="8"/>
      <color indexed="10"/>
      <name val="Helv"/>
    </font>
    <font>
      <sz val="10"/>
      <name val="Arial"/>
      <family val="2"/>
    </font>
    <font>
      <sz val="10"/>
      <color theme="0"/>
      <name val="Geneva"/>
      <family val="2"/>
    </font>
    <font>
      <b/>
      <sz val="11"/>
      <color rgb="FF000000"/>
      <name val="Calibri"/>
      <family val="2"/>
      <scheme val="minor"/>
    </font>
    <font>
      <sz val="11"/>
      <color rgb="FF000000"/>
      <name val="Arial"/>
      <family val="2"/>
    </font>
    <font>
      <sz val="11"/>
      <color rgb="FF004563"/>
      <name val="Arial"/>
      <family val="2"/>
    </font>
    <font>
      <b/>
      <sz val="11"/>
      <color rgb="FF004563"/>
      <name val="Arial"/>
      <family val="2"/>
    </font>
    <font>
      <b/>
      <sz val="11"/>
      <color indexed="8"/>
      <name val="Arial"/>
      <family val="2"/>
    </font>
    <font>
      <b/>
      <sz val="8"/>
      <color rgb="FF000000"/>
      <name val="Arial"/>
      <family val="2"/>
    </font>
    <font>
      <b/>
      <sz val="10"/>
      <color rgb="FFFF0000"/>
      <name val="Arial"/>
      <family val="2"/>
    </font>
    <font>
      <b/>
      <sz val="11"/>
      <color rgb="FFFF0000"/>
      <name val="Arial"/>
      <family val="2"/>
    </font>
    <font>
      <sz val="10"/>
      <color rgb="FFFF0000"/>
      <name val="Avant Garde"/>
    </font>
    <font>
      <sz val="10"/>
      <color rgb="FFFF0000"/>
      <name val="Geneva"/>
      <family val="2"/>
    </font>
    <font>
      <b/>
      <sz val="8"/>
      <color rgb="FFFF0000"/>
      <name val="Arial"/>
      <family val="2"/>
    </font>
    <font>
      <sz val="10"/>
      <color theme="3"/>
      <name val="Geneva"/>
      <family val="2"/>
    </font>
    <font>
      <b/>
      <sz val="8"/>
      <color rgb="FF004563"/>
      <name val="Calibri"/>
      <family val="2"/>
    </font>
    <font>
      <sz val="10"/>
      <color indexed="21"/>
      <name val="Symbol"/>
      <family val="1"/>
      <charset val="2"/>
    </font>
    <font>
      <sz val="14"/>
      <color indexed="21"/>
      <name val="Arial"/>
      <family val="2"/>
    </font>
    <font>
      <u/>
      <sz val="10"/>
      <color indexed="12"/>
      <name val="Geneva"/>
      <family val="2"/>
    </font>
    <font>
      <b/>
      <sz val="8"/>
      <color rgb="FFFFFFFF"/>
      <name val="Verdana"/>
      <family val="2"/>
    </font>
    <font>
      <sz val="10"/>
      <color rgb="FF000000"/>
      <name val="Geneva"/>
    </font>
    <font>
      <b/>
      <sz val="8"/>
      <color theme="0"/>
      <name val="Arial"/>
      <family val="2"/>
    </font>
    <font>
      <sz val="10"/>
      <color rgb="FFFFFFFF"/>
      <name val="Segoe UI"/>
      <family val="2"/>
    </font>
    <font>
      <sz val="11"/>
      <name val="Geneva"/>
    </font>
    <font>
      <sz val="11"/>
      <color rgb="FF004563"/>
      <name val="Geneva"/>
    </font>
    <font>
      <sz val="10"/>
      <color theme="0"/>
      <name val="Segoe UI"/>
      <family val="2"/>
    </font>
    <font>
      <b/>
      <sz val="12"/>
      <name val="Arial"/>
      <family val="2"/>
    </font>
    <font>
      <sz val="10"/>
      <color theme="0"/>
      <name val="Geneva"/>
    </font>
    <font>
      <sz val="10"/>
      <color rgb="FFFF0000"/>
      <name val="Geneva"/>
    </font>
    <font>
      <u/>
      <sz val="10"/>
      <color theme="10"/>
      <name val="Geneva"/>
    </font>
    <font>
      <sz val="10"/>
      <name val="Arial"/>
      <family val="2"/>
    </font>
    <font>
      <sz val="8"/>
      <name val="Geneva"/>
    </font>
    <font>
      <sz val="12"/>
      <color theme="1"/>
      <name val="Calibri"/>
      <family val="2"/>
      <scheme val="minor"/>
    </font>
    <font>
      <i/>
      <sz val="10"/>
      <color rgb="FF004563"/>
      <name val="Arial"/>
      <family val="2"/>
    </font>
    <font>
      <sz val="10"/>
      <color theme="0" tint="-0.34998626667073579"/>
      <name val="Geneva"/>
    </font>
    <font>
      <b/>
      <sz val="10"/>
      <name val="Geneva"/>
    </font>
    <font>
      <b/>
      <sz val="8"/>
      <color theme="1"/>
      <name val="Arial"/>
      <family val="2"/>
    </font>
    <font>
      <b/>
      <sz val="10"/>
      <color theme="0"/>
      <name val="Geneva"/>
    </font>
    <font>
      <sz val="8"/>
      <color rgb="FF000000"/>
      <name val="Arial"/>
      <family val="2"/>
    </font>
    <font>
      <b/>
      <sz val="8"/>
      <color rgb="FF000000"/>
      <name val="Arial"/>
      <family val="2"/>
    </font>
    <font>
      <sz val="8"/>
      <color rgb="FF000000"/>
      <name val="Arial"/>
    </font>
    <font>
      <b/>
      <sz val="8"/>
      <color rgb="FFFFFFFF"/>
      <name val="Arial"/>
    </font>
    <font>
      <b/>
      <sz val="8"/>
      <color rgb="FF000000"/>
      <name val="Arial"/>
    </font>
  </fonts>
  <fills count="25">
    <fill>
      <patternFill patternType="none"/>
    </fill>
    <fill>
      <patternFill patternType="gray125"/>
    </fill>
    <fill>
      <patternFill patternType="solid">
        <fgColor rgb="FFFFFFFF"/>
        <bgColor rgb="FFFFFFFF"/>
      </patternFill>
    </fill>
    <fill>
      <patternFill patternType="solid">
        <fgColor rgb="FF34839D"/>
        <bgColor rgb="FFFFFFFF"/>
      </patternFill>
    </fill>
    <fill>
      <patternFill patternType="solid">
        <fgColor theme="0"/>
        <bgColor indexed="64"/>
      </patternFill>
    </fill>
    <fill>
      <patternFill patternType="solid">
        <fgColor rgb="FFF5F5F5"/>
        <bgColor indexed="64"/>
      </patternFill>
    </fill>
    <fill>
      <patternFill patternType="solid">
        <fgColor theme="0" tint="-4.9989318521683403E-2"/>
        <bgColor indexed="64"/>
      </patternFill>
    </fill>
    <fill>
      <patternFill patternType="solid">
        <fgColor rgb="FFFFCC99"/>
        <bgColor rgb="FFFFFFFF"/>
      </patternFill>
    </fill>
    <fill>
      <patternFill patternType="solid">
        <fgColor rgb="FF8192AD"/>
        <bgColor rgb="FFFFFFFF"/>
      </patternFill>
    </fill>
    <fill>
      <patternFill patternType="solid">
        <fgColor rgb="FFFFFFFF"/>
        <bgColor rgb="FF000000"/>
      </patternFill>
    </fill>
    <fill>
      <patternFill patternType="solid">
        <fgColor rgb="FF000080"/>
        <bgColor rgb="FF000080"/>
      </patternFill>
    </fill>
    <fill>
      <patternFill patternType="solid">
        <fgColor rgb="FFFFCC00"/>
        <bgColor rgb="FF000080"/>
      </patternFill>
    </fill>
    <fill>
      <patternFill patternType="solid">
        <fgColor rgb="FFFF0000"/>
        <bgColor rgb="FF000080"/>
      </patternFill>
    </fill>
    <fill>
      <patternFill patternType="solid">
        <fgColor rgb="FF00CC00"/>
        <bgColor indexed="64"/>
      </patternFill>
    </fill>
    <fill>
      <patternFill patternType="solid">
        <fgColor rgb="FFCEFFFF"/>
        <bgColor rgb="FF000080"/>
      </patternFill>
    </fill>
    <fill>
      <patternFill patternType="solid">
        <fgColor rgb="FFFFFF00"/>
        <bgColor indexed="64"/>
      </patternFill>
    </fill>
    <fill>
      <patternFill patternType="solid">
        <fgColor rgb="FF002060"/>
        <bgColor indexed="64"/>
      </patternFill>
    </fill>
    <fill>
      <patternFill patternType="solid">
        <fgColor rgb="FFFFFF00"/>
        <bgColor rgb="FFFFFFFF"/>
      </patternFill>
    </fill>
    <fill>
      <patternFill patternType="solid">
        <fgColor rgb="FFFFFFFF"/>
      </patternFill>
    </fill>
    <fill>
      <patternFill patternType="solid">
        <fgColor rgb="FFFFCC99"/>
      </patternFill>
    </fill>
    <fill>
      <patternFill patternType="solid">
        <fgColor rgb="FF34839D"/>
      </patternFill>
    </fill>
    <fill>
      <patternFill patternType="solid">
        <fgColor rgb="FFFFCF00"/>
      </patternFill>
    </fill>
    <fill>
      <patternFill patternType="solid">
        <fgColor rgb="FFCEFFFF"/>
      </patternFill>
    </fill>
    <fill>
      <patternFill patternType="solid">
        <fgColor rgb="FFFF0000"/>
      </patternFill>
    </fill>
    <fill>
      <patternFill patternType="solid">
        <fgColor rgb="FFFFC000"/>
        <bgColor indexed="64"/>
      </patternFill>
    </fill>
  </fills>
  <borders count="29">
    <border>
      <left/>
      <right/>
      <top/>
      <bottom/>
      <diagonal/>
    </border>
    <border>
      <left/>
      <right/>
      <top style="thin">
        <color indexed="63"/>
      </top>
      <bottom style="thin">
        <color indexed="63"/>
      </bottom>
      <diagonal/>
    </border>
    <border>
      <left style="thin">
        <color rgb="FFC0C0C0"/>
      </left>
      <right/>
      <top/>
      <bottom style="thin">
        <color rgb="FFC0C0C0"/>
      </bottom>
      <diagonal/>
    </border>
    <border>
      <left/>
      <right/>
      <top/>
      <bottom style="thin">
        <color rgb="FFA6A6A6"/>
      </bottom>
      <diagonal/>
    </border>
    <border>
      <left/>
      <right/>
      <top style="thin">
        <color rgb="FFA6A6A6"/>
      </top>
      <bottom style="thin">
        <color indexed="63"/>
      </bottom>
      <diagonal/>
    </border>
    <border>
      <left/>
      <right/>
      <top/>
      <bottom style="thin">
        <color theme="0" tint="-0.34998626667073579"/>
      </bottom>
      <diagonal/>
    </border>
    <border>
      <left/>
      <right/>
      <top style="thin">
        <color theme="0" tint="-0.34998626667073579"/>
      </top>
      <bottom/>
      <diagonal/>
    </border>
    <border>
      <left/>
      <right/>
      <top/>
      <bottom style="thin">
        <color rgb="FFC0C0C0"/>
      </bottom>
      <diagonal/>
    </border>
    <border>
      <left/>
      <right/>
      <top/>
      <bottom style="thin">
        <color indexed="64"/>
      </bottom>
      <diagonal/>
    </border>
    <border>
      <left/>
      <right/>
      <top style="thin">
        <color auto="1"/>
      </top>
      <bottom style="thin">
        <color auto="1"/>
      </bottom>
      <diagonal/>
    </border>
    <border>
      <left/>
      <right/>
      <top style="thin">
        <color rgb="FFC0C0C0"/>
      </top>
      <bottom style="thin">
        <color rgb="FFC0C0C0"/>
      </bottom>
      <diagonal/>
    </border>
    <border>
      <left style="thin">
        <color rgb="FFC0C0C0"/>
      </left>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style="thin">
        <color rgb="FFC0C0C0"/>
      </left>
      <right style="thin">
        <color rgb="FFC0C0C0"/>
      </right>
      <top/>
      <bottom style="thin">
        <color rgb="FFC0C0C0"/>
      </bottom>
      <diagonal/>
    </border>
    <border>
      <left style="thin">
        <color rgb="FFC0C0C0"/>
      </left>
      <right/>
      <top/>
      <bottom/>
      <diagonal/>
    </border>
    <border>
      <left/>
      <right/>
      <top style="thin">
        <color indexed="63"/>
      </top>
      <bottom/>
      <diagonal/>
    </border>
    <border>
      <left/>
      <right/>
      <top style="thin">
        <color theme="0" tint="-0.34998626667073579"/>
      </top>
      <bottom style="thin">
        <color theme="0" tint="-0.34998626667073579"/>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s>
  <cellStyleXfs count="91">
    <xf numFmtId="0" fontId="0" fillId="0" borderId="0"/>
    <xf numFmtId="167" fontId="15" fillId="0" borderId="0" applyFont="0" applyFill="0" applyBorder="0" applyAlignment="0" applyProtection="0"/>
    <xf numFmtId="0" fontId="16" fillId="0" borderId="0"/>
    <xf numFmtId="4" fontId="28" fillId="2" borderId="2">
      <alignment horizontal="right" vertical="center"/>
    </xf>
    <xf numFmtId="0" fontId="17" fillId="0" borderId="0"/>
    <xf numFmtId="0" fontId="17" fillId="0" borderId="0"/>
    <xf numFmtId="0" fontId="27" fillId="0" borderId="0"/>
    <xf numFmtId="0" fontId="27" fillId="0" borderId="0"/>
    <xf numFmtId="0" fontId="25" fillId="0" borderId="0"/>
    <xf numFmtId="9" fontId="26"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0" fontId="38" fillId="0" borderId="0"/>
    <xf numFmtId="0" fontId="39" fillId="0" borderId="0"/>
    <xf numFmtId="9" fontId="38" fillId="0" borderId="0" applyFont="0" applyFill="0" applyBorder="0" applyAlignment="0" applyProtection="0"/>
    <xf numFmtId="0" fontId="40" fillId="0" borderId="0"/>
    <xf numFmtId="0" fontId="43" fillId="0" borderId="0"/>
    <xf numFmtId="0" fontId="29" fillId="3" borderId="2">
      <alignment vertical="center" wrapText="1"/>
    </xf>
    <xf numFmtId="0" fontId="29" fillId="3" borderId="2">
      <alignment horizontal="center" wrapText="1"/>
    </xf>
    <xf numFmtId="0" fontId="14" fillId="0" borderId="0"/>
    <xf numFmtId="0" fontId="28" fillId="2" borderId="2">
      <alignment horizontal="left" vertical="center" wrapText="1"/>
    </xf>
    <xf numFmtId="3" fontId="28" fillId="2" borderId="2">
      <alignment horizontal="right" vertical="center"/>
    </xf>
    <xf numFmtId="9" fontId="14" fillId="0" borderId="0" applyFont="0" applyFill="0" applyBorder="0" applyAlignment="0" applyProtection="0"/>
    <xf numFmtId="164" fontId="28" fillId="2" borderId="2">
      <alignment horizontal="right" vertical="center"/>
    </xf>
    <xf numFmtId="164" fontId="50" fillId="7" borderId="2">
      <alignment horizontal="right" vertical="center"/>
    </xf>
    <xf numFmtId="0" fontId="13" fillId="0" borderId="0"/>
    <xf numFmtId="9" fontId="13" fillId="0" borderId="0" applyFont="0" applyFill="0" applyBorder="0" applyAlignment="0" applyProtection="0"/>
    <xf numFmtId="0" fontId="29" fillId="3" borderId="2">
      <alignment horizontal="center" wrapText="1"/>
    </xf>
    <xf numFmtId="0" fontId="28" fillId="2" borderId="2">
      <alignment horizontal="left" vertical="center" wrapText="1"/>
    </xf>
    <xf numFmtId="169" fontId="50" fillId="7" borderId="2">
      <alignment horizontal="left" vertical="center"/>
    </xf>
    <xf numFmtId="0" fontId="26" fillId="0" borderId="0"/>
    <xf numFmtId="0" fontId="17" fillId="0" borderId="0"/>
    <xf numFmtId="0" fontId="60" fillId="0" borderId="0" applyNumberFormat="0" applyFill="0" applyBorder="0" applyAlignment="0" applyProtection="0">
      <alignment vertical="top"/>
      <protection locked="0"/>
    </xf>
    <xf numFmtId="0" fontId="61" fillId="8" borderId="2">
      <alignment vertical="center" wrapText="1"/>
    </xf>
    <xf numFmtId="0" fontId="29" fillId="3" borderId="2">
      <alignment vertical="center" wrapText="1"/>
    </xf>
    <xf numFmtId="0" fontId="29" fillId="3" borderId="2">
      <alignment horizontal="center"/>
    </xf>
    <xf numFmtId="4" fontId="29" fillId="10" borderId="2">
      <alignment horizontal="right" vertical="center"/>
    </xf>
    <xf numFmtId="4" fontId="28" fillId="11" borderId="2">
      <alignment horizontal="right" vertical="center"/>
    </xf>
    <xf numFmtId="4" fontId="50" fillId="7" borderId="2">
      <alignment horizontal="right" vertical="center"/>
    </xf>
    <xf numFmtId="4" fontId="50" fillId="12" borderId="2">
      <alignment horizontal="right" vertical="center"/>
    </xf>
    <xf numFmtId="0" fontId="29" fillId="3" borderId="12">
      <alignment vertical="center" wrapText="1"/>
    </xf>
    <xf numFmtId="4" fontId="28" fillId="7" borderId="2">
      <alignment horizontal="right" vertical="center"/>
    </xf>
    <xf numFmtId="170" fontId="28" fillId="7" borderId="2">
      <alignment horizontal="right" vertical="center"/>
    </xf>
    <xf numFmtId="164" fontId="28" fillId="7" borderId="2">
      <alignment horizontal="right" vertical="center"/>
    </xf>
    <xf numFmtId="0" fontId="50" fillId="7" borderId="2">
      <alignment horizontal="left" vertical="center"/>
    </xf>
    <xf numFmtId="171" fontId="28" fillId="2" borderId="2">
      <alignment horizontal="right" vertical="center"/>
    </xf>
    <xf numFmtId="171" fontId="50" fillId="7" borderId="2">
      <alignment horizontal="right" vertical="center"/>
    </xf>
    <xf numFmtId="0" fontId="11" fillId="0" borderId="0"/>
    <xf numFmtId="0" fontId="10" fillId="0" borderId="0"/>
    <xf numFmtId="0" fontId="29" fillId="3" borderId="2">
      <alignment vertical="center" wrapText="1"/>
    </xf>
    <xf numFmtId="0" fontId="29" fillId="3" borderId="2">
      <alignment horizontal="center" wrapText="1"/>
    </xf>
    <xf numFmtId="0" fontId="9" fillId="0" borderId="0"/>
    <xf numFmtId="4" fontId="28" fillId="2" borderId="2">
      <alignment horizontal="right" vertical="center"/>
    </xf>
    <xf numFmtId="0" fontId="29" fillId="3" borderId="11">
      <alignment vertical="center" wrapText="1"/>
    </xf>
    <xf numFmtId="0" fontId="28" fillId="2" borderId="2">
      <alignment horizontal="left" vertical="center" wrapText="1"/>
    </xf>
    <xf numFmtId="3" fontId="28" fillId="2" borderId="2">
      <alignment horizontal="right" vertical="center"/>
    </xf>
    <xf numFmtId="0" fontId="28" fillId="2" borderId="2">
      <alignment horizontal="left" vertical="center" wrapText="1"/>
    </xf>
    <xf numFmtId="0" fontId="50" fillId="7" borderId="2">
      <alignment horizontal="left" vertical="center"/>
    </xf>
    <xf numFmtId="164" fontId="50" fillId="7" borderId="2">
      <alignment horizontal="right" vertical="center"/>
    </xf>
    <xf numFmtId="0" fontId="29" fillId="3" borderId="2">
      <alignment horizontal="center" wrapText="1"/>
    </xf>
    <xf numFmtId="0" fontId="62" fillId="9" borderId="12"/>
    <xf numFmtId="0" fontId="29" fillId="3" borderId="2">
      <alignment horizontal="center" wrapText="1"/>
    </xf>
    <xf numFmtId="0" fontId="28" fillId="2" borderId="2">
      <alignment horizontal="left" vertical="center" wrapText="1"/>
    </xf>
    <xf numFmtId="164" fontId="28" fillId="2" borderId="2">
      <alignment horizontal="right" vertical="center"/>
    </xf>
    <xf numFmtId="0" fontId="50" fillId="7" borderId="2">
      <alignment horizontal="left" vertical="center"/>
    </xf>
    <xf numFmtId="169" fontId="28" fillId="2" borderId="2">
      <alignment horizontal="left" vertical="center" wrapText="1"/>
    </xf>
    <xf numFmtId="0" fontId="29" fillId="3" borderId="12">
      <alignment vertical="center" wrapText="1"/>
    </xf>
    <xf numFmtId="164" fontId="50" fillId="7" borderId="2">
      <alignment horizontal="right" vertical="center"/>
    </xf>
    <xf numFmtId="0" fontId="71" fillId="0" borderId="0" applyNumberFormat="0" applyFill="0" applyBorder="0" applyAlignment="0" applyProtection="0"/>
    <xf numFmtId="0" fontId="72" fillId="0" borderId="0"/>
    <xf numFmtId="0" fontId="74" fillId="0" borderId="0"/>
    <xf numFmtId="0" fontId="8" fillId="0" borderId="0"/>
    <xf numFmtId="0" fontId="7" fillId="0" borderId="0"/>
    <xf numFmtId="43" fontId="26" fillId="0" borderId="0" applyFont="0" applyFill="0" applyBorder="0" applyAlignment="0" applyProtection="0"/>
    <xf numFmtId="4" fontId="28" fillId="14" borderId="2">
      <alignment horizontal="right" vertical="center"/>
    </xf>
    <xf numFmtId="4" fontId="29" fillId="10" borderId="2">
      <alignment horizontal="right" vertical="center"/>
    </xf>
    <xf numFmtId="4" fontId="50" fillId="12" borderId="2">
      <alignment horizontal="right" vertical="center"/>
    </xf>
    <xf numFmtId="4" fontId="50" fillId="7" borderId="2">
      <alignment horizontal="right" vertical="center"/>
    </xf>
    <xf numFmtId="164" fontId="28" fillId="7" borderId="2">
      <alignment horizontal="right" vertical="center"/>
    </xf>
    <xf numFmtId="4" fontId="28" fillId="2" borderId="2">
      <alignment horizontal="right" vertical="center"/>
    </xf>
    <xf numFmtId="0" fontId="6" fillId="0" borderId="0"/>
    <xf numFmtId="4" fontId="28" fillId="7" borderId="2">
      <alignment horizontal="right" vertical="center"/>
    </xf>
    <xf numFmtId="0" fontId="5" fillId="0" borderId="0"/>
    <xf numFmtId="0" fontId="4" fillId="0" borderId="0"/>
    <xf numFmtId="4" fontId="28" fillId="2" borderId="2">
      <alignment horizontal="right" vertical="center"/>
    </xf>
    <xf numFmtId="0" fontId="3" fillId="0" borderId="0"/>
    <xf numFmtId="0" fontId="29" fillId="3" borderId="2">
      <alignment horizontal="center" wrapText="1"/>
    </xf>
    <xf numFmtId="0" fontId="2" fillId="0" borderId="0"/>
    <xf numFmtId="0" fontId="1" fillId="0" borderId="0"/>
    <xf numFmtId="164" fontId="28" fillId="7" borderId="2">
      <alignment horizontal="right" vertical="center"/>
    </xf>
  </cellStyleXfs>
  <cellXfs count="278">
    <xf numFmtId="0" fontId="0" fillId="0" borderId="0" xfId="0"/>
    <xf numFmtId="0" fontId="22" fillId="0" borderId="0" xfId="0" applyFont="1"/>
    <xf numFmtId="0" fontId="23" fillId="0" borderId="0" xfId="0" applyFont="1"/>
    <xf numFmtId="0" fontId="21" fillId="0" borderId="0" xfId="0" applyFont="1"/>
    <xf numFmtId="0" fontId="21" fillId="0" borderId="0" xfId="0" applyFont="1" applyAlignment="1">
      <alignment horizontal="left" vertical="center" indent="1"/>
    </xf>
    <xf numFmtId="0" fontId="22" fillId="0" borderId="0" xfId="0" applyFont="1" applyAlignment="1">
      <alignment horizontal="left" indent="1"/>
    </xf>
    <xf numFmtId="0" fontId="21" fillId="0" borderId="0" xfId="0" applyFont="1" applyAlignment="1">
      <alignment horizontal="left"/>
    </xf>
    <xf numFmtId="0" fontId="24" fillId="0" borderId="0" xfId="0" applyFont="1"/>
    <xf numFmtId="164" fontId="21" fillId="0" borderId="0" xfId="0" applyNumberFormat="1" applyFont="1" applyAlignment="1">
      <alignment wrapText="1"/>
    </xf>
    <xf numFmtId="0" fontId="22" fillId="5" borderId="0" xfId="0" applyFont="1" applyFill="1" applyAlignment="1">
      <alignment horizontal="left" indent="1"/>
    </xf>
    <xf numFmtId="0" fontId="20" fillId="0" borderId="0" xfId="8" applyFont="1"/>
    <xf numFmtId="0" fontId="20" fillId="0" borderId="0" xfId="0" applyFont="1"/>
    <xf numFmtId="0" fontId="21" fillId="5" borderId="0" xfId="0" applyFont="1" applyFill="1" applyAlignment="1">
      <alignment horizontal="left"/>
    </xf>
    <xf numFmtId="0" fontId="0" fillId="5" borderId="0" xfId="0" applyFill="1"/>
    <xf numFmtId="0" fontId="33" fillId="5" borderId="6" xfId="0" applyFont="1" applyFill="1" applyBorder="1"/>
    <xf numFmtId="0" fontId="34" fillId="5" borderId="5" xfId="0" applyFont="1" applyFill="1" applyBorder="1"/>
    <xf numFmtId="49" fontId="32" fillId="5" borderId="0" xfId="0" applyNumberFormat="1" applyFont="1" applyFill="1"/>
    <xf numFmtId="0" fontId="20" fillId="0" borderId="0" xfId="8" applyFont="1" applyAlignment="1">
      <alignment horizontal="right"/>
    </xf>
    <xf numFmtId="0" fontId="20" fillId="0" borderId="0" xfId="0" applyFont="1" applyAlignment="1">
      <alignment horizontal="right"/>
    </xf>
    <xf numFmtId="0" fontId="20" fillId="0" borderId="0" xfId="8" applyFont="1" applyAlignment="1">
      <alignment horizontal="left"/>
    </xf>
    <xf numFmtId="0" fontId="17" fillId="0" borderId="0" xfId="4"/>
    <xf numFmtId="0" fontId="18" fillId="0" borderId="0" xfId="4" applyFont="1" applyAlignment="1">
      <alignment horizontal="center" wrapText="1"/>
    </xf>
    <xf numFmtId="0" fontId="35" fillId="0" borderId="0" xfId="4" applyFont="1"/>
    <xf numFmtId="2" fontId="18" fillId="4" borderId="0" xfId="4" applyNumberFormat="1" applyFont="1" applyFill="1"/>
    <xf numFmtId="166" fontId="18" fillId="4" borderId="0" xfId="4" applyNumberFormat="1" applyFont="1" applyFill="1"/>
    <xf numFmtId="0" fontId="17" fillId="4" borderId="0" xfId="4" applyFill="1"/>
    <xf numFmtId="0" fontId="36" fillId="4" borderId="0" xfId="4" applyFont="1" applyFill="1" applyAlignment="1">
      <alignment horizontal="right" wrapText="1"/>
    </xf>
    <xf numFmtId="0" fontId="17" fillId="0" borderId="0" xfId="4" applyAlignment="1">
      <alignment vertical="center" wrapText="1"/>
    </xf>
    <xf numFmtId="0" fontId="17" fillId="0" borderId="0" xfId="11"/>
    <xf numFmtId="166" fontId="17" fillId="0" borderId="0" xfId="11" applyNumberFormat="1"/>
    <xf numFmtId="4" fontId="37" fillId="0" borderId="0" xfId="11" applyNumberFormat="1" applyFont="1"/>
    <xf numFmtId="0" fontId="17" fillId="0" borderId="0" xfId="12"/>
    <xf numFmtId="165" fontId="17" fillId="0" borderId="0" xfId="11" applyNumberFormat="1"/>
    <xf numFmtId="165" fontId="17" fillId="0" borderId="0" xfId="12" applyNumberFormat="1"/>
    <xf numFmtId="2" fontId="17" fillId="0" borderId="0" xfId="11" applyNumberFormat="1"/>
    <xf numFmtId="4" fontId="17" fillId="0" borderId="0" xfId="11" applyNumberFormat="1"/>
    <xf numFmtId="3" fontId="17" fillId="0" borderId="0" xfId="11" applyNumberFormat="1"/>
    <xf numFmtId="3" fontId="17" fillId="0" borderId="0" xfId="4" applyNumberFormat="1"/>
    <xf numFmtId="164" fontId="31" fillId="0" borderId="0" xfId="0" applyNumberFormat="1" applyFont="1" applyAlignment="1">
      <alignment wrapText="1"/>
    </xf>
    <xf numFmtId="3" fontId="19" fillId="6" borderId="0" xfId="0" applyNumberFormat="1" applyFont="1" applyFill="1"/>
    <xf numFmtId="0" fontId="41" fillId="0" borderId="0" xfId="16" applyFont="1" applyAlignment="1">
      <alignment horizontal="center"/>
    </xf>
    <xf numFmtId="0" fontId="41" fillId="0" borderId="0" xfId="16" applyFont="1"/>
    <xf numFmtId="1" fontId="41" fillId="0" borderId="0" xfId="16" applyNumberFormat="1" applyFont="1"/>
    <xf numFmtId="165" fontId="41" fillId="0" borderId="0" xfId="16" applyNumberFormat="1" applyFont="1"/>
    <xf numFmtId="165" fontId="42" fillId="0" borderId="0" xfId="16" applyNumberFormat="1" applyFont="1"/>
    <xf numFmtId="2" fontId="41" fillId="0" borderId="0" xfId="16" applyNumberFormat="1" applyFont="1"/>
    <xf numFmtId="0" fontId="43" fillId="0" borderId="0" xfId="17"/>
    <xf numFmtId="0" fontId="21" fillId="0" borderId="0" xfId="0" applyFont="1" applyAlignment="1">
      <alignment vertical="top" wrapText="1"/>
    </xf>
    <xf numFmtId="164" fontId="31" fillId="0" borderId="0" xfId="0" applyNumberFormat="1" applyFont="1" applyAlignment="1">
      <alignment vertical="top" wrapText="1"/>
    </xf>
    <xf numFmtId="166" fontId="0" fillId="0" borderId="0" xfId="0" applyNumberFormat="1"/>
    <xf numFmtId="0" fontId="44" fillId="0" borderId="0" xfId="0" applyFont="1"/>
    <xf numFmtId="4" fontId="15" fillId="0" borderId="0" xfId="0" applyNumberFormat="1" applyFont="1"/>
    <xf numFmtId="0" fontId="47" fillId="5" borderId="0" xfId="20" applyFont="1" applyFill="1"/>
    <xf numFmtId="0" fontId="48" fillId="5" borderId="9" xfId="20" applyFont="1" applyFill="1" applyBorder="1"/>
    <xf numFmtId="0" fontId="23" fillId="0" borderId="0" xfId="0" applyFont="1" applyAlignment="1">
      <alignment wrapText="1"/>
    </xf>
    <xf numFmtId="0" fontId="22" fillId="0" borderId="0" xfId="0" applyFont="1" applyAlignment="1">
      <alignment horizontal="left" wrapText="1"/>
    </xf>
    <xf numFmtId="0" fontId="45" fillId="0" borderId="0" xfId="20" applyFont="1" applyAlignment="1">
      <alignment wrapText="1"/>
    </xf>
    <xf numFmtId="0" fontId="22" fillId="0" borderId="0" xfId="0" applyFont="1" applyAlignment="1">
      <alignment wrapText="1"/>
    </xf>
    <xf numFmtId="0" fontId="46" fillId="5" borderId="8" xfId="20" applyFont="1" applyFill="1" applyBorder="1" applyAlignment="1">
      <alignment wrapText="1"/>
    </xf>
    <xf numFmtId="17" fontId="48" fillId="5" borderId="8" xfId="20" quotePrefix="1" applyNumberFormat="1" applyFont="1" applyFill="1" applyBorder="1" applyAlignment="1">
      <alignment horizontal="right" wrapText="1"/>
    </xf>
    <xf numFmtId="0" fontId="49" fillId="5" borderId="9" xfId="0" applyFont="1" applyFill="1" applyBorder="1" applyAlignment="1">
      <alignment horizontal="left" vertical="center"/>
    </xf>
    <xf numFmtId="168" fontId="49" fillId="5" borderId="9" xfId="9" applyNumberFormat="1" applyFont="1" applyFill="1" applyBorder="1" applyAlignment="1" applyProtection="1">
      <alignment vertical="center"/>
    </xf>
    <xf numFmtId="4" fontId="0" fillId="0" borderId="0" xfId="0" applyNumberFormat="1"/>
    <xf numFmtId="0" fontId="30" fillId="0" borderId="0" xfId="11" applyFont="1"/>
    <xf numFmtId="0" fontId="13" fillId="0" borderId="0" xfId="26"/>
    <xf numFmtId="4" fontId="13" fillId="0" borderId="0" xfId="26" applyNumberFormat="1"/>
    <xf numFmtId="168" fontId="17" fillId="0" borderId="0" xfId="9" applyNumberFormat="1" applyFont="1"/>
    <xf numFmtId="0" fontId="51" fillId="0" borderId="0" xfId="11" applyFont="1"/>
    <xf numFmtId="0" fontId="52" fillId="0" borderId="0" xfId="11" applyFont="1"/>
    <xf numFmtId="168" fontId="0" fillId="0" borderId="0" xfId="27" applyNumberFormat="1" applyFont="1" applyFill="1"/>
    <xf numFmtId="0" fontId="53" fillId="0" borderId="0" xfId="0" applyFont="1"/>
    <xf numFmtId="0" fontId="12" fillId="0" borderId="0" xfId="26" applyFont="1"/>
    <xf numFmtId="0" fontId="45" fillId="0" borderId="0" xfId="20" applyFont="1" applyAlignment="1">
      <alignment horizontal="center" wrapText="1"/>
    </xf>
    <xf numFmtId="0" fontId="22" fillId="0" borderId="0" xfId="0" quotePrefix="1" applyFont="1"/>
    <xf numFmtId="0" fontId="54" fillId="0" borderId="0" xfId="0" applyFont="1"/>
    <xf numFmtId="0" fontId="55" fillId="0" borderId="0" xfId="0" applyFont="1" applyAlignment="1">
      <alignment horizontal="left" vertical="center" indent="1"/>
    </xf>
    <xf numFmtId="0" fontId="54" fillId="0" borderId="0" xfId="0" applyFont="1" applyAlignment="1">
      <alignment horizontal="left" indent="1"/>
    </xf>
    <xf numFmtId="0" fontId="54" fillId="5" borderId="0" xfId="0" applyFont="1" applyFill="1" applyAlignment="1">
      <alignment horizontal="left" indent="1"/>
    </xf>
    <xf numFmtId="17" fontId="20" fillId="0" borderId="0" xfId="0" applyNumberFormat="1" applyFont="1" applyAlignment="1">
      <alignment horizontal="right"/>
    </xf>
    <xf numFmtId="165" fontId="56" fillId="0" borderId="0" xfId="0" applyNumberFormat="1" applyFont="1"/>
    <xf numFmtId="0" fontId="56" fillId="0" borderId="0" xfId="0" applyFont="1"/>
    <xf numFmtId="164" fontId="56" fillId="0" borderId="0" xfId="0" applyNumberFormat="1" applyFont="1"/>
    <xf numFmtId="170" fontId="56" fillId="0" borderId="0" xfId="0" applyNumberFormat="1" applyFont="1"/>
    <xf numFmtId="166" fontId="32" fillId="5" borderId="5" xfId="0" applyNumberFormat="1" applyFont="1" applyFill="1" applyBorder="1" applyAlignment="1">
      <alignment horizontal="left" vertical="center"/>
    </xf>
    <xf numFmtId="164" fontId="31" fillId="0" borderId="0" xfId="0" applyNumberFormat="1" applyFont="1" applyAlignment="1">
      <alignment horizontal="left"/>
    </xf>
    <xf numFmtId="0" fontId="33" fillId="0" borderId="0" xfId="0" applyFont="1"/>
    <xf numFmtId="3" fontId="31" fillId="5" borderId="1" xfId="0" applyNumberFormat="1" applyFont="1" applyFill="1" applyBorder="1" applyAlignment="1">
      <alignment horizontal="left" vertical="center"/>
    </xf>
    <xf numFmtId="164" fontId="32" fillId="5" borderId="0" xfId="0" applyNumberFormat="1" applyFont="1" applyFill="1" applyAlignment="1">
      <alignment horizontal="left" vertical="center"/>
    </xf>
    <xf numFmtId="164" fontId="32" fillId="5" borderId="3" xfId="0" applyNumberFormat="1" applyFont="1" applyFill="1" applyBorder="1" applyAlignment="1">
      <alignment horizontal="left" vertical="center"/>
    </xf>
    <xf numFmtId="3" fontId="32" fillId="0" borderId="0" xfId="0" applyNumberFormat="1" applyFont="1" applyAlignment="1">
      <alignment horizontal="centerContinuous"/>
    </xf>
    <xf numFmtId="3" fontId="32" fillId="0" borderId="0" xfId="0" applyNumberFormat="1" applyFont="1"/>
    <xf numFmtId="0" fontId="31" fillId="5" borderId="4" xfId="0" applyFont="1" applyFill="1" applyBorder="1" applyAlignment="1">
      <alignment horizontal="right" vertical="center"/>
    </xf>
    <xf numFmtId="4" fontId="32" fillId="5" borderId="0" xfId="0" applyNumberFormat="1" applyFont="1" applyFill="1" applyAlignment="1">
      <alignment horizontal="right" vertical="center"/>
    </xf>
    <xf numFmtId="2" fontId="32" fillId="5" borderId="3" xfId="0" applyNumberFormat="1" applyFont="1" applyFill="1" applyBorder="1" applyAlignment="1">
      <alignment horizontal="right" vertical="center"/>
    </xf>
    <xf numFmtId="0" fontId="15" fillId="0" borderId="0" xfId="0" applyFont="1"/>
    <xf numFmtId="0" fontId="21" fillId="0" borderId="0" xfId="0" applyFont="1" applyAlignment="1">
      <alignment horizontal="right" vertical="center"/>
    </xf>
    <xf numFmtId="0" fontId="58" fillId="0" borderId="0" xfId="0" applyFont="1" applyAlignment="1">
      <alignment horizontal="right"/>
    </xf>
    <xf numFmtId="0" fontId="59" fillId="5" borderId="0" xfId="0" applyFont="1" applyFill="1" applyAlignment="1">
      <alignment horizontal="right" vertical="center"/>
    </xf>
    <xf numFmtId="0" fontId="31" fillId="5" borderId="0" xfId="33" applyFont="1" applyFill="1" applyBorder="1" applyAlignment="1" applyProtection="1">
      <alignment horizontal="left"/>
    </xf>
    <xf numFmtId="164" fontId="21" fillId="0" borderId="0" xfId="0" applyNumberFormat="1" applyFont="1" applyAlignment="1">
      <alignment horizontal="left"/>
    </xf>
    <xf numFmtId="0" fontId="59" fillId="5" borderId="0" xfId="0" applyFont="1" applyFill="1" applyAlignment="1">
      <alignment horizontal="right" vertical="top"/>
    </xf>
    <xf numFmtId="0" fontId="21" fillId="5" borderId="0" xfId="33" applyFont="1" applyFill="1" applyBorder="1" applyAlignment="1" applyProtection="1">
      <alignment horizontal="left"/>
    </xf>
    <xf numFmtId="0" fontId="32" fillId="0" borderId="0" xfId="0" applyFont="1"/>
    <xf numFmtId="3" fontId="21" fillId="0" borderId="0" xfId="0" applyNumberFormat="1" applyFont="1" applyAlignment="1">
      <alignment horizontal="left"/>
    </xf>
    <xf numFmtId="2" fontId="32" fillId="5" borderId="5" xfId="0" applyNumberFormat="1" applyFont="1" applyFill="1" applyBorder="1" applyAlignment="1">
      <alignment horizontal="right" vertical="center"/>
    </xf>
    <xf numFmtId="2" fontId="32" fillId="5" borderId="0" xfId="0" applyNumberFormat="1" applyFont="1" applyFill="1" applyAlignment="1">
      <alignment horizontal="right" vertical="center"/>
    </xf>
    <xf numFmtId="0" fontId="31" fillId="4" borderId="0" xfId="31" applyFont="1" applyFill="1"/>
    <xf numFmtId="0" fontId="32" fillId="5" borderId="0" xfId="0" applyFont="1" applyFill="1"/>
    <xf numFmtId="0" fontId="32" fillId="5" borderId="5" xfId="0" applyFont="1" applyFill="1" applyBorder="1"/>
    <xf numFmtId="4" fontId="32" fillId="5" borderId="5" xfId="0" applyNumberFormat="1" applyFont="1" applyFill="1" applyBorder="1" applyAlignment="1">
      <alignment horizontal="right" vertical="center"/>
    </xf>
    <xf numFmtId="0" fontId="32" fillId="5" borderId="0" xfId="0" applyFont="1" applyFill="1" applyAlignment="1">
      <alignment horizontal="center"/>
    </xf>
    <xf numFmtId="0" fontId="32" fillId="5" borderId="5" xfId="0" applyFont="1" applyFill="1" applyBorder="1" applyAlignment="1">
      <alignment horizontal="center"/>
    </xf>
    <xf numFmtId="2" fontId="63" fillId="13" borderId="5" xfId="0" applyNumberFormat="1" applyFont="1" applyFill="1" applyBorder="1" applyAlignment="1">
      <alignment horizontal="right" vertical="center"/>
    </xf>
    <xf numFmtId="171" fontId="28" fillId="2" borderId="2" xfId="46">
      <alignment horizontal="right" vertical="center"/>
    </xf>
    <xf numFmtId="11" fontId="0" fillId="0" borderId="0" xfId="0" applyNumberFormat="1"/>
    <xf numFmtId="0" fontId="64" fillId="3" borderId="2" xfId="35" applyFont="1" applyAlignment="1">
      <alignment vertical="center"/>
    </xf>
    <xf numFmtId="0" fontId="65" fillId="0" borderId="0" xfId="0" applyFont="1"/>
    <xf numFmtId="0" fontId="48" fillId="4" borderId="0" xfId="31" applyFont="1" applyFill="1"/>
    <xf numFmtId="0" fontId="66" fillId="0" borderId="0" xfId="0" applyFont="1"/>
    <xf numFmtId="0" fontId="67" fillId="16" borderId="0" xfId="0" applyFont="1" applyFill="1"/>
    <xf numFmtId="0" fontId="20" fillId="0" borderId="0" xfId="32" applyFont="1" applyAlignment="1">
      <alignment horizontal="left"/>
    </xf>
    <xf numFmtId="0" fontId="69" fillId="0" borderId="0" xfId="0" applyFont="1"/>
    <xf numFmtId="164" fontId="32" fillId="5" borderId="3" xfId="0" applyNumberFormat="1" applyFont="1" applyFill="1" applyBorder="1" applyAlignment="1">
      <alignment horizontal="right" vertical="center"/>
    </xf>
    <xf numFmtId="4" fontId="32" fillId="5" borderId="0" xfId="0" applyNumberFormat="1" applyFont="1" applyFill="1" applyAlignment="1">
      <alignment horizontal="left" vertical="center"/>
    </xf>
    <xf numFmtId="0" fontId="29" fillId="3" borderId="2" xfId="50" applyAlignment="1">
      <alignment vertical="center"/>
    </xf>
    <xf numFmtId="0" fontId="29" fillId="3" borderId="12" xfId="67" applyAlignment="1">
      <alignment vertical="center"/>
    </xf>
    <xf numFmtId="0" fontId="28" fillId="2" borderId="2" xfId="63" quotePrefix="1" applyAlignment="1">
      <alignment horizontal="left" vertical="center"/>
    </xf>
    <xf numFmtId="164" fontId="28" fillId="2" borderId="2" xfId="64">
      <alignment horizontal="right" vertical="center"/>
    </xf>
    <xf numFmtId="3" fontId="28" fillId="2" borderId="2" xfId="56">
      <alignment horizontal="right" vertical="center"/>
    </xf>
    <xf numFmtId="0" fontId="70" fillId="0" borderId="0" xfId="0" applyFont="1"/>
    <xf numFmtId="0" fontId="71" fillId="0" borderId="0" xfId="69" applyFill="1" applyBorder="1" applyProtection="1"/>
    <xf numFmtId="0" fontId="21" fillId="5" borderId="9" xfId="0" applyFont="1" applyFill="1" applyBorder="1" applyAlignment="1">
      <alignment horizontal="left" vertical="center" indent="1"/>
    </xf>
    <xf numFmtId="0" fontId="15" fillId="0" borderId="0" xfId="0" applyFont="1" applyAlignment="1">
      <alignment wrapText="1"/>
    </xf>
    <xf numFmtId="4" fontId="32" fillId="5" borderId="3" xfId="0" applyNumberFormat="1" applyFont="1" applyFill="1" applyBorder="1" applyAlignment="1">
      <alignment horizontal="right" vertical="center"/>
    </xf>
    <xf numFmtId="0" fontId="19" fillId="0" borderId="0" xfId="0" applyFont="1" applyAlignment="1">
      <alignment vertical="top"/>
    </xf>
    <xf numFmtId="0" fontId="17" fillId="0" borderId="0" xfId="11" applyAlignment="1">
      <alignment vertical="top" wrapText="1"/>
    </xf>
    <xf numFmtId="0" fontId="75" fillId="5" borderId="0" xfId="20" applyFont="1" applyFill="1"/>
    <xf numFmtId="164" fontId="75" fillId="5" borderId="0" xfId="20" applyNumberFormat="1" applyFont="1" applyFill="1"/>
    <xf numFmtId="164" fontId="47" fillId="5" borderId="0" xfId="20" applyNumberFormat="1" applyFont="1" applyFill="1"/>
    <xf numFmtId="164" fontId="47" fillId="5" borderId="0" xfId="20" applyNumberFormat="1" applyFont="1" applyFill="1" applyAlignment="1">
      <alignment horizontal="right"/>
    </xf>
    <xf numFmtId="164" fontId="48" fillId="5" borderId="9" xfId="20" applyNumberFormat="1" applyFont="1" applyFill="1" applyBorder="1"/>
    <xf numFmtId="168" fontId="0" fillId="0" borderId="0" xfId="9" applyNumberFormat="1" applyFont="1"/>
    <xf numFmtId="4" fontId="31" fillId="5" borderId="0" xfId="0" applyNumberFormat="1" applyFont="1" applyFill="1" applyAlignment="1">
      <alignment horizontal="left" vertical="center"/>
    </xf>
    <xf numFmtId="3" fontId="21" fillId="5" borderId="17" xfId="0" applyNumberFormat="1" applyFont="1" applyFill="1" applyBorder="1" applyAlignment="1">
      <alignment horizontal="left" vertical="center"/>
    </xf>
    <xf numFmtId="0" fontId="31" fillId="5" borderId="4" xfId="0" applyFont="1" applyFill="1" applyBorder="1" applyAlignment="1">
      <alignment horizontal="center" vertical="center"/>
    </xf>
    <xf numFmtId="0" fontId="29" fillId="3" borderId="2" xfId="60" applyAlignment="1">
      <alignment horizontal="center"/>
    </xf>
    <xf numFmtId="0" fontId="0" fillId="0" borderId="7" xfId="0" applyBorder="1"/>
    <xf numFmtId="0" fontId="29" fillId="3" borderId="2" xfId="60" quotePrefix="1" applyAlignment="1">
      <alignment horizontal="center"/>
    </xf>
    <xf numFmtId="3" fontId="0" fillId="0" borderId="0" xfId="0" applyNumberFormat="1"/>
    <xf numFmtId="0" fontId="29" fillId="3" borderId="2" xfId="60" quotePrefix="1">
      <alignment horizontal="center" wrapText="1"/>
    </xf>
    <xf numFmtId="0" fontId="0" fillId="15" borderId="0" xfId="0" applyFill="1"/>
    <xf numFmtId="0" fontId="32" fillId="5" borderId="0" xfId="0" applyFont="1" applyFill="1" applyAlignment="1">
      <alignment horizontal="center" vertical="center"/>
    </xf>
    <xf numFmtId="164" fontId="28" fillId="17" borderId="2" xfId="64" applyFill="1">
      <alignment horizontal="right" vertical="center"/>
    </xf>
    <xf numFmtId="173" fontId="0" fillId="0" borderId="0" xfId="74" applyNumberFormat="1" applyFont="1"/>
    <xf numFmtId="0" fontId="29" fillId="3" borderId="7" xfId="60" quotePrefix="1" applyBorder="1" applyAlignment="1">
      <alignment horizontal="right"/>
    </xf>
    <xf numFmtId="0" fontId="33" fillId="5" borderId="18" xfId="0" applyFont="1" applyFill="1" applyBorder="1"/>
    <xf numFmtId="0" fontId="76" fillId="0" borderId="0" xfId="0" applyFont="1"/>
    <xf numFmtId="168" fontId="76" fillId="0" borderId="0" xfId="9" applyNumberFormat="1" applyFont="1"/>
    <xf numFmtId="10" fontId="76" fillId="0" borderId="0" xfId="9" applyNumberFormat="1" applyFont="1"/>
    <xf numFmtId="166" fontId="76" fillId="0" borderId="0" xfId="0" applyNumberFormat="1" applyFont="1"/>
    <xf numFmtId="0" fontId="29" fillId="3" borderId="2" xfId="60" quotePrefix="1" applyAlignment="1"/>
    <xf numFmtId="0" fontId="29" fillId="3" borderId="7" xfId="60" quotePrefix="1" applyBorder="1" applyAlignment="1"/>
    <xf numFmtId="4" fontId="77" fillId="0" borderId="0" xfId="0" applyNumberFormat="1" applyFont="1"/>
    <xf numFmtId="0" fontId="0" fillId="0" borderId="14" xfId="0" applyBorder="1" applyAlignment="1">
      <alignment horizontal="left" vertical="center"/>
    </xf>
    <xf numFmtId="0" fontId="0" fillId="0" borderId="0" xfId="0" applyAlignment="1">
      <alignment horizontal="left" vertical="center"/>
    </xf>
    <xf numFmtId="0" fontId="0" fillId="0" borderId="2" xfId="0" applyBorder="1" applyAlignment="1">
      <alignment horizontal="left" vertical="center"/>
    </xf>
    <xf numFmtId="0" fontId="0" fillId="0" borderId="16" xfId="0" applyBorder="1" applyAlignment="1">
      <alignment horizontal="left" vertical="center"/>
    </xf>
    <xf numFmtId="0" fontId="78" fillId="5" borderId="4" xfId="0" applyFont="1" applyFill="1" applyBorder="1" applyAlignment="1">
      <alignment horizontal="center" vertical="center"/>
    </xf>
    <xf numFmtId="0" fontId="31" fillId="5" borderId="4" xfId="0" applyFont="1" applyFill="1" applyBorder="1" applyAlignment="1">
      <alignment horizontal="center"/>
    </xf>
    <xf numFmtId="2" fontId="77" fillId="0" borderId="0" xfId="0" applyNumberFormat="1" applyFont="1"/>
    <xf numFmtId="171" fontId="0" fillId="0" borderId="0" xfId="0" applyNumberFormat="1" applyAlignment="1">
      <alignment horizontal="left" vertical="center"/>
    </xf>
    <xf numFmtId="171" fontId="0" fillId="0" borderId="0" xfId="0" applyNumberFormat="1"/>
    <xf numFmtId="164" fontId="0" fillId="0" borderId="0" xfId="0" applyNumberFormat="1"/>
    <xf numFmtId="168" fontId="0" fillId="0" borderId="0" xfId="74" applyNumberFormat="1" applyFont="1"/>
    <xf numFmtId="2" fontId="0" fillId="0" borderId="0" xfId="0" applyNumberFormat="1"/>
    <xf numFmtId="168" fontId="0" fillId="0" borderId="0" xfId="0" applyNumberFormat="1"/>
    <xf numFmtId="4" fontId="28" fillId="18" borderId="2" xfId="81" applyNumberFormat="1" applyFont="1" applyFill="1" applyBorder="1" applyAlignment="1">
      <alignment horizontal="right" vertical="center" wrapText="1"/>
    </xf>
    <xf numFmtId="4" fontId="28" fillId="18" borderId="15" xfId="81" applyNumberFormat="1" applyFont="1" applyFill="1" applyBorder="1" applyAlignment="1">
      <alignment horizontal="right" vertical="center" wrapText="1"/>
    </xf>
    <xf numFmtId="10" fontId="31" fillId="0" borderId="0" xfId="9" applyNumberFormat="1" applyFont="1" applyFill="1" applyBorder="1" applyAlignment="1" applyProtection="1">
      <alignment horizontal="left"/>
    </xf>
    <xf numFmtId="174" fontId="0" fillId="0" borderId="0" xfId="9" applyNumberFormat="1" applyFont="1"/>
    <xf numFmtId="0" fontId="29" fillId="3" borderId="2" xfId="60" quotePrefix="1" applyAlignment="1">
      <alignment horizontal="right"/>
    </xf>
    <xf numFmtId="0" fontId="20" fillId="0" borderId="0" xfId="32" applyFont="1" applyAlignment="1">
      <alignment horizontal="right"/>
    </xf>
    <xf numFmtId="164" fontId="31" fillId="0" borderId="0" xfId="0" applyNumberFormat="1" applyFont="1"/>
    <xf numFmtId="4" fontId="28" fillId="18" borderId="15" xfId="83" applyNumberFormat="1" applyFont="1" applyFill="1" applyBorder="1" applyAlignment="1">
      <alignment horizontal="right" vertical="center" wrapText="1"/>
    </xf>
    <xf numFmtId="171" fontId="70" fillId="0" borderId="0" xfId="0" applyNumberFormat="1" applyFont="1"/>
    <xf numFmtId="168" fontId="70" fillId="0" borderId="0" xfId="9" applyNumberFormat="1" applyFont="1"/>
    <xf numFmtId="0" fontId="0" fillId="0" borderId="15" xfId="0" applyBorder="1" applyAlignment="1">
      <alignment horizontal="left" vertical="center"/>
    </xf>
    <xf numFmtId="0" fontId="50" fillId="7" borderId="2" xfId="65" quotePrefix="1">
      <alignment horizontal="left" vertical="center"/>
    </xf>
    <xf numFmtId="4" fontId="28" fillId="2" borderId="2" xfId="85">
      <alignment horizontal="right" vertical="center"/>
    </xf>
    <xf numFmtId="0" fontId="0" fillId="0" borderId="14" xfId="0" applyBorder="1" applyAlignment="1">
      <alignment vertical="center"/>
    </xf>
    <xf numFmtId="0" fontId="0" fillId="0" borderId="15" xfId="0" applyBorder="1" applyAlignment="1">
      <alignment vertical="center"/>
    </xf>
    <xf numFmtId="0" fontId="77" fillId="0" borderId="0" xfId="0" applyFont="1"/>
    <xf numFmtId="0" fontId="79" fillId="0" borderId="0" xfId="0" applyFont="1"/>
    <xf numFmtId="170" fontId="0" fillId="0" borderId="0" xfId="0" applyNumberFormat="1"/>
    <xf numFmtId="0" fontId="29" fillId="3" borderId="2" xfId="36" quotePrefix="1">
      <alignment horizontal="center"/>
    </xf>
    <xf numFmtId="0" fontId="29" fillId="3" borderId="2" xfId="36">
      <alignment horizontal="center"/>
    </xf>
    <xf numFmtId="168" fontId="31" fillId="0" borderId="0" xfId="9" applyNumberFormat="1" applyFont="1" applyFill="1" applyBorder="1" applyAlignment="1" applyProtection="1">
      <alignment horizontal="left"/>
    </xf>
    <xf numFmtId="170" fontId="28" fillId="7" borderId="2" xfId="43">
      <alignment horizontal="right" vertical="center"/>
    </xf>
    <xf numFmtId="164" fontId="28" fillId="7" borderId="2" xfId="44">
      <alignment horizontal="right" vertical="center"/>
    </xf>
    <xf numFmtId="4" fontId="28" fillId="7" borderId="2" xfId="42">
      <alignment horizontal="right" vertical="center"/>
    </xf>
    <xf numFmtId="4" fontId="28" fillId="2" borderId="0" xfId="85" applyBorder="1">
      <alignment horizontal="right" vertical="center"/>
    </xf>
    <xf numFmtId="0" fontId="80" fillId="18" borderId="2" xfId="0" applyFont="1" applyFill="1" applyBorder="1" applyAlignment="1">
      <alignment horizontal="left" vertical="center" wrapText="1"/>
    </xf>
    <xf numFmtId="0" fontId="81" fillId="19" borderId="2" xfId="0" applyFont="1" applyFill="1" applyBorder="1" applyAlignment="1">
      <alignment horizontal="left" vertical="center" wrapText="1"/>
    </xf>
    <xf numFmtId="0" fontId="82" fillId="18" borderId="2" xfId="0" applyFont="1" applyFill="1" applyBorder="1" applyAlignment="1">
      <alignment horizontal="left" vertical="center" wrapText="1"/>
    </xf>
    <xf numFmtId="4" fontId="82" fillId="21" borderId="2" xfId="0" applyNumberFormat="1" applyFont="1" applyFill="1" applyBorder="1" applyAlignment="1">
      <alignment horizontal="right" vertical="center" wrapText="1"/>
    </xf>
    <xf numFmtId="4" fontId="82" fillId="18" borderId="2" xfId="0" applyNumberFormat="1" applyFont="1" applyFill="1" applyBorder="1" applyAlignment="1">
      <alignment horizontal="right" vertical="center" wrapText="1"/>
    </xf>
    <xf numFmtId="4" fontId="82" fillId="22" borderId="2" xfId="0" applyNumberFormat="1" applyFont="1" applyFill="1" applyBorder="1" applyAlignment="1">
      <alignment horizontal="right" vertical="center" wrapText="1"/>
    </xf>
    <xf numFmtId="4" fontId="84" fillId="19" borderId="2" xfId="0" applyNumberFormat="1" applyFont="1" applyFill="1" applyBorder="1" applyAlignment="1">
      <alignment horizontal="right" vertical="center" wrapText="1"/>
    </xf>
    <xf numFmtId="4" fontId="84" fillId="19" borderId="15" xfId="0" applyNumberFormat="1" applyFont="1" applyFill="1" applyBorder="1" applyAlignment="1">
      <alignment horizontal="right" vertical="center" wrapText="1"/>
    </xf>
    <xf numFmtId="4" fontId="84" fillId="23" borderId="2" xfId="0" applyNumberFormat="1" applyFont="1" applyFill="1" applyBorder="1" applyAlignment="1">
      <alignment horizontal="right" vertical="center" wrapText="1"/>
    </xf>
    <xf numFmtId="170" fontId="28" fillId="19" borderId="2" xfId="0" applyNumberFormat="1" applyFont="1" applyFill="1" applyBorder="1" applyAlignment="1">
      <alignment horizontal="right" vertical="center" wrapText="1"/>
    </xf>
    <xf numFmtId="170" fontId="28" fillId="19" borderId="15" xfId="0" applyNumberFormat="1" applyFont="1" applyFill="1" applyBorder="1" applyAlignment="1">
      <alignment horizontal="right" vertical="center" wrapText="1"/>
    </xf>
    <xf numFmtId="164" fontId="28" fillId="19" borderId="2" xfId="0" applyNumberFormat="1" applyFont="1" applyFill="1" applyBorder="1" applyAlignment="1">
      <alignment horizontal="right" vertical="center" wrapText="1"/>
    </xf>
    <xf numFmtId="164" fontId="28" fillId="7" borderId="2" xfId="90">
      <alignment horizontal="right" vertical="center"/>
    </xf>
    <xf numFmtId="164" fontId="28" fillId="19" borderId="15" xfId="0" applyNumberFormat="1" applyFont="1" applyFill="1" applyBorder="1" applyAlignment="1">
      <alignment horizontal="right" vertical="center" wrapText="1"/>
    </xf>
    <xf numFmtId="4" fontId="28" fillId="18" borderId="2" xfId="0" applyNumberFormat="1" applyFont="1" applyFill="1" applyBorder="1" applyAlignment="1">
      <alignment horizontal="right" vertical="center" wrapText="1"/>
    </xf>
    <xf numFmtId="4" fontId="28" fillId="0" borderId="2" xfId="85" applyFill="1">
      <alignment horizontal="right" vertical="center"/>
    </xf>
    <xf numFmtId="4" fontId="28" fillId="18" borderId="15" xfId="0" applyNumberFormat="1" applyFont="1" applyFill="1" applyBorder="1" applyAlignment="1">
      <alignment horizontal="right" vertical="center" wrapText="1"/>
    </xf>
    <xf numFmtId="4" fontId="28" fillId="0" borderId="2" xfId="42" applyFill="1">
      <alignment horizontal="right" vertical="center"/>
    </xf>
    <xf numFmtId="4" fontId="28" fillId="2" borderId="16" xfId="85" applyBorder="1">
      <alignment horizontal="right" vertical="center"/>
    </xf>
    <xf numFmtId="0" fontId="28" fillId="2" borderId="2" xfId="63" quotePrefix="1" applyAlignment="1">
      <alignment horizontal="right" vertical="center" wrapText="1"/>
    </xf>
    <xf numFmtId="4" fontId="28" fillId="18" borderId="14" xfId="0" applyNumberFormat="1" applyFont="1" applyFill="1" applyBorder="1" applyAlignment="1">
      <alignment horizontal="right" vertical="center" wrapText="1"/>
    </xf>
    <xf numFmtId="0" fontId="29" fillId="3" borderId="2" xfId="62" applyAlignment="1">
      <alignment horizontal="center"/>
    </xf>
    <xf numFmtId="0" fontId="29" fillId="3" borderId="2" xfId="62" quotePrefix="1" applyAlignment="1">
      <alignment horizontal="center"/>
    </xf>
    <xf numFmtId="0" fontId="29" fillId="20" borderId="15" xfId="0" applyFont="1" applyFill="1" applyBorder="1" applyAlignment="1">
      <alignment horizontal="center" wrapText="1"/>
    </xf>
    <xf numFmtId="0" fontId="29" fillId="20" borderId="2" xfId="0" applyFont="1" applyFill="1" applyBorder="1" applyAlignment="1">
      <alignment horizontal="center" wrapText="1"/>
    </xf>
    <xf numFmtId="3" fontId="28" fillId="18" borderId="2" xfId="0" applyNumberFormat="1" applyFont="1" applyFill="1" applyBorder="1" applyAlignment="1">
      <alignment horizontal="right" vertical="center" wrapText="1"/>
    </xf>
    <xf numFmtId="3" fontId="28" fillId="18" borderId="15" xfId="0" applyNumberFormat="1" applyFont="1" applyFill="1" applyBorder="1" applyAlignment="1">
      <alignment horizontal="right" vertical="center" wrapText="1"/>
    </xf>
    <xf numFmtId="37" fontId="28" fillId="18" borderId="2" xfId="0" applyNumberFormat="1" applyFont="1" applyFill="1" applyBorder="1" applyAlignment="1">
      <alignment horizontal="right" vertical="center" wrapText="1"/>
    </xf>
    <xf numFmtId="37" fontId="28" fillId="18" borderId="15" xfId="0" applyNumberFormat="1" applyFont="1" applyFill="1" applyBorder="1" applyAlignment="1">
      <alignment horizontal="right" vertical="center" wrapText="1"/>
    </xf>
    <xf numFmtId="37" fontId="50" fillId="19" borderId="2" xfId="0" applyNumberFormat="1" applyFont="1" applyFill="1" applyBorder="1" applyAlignment="1">
      <alignment horizontal="right" vertical="center" wrapText="1"/>
    </xf>
    <xf numFmtId="37" fontId="50" fillId="19" borderId="15" xfId="0" applyNumberFormat="1" applyFont="1" applyFill="1" applyBorder="1" applyAlignment="1">
      <alignment horizontal="right" vertical="center" wrapText="1"/>
    </xf>
    <xf numFmtId="0" fontId="29" fillId="20" borderId="11" xfId="0" applyFont="1" applyFill="1" applyBorder="1" applyAlignment="1">
      <alignment horizontal="center" wrapText="1"/>
    </xf>
    <xf numFmtId="0" fontId="29" fillId="20" borderId="12" xfId="0" applyFont="1" applyFill="1" applyBorder="1" applyAlignment="1">
      <alignment horizontal="center" wrapText="1"/>
    </xf>
    <xf numFmtId="164" fontId="28" fillId="18" borderId="2" xfId="0" applyNumberFormat="1" applyFont="1" applyFill="1" applyBorder="1" applyAlignment="1">
      <alignment horizontal="right" vertical="center" wrapText="1"/>
    </xf>
    <xf numFmtId="164" fontId="28" fillId="18" borderId="15" xfId="0" applyNumberFormat="1" applyFont="1" applyFill="1" applyBorder="1" applyAlignment="1">
      <alignment horizontal="right" vertical="center" wrapText="1"/>
    </xf>
    <xf numFmtId="164" fontId="50" fillId="19" borderId="2" xfId="0" applyNumberFormat="1" applyFont="1" applyFill="1" applyBorder="1" applyAlignment="1">
      <alignment horizontal="right" vertical="center" wrapText="1"/>
    </xf>
    <xf numFmtId="164" fontId="50" fillId="19" borderId="15" xfId="0" applyNumberFormat="1" applyFont="1" applyFill="1" applyBorder="1" applyAlignment="1">
      <alignment horizontal="right" vertical="center" wrapText="1"/>
    </xf>
    <xf numFmtId="4" fontId="28" fillId="24" borderId="2" xfId="0" applyNumberFormat="1" applyFont="1" applyFill="1" applyBorder="1" applyAlignment="1">
      <alignment horizontal="right" vertical="center" wrapText="1"/>
    </xf>
    <xf numFmtId="4" fontId="28" fillId="24" borderId="15" xfId="0" applyNumberFormat="1" applyFont="1" applyFill="1" applyBorder="1" applyAlignment="1">
      <alignment horizontal="right" vertical="center" wrapText="1"/>
    </xf>
    <xf numFmtId="170" fontId="82" fillId="19" borderId="2" xfId="0" applyNumberFormat="1" applyFont="1" applyFill="1" applyBorder="1" applyAlignment="1">
      <alignment horizontal="right" vertical="center" wrapText="1"/>
    </xf>
    <xf numFmtId="164" fontId="82" fillId="19" borderId="2" xfId="0" applyNumberFormat="1" applyFont="1" applyFill="1" applyBorder="1" applyAlignment="1">
      <alignment horizontal="right" vertical="center" wrapText="1"/>
    </xf>
    <xf numFmtId="170" fontId="82" fillId="19" borderId="15" xfId="0" applyNumberFormat="1" applyFont="1" applyFill="1" applyBorder="1" applyAlignment="1">
      <alignment horizontal="right" vertical="center" wrapText="1"/>
    </xf>
    <xf numFmtId="164" fontId="82" fillId="19" borderId="15" xfId="0" applyNumberFormat="1" applyFont="1" applyFill="1" applyBorder="1" applyAlignment="1">
      <alignment horizontal="right" vertical="center" wrapText="1"/>
    </xf>
    <xf numFmtId="4" fontId="82" fillId="18" borderId="15" xfId="0" applyNumberFormat="1" applyFont="1" applyFill="1" applyBorder="1" applyAlignment="1">
      <alignment horizontal="right" vertical="center" wrapText="1"/>
    </xf>
    <xf numFmtId="4" fontId="18" fillId="2" borderId="2" xfId="42" applyFont="1" applyFill="1">
      <alignment horizontal="right" vertical="center"/>
    </xf>
    <xf numFmtId="164" fontId="31" fillId="0" borderId="0" xfId="0" applyNumberFormat="1" applyFont="1" applyAlignment="1">
      <alignment horizontal="left" vertical="top" wrapText="1"/>
    </xf>
    <xf numFmtId="172" fontId="68" fillId="6" borderId="0" xfId="4" applyNumberFormat="1" applyFont="1" applyFill="1" applyAlignment="1">
      <alignment horizontal="center" vertical="center"/>
    </xf>
    <xf numFmtId="0" fontId="21" fillId="0" borderId="0" xfId="0" applyFont="1" applyAlignment="1">
      <alignment horizontal="left" vertical="top" wrapText="1"/>
    </xf>
    <xf numFmtId="0" fontId="20" fillId="0" borderId="0" xfId="8" applyFont="1" applyAlignment="1">
      <alignment horizontal="right"/>
    </xf>
    <xf numFmtId="0" fontId="20" fillId="0" borderId="0" xfId="0" applyFont="1" applyAlignment="1">
      <alignment horizontal="right"/>
    </xf>
    <xf numFmtId="0" fontId="19" fillId="0" borderId="0" xfId="0" applyFont="1" applyAlignment="1">
      <alignment horizontal="left" vertical="top" wrapText="1"/>
    </xf>
    <xf numFmtId="0" fontId="28" fillId="2" borderId="13" xfId="63" quotePrefix="1" applyBorder="1" applyAlignment="1">
      <alignment horizontal="left" vertical="center"/>
    </xf>
    <xf numFmtId="0" fontId="0" fillId="0" borderId="15" xfId="0" applyBorder="1" applyAlignment="1">
      <alignment horizontal="left" vertical="center"/>
    </xf>
    <xf numFmtId="169" fontId="28" fillId="2" borderId="13" xfId="66" quotePrefix="1" applyBorder="1" applyAlignment="1">
      <alignment horizontal="left" vertical="center"/>
    </xf>
    <xf numFmtId="0" fontId="0" fillId="0" borderId="14" xfId="0" applyBorder="1" applyAlignment="1">
      <alignment horizontal="left" vertical="center"/>
    </xf>
    <xf numFmtId="169" fontId="28" fillId="2" borderId="14" xfId="66" quotePrefix="1" applyBorder="1" applyAlignment="1">
      <alignment horizontal="left" vertical="center"/>
    </xf>
    <xf numFmtId="0" fontId="29" fillId="3" borderId="23" xfId="60" quotePrefix="1" applyBorder="1" applyAlignment="1">
      <alignment horizontal="center"/>
    </xf>
    <xf numFmtId="0" fontId="0" fillId="0" borderId="24" xfId="0" applyBorder="1" applyAlignment="1">
      <alignment horizontal="center"/>
    </xf>
    <xf numFmtId="0" fontId="28" fillId="2" borderId="14" xfId="63" quotePrefix="1" applyBorder="1" applyAlignment="1">
      <alignment horizontal="left" vertical="center"/>
    </xf>
    <xf numFmtId="0" fontId="29" fillId="3" borderId="2" xfId="60" quotePrefix="1" applyAlignment="1">
      <alignment horizontal="center"/>
    </xf>
    <xf numFmtId="0" fontId="0" fillId="0" borderId="7" xfId="0" applyBorder="1" applyAlignment="1">
      <alignment horizontal="center"/>
    </xf>
    <xf numFmtId="0" fontId="83" fillId="20" borderId="15" xfId="0" applyFont="1" applyFill="1" applyBorder="1" applyAlignment="1">
      <alignment horizontal="center" wrapText="1"/>
    </xf>
    <xf numFmtId="0" fontId="0" fillId="0" borderId="13" xfId="0" applyBorder="1" applyAlignment="1">
      <alignment horizontal="left" vertical="center"/>
    </xf>
    <xf numFmtId="3" fontId="31" fillId="5" borderId="6" xfId="0" applyNumberFormat="1" applyFont="1" applyFill="1" applyBorder="1" applyAlignment="1">
      <alignment horizontal="right" wrapText="1"/>
    </xf>
    <xf numFmtId="3" fontId="31" fillId="5" borderId="5" xfId="0" applyNumberFormat="1" applyFont="1" applyFill="1" applyBorder="1" applyAlignment="1">
      <alignment horizontal="right" wrapText="1"/>
    </xf>
    <xf numFmtId="3" fontId="31" fillId="5" borderId="6" xfId="0" applyNumberFormat="1" applyFont="1" applyFill="1" applyBorder="1" applyAlignment="1">
      <alignment horizontal="center" vertical="center" wrapText="1"/>
    </xf>
    <xf numFmtId="3" fontId="31" fillId="5" borderId="5" xfId="0" applyNumberFormat="1" applyFont="1" applyFill="1" applyBorder="1" applyAlignment="1">
      <alignment horizontal="center" vertical="center" wrapText="1"/>
    </xf>
    <xf numFmtId="0" fontId="29" fillId="3" borderId="11" xfId="60" applyBorder="1" applyAlignment="1">
      <alignment horizontal="center"/>
    </xf>
    <xf numFmtId="0" fontId="0" fillId="0" borderId="10" xfId="0" applyBorder="1" applyAlignment="1">
      <alignment horizontal="center"/>
    </xf>
    <xf numFmtId="0" fontId="29" fillId="3" borderId="19" xfId="60" quotePrefix="1" applyBorder="1" applyAlignment="1">
      <alignment horizontal="center"/>
    </xf>
    <xf numFmtId="0" fontId="0" fillId="0" borderId="20" xfId="0" applyBorder="1" applyAlignment="1">
      <alignment horizontal="center"/>
    </xf>
    <xf numFmtId="0" fontId="29" fillId="3" borderId="21" xfId="60" quotePrefix="1" applyBorder="1" applyAlignment="1">
      <alignment horizontal="center"/>
    </xf>
    <xf numFmtId="0" fontId="0" fillId="0" borderId="22" xfId="0" applyBorder="1" applyAlignment="1">
      <alignment horizontal="center"/>
    </xf>
    <xf numFmtId="0" fontId="29" fillId="3" borderId="27" xfId="60" quotePrefix="1" applyBorder="1" applyAlignment="1">
      <alignment horizontal="center"/>
    </xf>
    <xf numFmtId="0" fontId="0" fillId="0" borderId="28" xfId="0" applyBorder="1" applyAlignment="1">
      <alignment horizontal="center"/>
    </xf>
    <xf numFmtId="0" fontId="29" fillId="3" borderId="25" xfId="60" quotePrefix="1" applyBorder="1" applyAlignment="1">
      <alignment horizontal="center"/>
    </xf>
    <xf numFmtId="0" fontId="0" fillId="0" borderId="26" xfId="0" applyBorder="1" applyAlignment="1">
      <alignment horizontal="center"/>
    </xf>
  </cellXfs>
  <cellStyles count="91">
    <cellStyle name="Euro" xfId="1" xr:uid="{00000000-0005-0000-0000-000000000000}"/>
    <cellStyle name="FUTURA9" xfId="2" xr:uid="{00000000-0005-0000-0000-000001000000}"/>
    <cellStyle name="Hipervínculo" xfId="69" builtinId="8"/>
    <cellStyle name="Hipervínculo 2" xfId="33" xr:uid="{00000000-0005-0000-0000-000002000000}"/>
    <cellStyle name="Millares" xfId="74" builtinId="3"/>
    <cellStyle name="MSTRStyle.All.c11_0c75425b-e4a8-4ede-ad3a-b7e420107163" xfId="28" xr:uid="{00000000-0005-0000-0000-000003000000}"/>
    <cellStyle name="MSTRStyle.All.c12_73f9af77-3b67-4e30-857e-a07fd4a2b3f5" xfId="24" xr:uid="{00000000-0005-0000-0000-000004000000}"/>
    <cellStyle name="MSTRStyle.All.c13_6b657269-c2f6-4112-b642-63cbe2217ce6" xfId="22" xr:uid="{00000000-0005-0000-0000-000005000000}"/>
    <cellStyle name="MSTRStyle.All.c14_299390cd-d429-49fc-85b2-53213256ee02" xfId="3" xr:uid="{00000000-0005-0000-0000-000006000000}"/>
    <cellStyle name="MSTRStyle.All.c15_2f4368de-db71-4a43-a39a-b7b0e4791d74" xfId="25" xr:uid="{00000000-0005-0000-0000-000007000000}"/>
    <cellStyle name="MSTRStyle.All.c2_1198c2cb-65a7-418f-8b21-ef92ba6b70e4" xfId="18" xr:uid="{00000000-0005-0000-0000-000008000000}"/>
    <cellStyle name="MSTRStyle.All.c20_6bd5dc4a-d28f-4b91-a6b3-a27c7bfb9777" xfId="30" xr:uid="{00000000-0005-0000-0000-000009000000}"/>
    <cellStyle name="MSTRStyle.All.c3_9f27800b-f169-4bc7-8559-5d9aa778b6fd" xfId="21" xr:uid="{00000000-0005-0000-0000-00000A000000}"/>
    <cellStyle name="MSTRStyle.All.c6_52bbba20-dd49-44ca-889f-10924ebd6a5c" xfId="29" xr:uid="{00000000-0005-0000-0000-00000B000000}"/>
    <cellStyle name="MSTRStyle.All.c7_67d71c51-d7a9-4ecd-a2d7-840811351f10" xfId="19" xr:uid="{00000000-0005-0000-0000-00000C000000}"/>
    <cellStyle name="MSTRStyle.Todos.c1_4ee6af08-3fa7-497d-9a2b-5d22f7f6cf92" xfId="61" xr:uid="{66164B93-65A2-4E6E-B59B-EC36A45BCEB7}"/>
    <cellStyle name="MSTRStyle.Todos.c10_9bc36f20-d62c-4100-864b-2ce3176c08a6" xfId="87" xr:uid="{261B1AE8-29B9-4A71-AA9D-0BA725F68BE1}"/>
    <cellStyle name="MSTRStyle.Todos.c10_de9580a1-3d58-45d3-983d-0121107db173" xfId="60" xr:uid="{61836922-CCE8-44D1-990A-53D4B3E60064}"/>
    <cellStyle name="MSTRStyle.Todos.c11_9aeed9a0-1dcd-4458-8a5a-e22ad423d2a7" xfId="62" xr:uid="{AD04831E-8F0D-44DA-A82B-4C5A049C56B7}"/>
    <cellStyle name="MSTRStyle.Todos.c12_04393f74-caef-4779-a1bc-97cad4e1637e" xfId="46" xr:uid="{00000000-0005-0000-0000-00000E000000}"/>
    <cellStyle name="MSTRStyle.Todos.c13_1f45c18f-f49f-4755-908b-10e38c2e3163" xfId="80" xr:uid="{FCA4B10E-EE33-4397-B99A-F7ACDA67DE9E}"/>
    <cellStyle name="MSTRStyle.Todos.c13_87d7be99-df52-4067-a8d4-177d9bcab94b" xfId="85" xr:uid="{64089B7B-23AC-438D-B3C4-ACDBAA48B765}"/>
    <cellStyle name="MSTRStyle.Todos.c13_d92a60c7-3384-450c-8b0a-9fbe5fb5c7c3" xfId="64" xr:uid="{B6CFFEE3-2AF7-4ACD-B09C-05F462785A20}"/>
    <cellStyle name="MSTRStyle.Todos.c14_8171157e-8634-46a0-a47a-5c0800996ebb" xfId="41" xr:uid="{00000000-0005-0000-0000-000012000000}"/>
    <cellStyle name="MSTRStyle.Todos.c14_b8d3d029-c173-4fcf-ae43-19c2dd645511" xfId="67" xr:uid="{ECA070B7-8A4D-48C9-9D41-34175596A91A}"/>
    <cellStyle name="MSTRStyle.Todos.c15_1869017a-483c-40ce-aa41-b6f875413ed5" xfId="45" xr:uid="{00000000-0005-0000-0000-000013000000}"/>
    <cellStyle name="MSTRStyle.Todos.c16_0aca6bba-6dd1-43cf-8f70-abc091d0aeea" xfId="47" xr:uid="{00000000-0005-0000-0000-000014000000}"/>
    <cellStyle name="MSTRStyle.Todos.c16_7aab6c13-c15e-4cc7-a790-8b1d94ffe91d" xfId="36" xr:uid="{00000000-0005-0000-0000-000015000000}"/>
    <cellStyle name="MSTRStyle.Todos.c17_1a192d30-97a0-4989-9b60-36f9de4cdbd3" xfId="39" xr:uid="{00000000-0005-0000-0000-000017000000}"/>
    <cellStyle name="MSTRStyle.Todos.c17_9190d45b-ffc1-4104-b4c7-224707feff3e" xfId="43" xr:uid="{00000000-0005-0000-0000-000018000000}"/>
    <cellStyle name="MSTRStyle.Todos.c18_f36069f7-de38-438b-b3cd-3bacd5cdcd0c" xfId="78" xr:uid="{A0A1DEDF-AF84-431B-A689-3E47D430E622}"/>
    <cellStyle name="MSTRStyle.Todos.c19_7343edcc-569a-472c-8862-ad65001299f7" xfId="38" xr:uid="{00000000-0005-0000-0000-000019000000}"/>
    <cellStyle name="MSTRStyle.Todos.c19_c1ff0363-a62d-4e9a-97ca-17fb1a91b079" xfId="44" xr:uid="{00000000-0005-0000-0000-00001A000000}"/>
    <cellStyle name="MSTRStyle.Todos.c2_1770ca99-95a1-4c32-8caa-a84928ae86dc" xfId="54" xr:uid="{00000000-0005-0000-0000-00001B000000}"/>
    <cellStyle name="MSTRStyle.Todos.c20_de1d9886-14e4-479c-a87c-a544df53b72f" xfId="53" xr:uid="{00000000-0005-0000-0000-00001C000000}"/>
    <cellStyle name="MSTRStyle.Todos.c21_1034e7df-20b4-4851-ba48-f23813b54d16" xfId="37" xr:uid="{00000000-0005-0000-0000-00001D000000}"/>
    <cellStyle name="MSTRStyle.Todos.c21_cb9f42f7-34a6-413e-8dd7-0a195e3ae097" xfId="42" xr:uid="{00000000-0005-0000-0000-00001E000000}"/>
    <cellStyle name="MSTRStyle.Todos.c22_05f04fa5-a069-4698-b526-84b47104714b" xfId="77" xr:uid="{D4EBFC2B-A3B7-4888-9720-A4E461323554}"/>
    <cellStyle name="MSTRStyle.Todos.c22FB013911EA85FFC2610080EFD5BAAC_76fdbead-a11a-4d6e-9ddf-e574d99c4833" xfId="79" xr:uid="{9B3BCEA8-B04B-4414-8BCF-053019CD5067}"/>
    <cellStyle name="MSTRStyle.Todos.c23_a434b425-8db0-4990-aa7f-b71a4e2617de" xfId="40" xr:uid="{00000000-0005-0000-0000-000020000000}"/>
    <cellStyle name="MSTRStyle.Todos.c3_13bf36c8-3f00-44cb-ac7e-4b2798c4bf7a" xfId="55" xr:uid="{13F26237-7327-473B-B5B1-43CFE7AC2674}"/>
    <cellStyle name="MSTRStyle.Todos.c3_c4cc2c21-0e5a-4f1d-aa03-c8d867460512" xfId="63" xr:uid="{2FBEEFC6-4927-43EF-86CC-C2CB4E31433E}"/>
    <cellStyle name="MSTRStyle.Todos.c5E29F72711ED505700000080EF951C6B_c5dce312-fb35-46dd-8e75-db24d903cb28" xfId="90" xr:uid="{DD563A80-118E-42EB-949E-7F1BA88756B3}"/>
    <cellStyle name="MSTRStyle.Todos.c6_14b916b9-3928-4a37-b959-a4d2cc0d87c1" xfId="57" xr:uid="{C37C8868-6122-4FE6-BFB2-63E41E908936}"/>
    <cellStyle name="MSTRStyle.Todos.c6_45a13731-13c9-423a-be63-7c30eaced678" xfId="35" xr:uid="{00000000-0005-0000-0000-000023000000}"/>
    <cellStyle name="MSTRStyle.Todos.c6_61777fd2-1b09-4007-a1d9-90a6e78a2a7c" xfId="50" xr:uid="{00000000-0005-0000-0000-000024000000}"/>
    <cellStyle name="MSTRStyle.Todos.c6_6cb39904-4c30-4369-859d-02cae5e13fb8" xfId="66" xr:uid="{EFA7AEF8-716A-40C3-85C9-36E083EAAE2A}"/>
    <cellStyle name="MSTRStyle.Todos.c7_43304d09-5b65-4e0e-9784-63a6af05ce89" xfId="51" xr:uid="{00000000-0005-0000-0000-000026000000}"/>
    <cellStyle name="MSTRStyle.Todos.c70D14ACA11EA32D01CD20080EFB5EA00_5fdec2cd-2afd-4a29-b530-7e0802ec361d" xfId="58" xr:uid="{49A4A61C-671E-4773-8499-88853451D819}"/>
    <cellStyle name="MSTRStyle.Todos.c70D153EE11EA32D01CD20080EFB5EA00_5427d19a-25a0-4d8a-94d3-5347b42308a2" xfId="59" xr:uid="{81B106EB-010C-44EF-BA24-2F1B8F78B25C}"/>
    <cellStyle name="MSTRStyle.Todos.c8_84f9e710-4ce8-4dfa-9724-f39923ad69e4" xfId="34" xr:uid="{00000000-0005-0000-0000-000027000000}"/>
    <cellStyle name="MSTRStyle.Todos.c9_78ea82b2-b25c-4386-8e66-cdd346d1bef0" xfId="56" xr:uid="{459C0C5C-EF2A-44AD-B890-04F2D55B19FA}"/>
    <cellStyle name="MSTRStyle.Todos.c90E4BB7911EAA65AC2610080EFB57AAD_f07eea07-c3ff-41b1-82da-2674436a3628" xfId="76" xr:uid="{642D75E5-BE96-4125-9F15-C402442EDC81}"/>
    <cellStyle name="MSTRStyle.Todos.cB9741C8011EA32D01CD20080EF058B01_45c5b83e-0976-42ec-8a77-fbb7bf985530" xfId="65" xr:uid="{B0ADF679-E4F8-4F3F-80C4-4333BB87D06E}"/>
    <cellStyle name="MSTRStyle.Todos.cB974281A11EA32D01CD20080EF058B01_e3608e4f-70c6-4e85-9df7-bb8af8595dd6" xfId="68" xr:uid="{3C216A56-6C36-4E2A-B160-75D8CE296AE0}"/>
    <cellStyle name="MSTRStyle.Todos.cD8A0D4CD11EA13A48B1B0080EF5575DA_366e978f-114a-4b5d-be20-800c36eeb15d" xfId="82" xr:uid="{13DC4E38-B73E-428C-9BFC-DE142B488BC1}"/>
    <cellStyle name="MSTRStyle.Todos.cFA43056511E9FB678F890080EFF52244_4ec8f762-4808-46be-a038-987e3097519d" xfId="75" xr:uid="{3F137070-9967-44D6-A7BC-3F3EA8CA6293}"/>
    <cellStyle name="Normal" xfId="0" builtinId="0"/>
    <cellStyle name="Normal 10" xfId="48" xr:uid="{00000000-0005-0000-0000-00002A000000}"/>
    <cellStyle name="Normal 11" xfId="52" xr:uid="{00000000-0005-0000-0000-00002B000000}"/>
    <cellStyle name="Normal 12" xfId="70" xr:uid="{70481923-B561-45D9-B815-6F3E40E58E42}"/>
    <cellStyle name="Normal 13" xfId="71" xr:uid="{F4CEF317-9534-4714-A33C-73D10F68157D}"/>
    <cellStyle name="Normal 14" xfId="72" xr:uid="{0C912CB0-5F3F-41CB-933B-8BBF2BD1891F}"/>
    <cellStyle name="Normal 15" xfId="73" xr:uid="{9C14DE39-61F6-4803-9D4C-50C086BDA55C}"/>
    <cellStyle name="Normal 16" xfId="81" xr:uid="{9E8EAD6E-6DBA-41E4-993F-5E886774A5DE}"/>
    <cellStyle name="Normal 17" xfId="83" xr:uid="{6046D703-8906-4AD6-A383-7897179C4955}"/>
    <cellStyle name="Normal 18" xfId="84" xr:uid="{5DF66136-CDFE-4A04-8587-EA9FF02EF8A5}"/>
    <cellStyle name="Normal 19" xfId="86" xr:uid="{CDCAEA77-3CE1-4541-BBAA-62EF90AD1B7C}"/>
    <cellStyle name="Normal 2" xfId="13" xr:uid="{00000000-0005-0000-0000-00002C000000}"/>
    <cellStyle name="Normal 2 2 2" xfId="4" xr:uid="{00000000-0005-0000-0000-00002D000000}"/>
    <cellStyle name="Normal 20" xfId="88" xr:uid="{A79DDE69-9CF1-4FD9-8E32-07187CCE5DC8}"/>
    <cellStyle name="Normal 21" xfId="89" xr:uid="{ACD0ED57-34DF-4740-9CF0-3282C113B335}"/>
    <cellStyle name="Normal 3" xfId="14" xr:uid="{00000000-0005-0000-0000-00002E000000}"/>
    <cellStyle name="Normal 4" xfId="5" xr:uid="{00000000-0005-0000-0000-00002F000000}"/>
    <cellStyle name="Normal 5" xfId="6" xr:uid="{00000000-0005-0000-0000-000030000000}"/>
    <cellStyle name="Normal 6" xfId="7" xr:uid="{00000000-0005-0000-0000-000031000000}"/>
    <cellStyle name="Normal 7" xfId="17" xr:uid="{00000000-0005-0000-0000-000032000000}"/>
    <cellStyle name="Normal 8" xfId="20" xr:uid="{00000000-0005-0000-0000-000033000000}"/>
    <cellStyle name="Normal 9" xfId="26" xr:uid="{00000000-0005-0000-0000-000034000000}"/>
    <cellStyle name="Normal 9 2" xfId="49" xr:uid="{00000000-0005-0000-0000-000035000000}"/>
    <cellStyle name="Normal_4.1.5" xfId="31" xr:uid="{00000000-0005-0000-0000-000036000000}"/>
    <cellStyle name="Normal_A1 Comparacion Internacional" xfId="8" xr:uid="{00000000-0005-0000-0000-000037000000}"/>
    <cellStyle name="Normal_A1 Comparacion Internacional 2" xfId="32" xr:uid="{00000000-0005-0000-0000-000038000000}"/>
    <cellStyle name="Normal_MAY_3_PAG_10-12" xfId="16" xr:uid="{00000000-0005-0000-0000-000039000000}"/>
    <cellStyle name="Normal_Requerimientos_ ofertas_ asignaci_n y utilizaci_n de Secundaria (Mensual-simple)" xfId="12" xr:uid="{00000000-0005-0000-0000-00003A000000}"/>
    <cellStyle name="Normal_Restricciones T_cnicas de Seguridad (Mensual-simple)" xfId="11" xr:uid="{00000000-0005-0000-0000-00003B000000}"/>
    <cellStyle name="Porcentaje" xfId="9" builtinId="5"/>
    <cellStyle name="Porcentaje 2" xfId="15" xr:uid="{00000000-0005-0000-0000-00003D000000}"/>
    <cellStyle name="Porcentaje 3" xfId="23" xr:uid="{00000000-0005-0000-0000-00003E000000}"/>
    <cellStyle name="Porcentaje 4" xfId="27" xr:uid="{00000000-0005-0000-0000-00003F000000}"/>
    <cellStyle name="Porcentual 2" xfId="10" xr:uid="{00000000-0005-0000-0000-000040000000}"/>
  </cellStyles>
  <dxfs count="8">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1" defaultTableStyle="TableStyleMedium2" defaultPivotStyle="PivotStyleLight16">
    <tableStyle name="Invisible" pivot="0" table="0" count="0" xr9:uid="{8CD3BEC6-F677-4A33-A981-6D1D11F1A00A}"/>
  </tableStyles>
  <colors>
    <indexedColors>
      <rgbColor rgb="00000000"/>
      <rgbColor rgb="00FFFFFF"/>
      <rgbColor rgb="00FF0000"/>
      <rgbColor rgb="0000FF00"/>
      <rgbColor rgb="000000FF"/>
      <rgbColor rgb="00FFFF00"/>
      <rgbColor rgb="00FF00FF"/>
      <rgbColor rgb="0000FFFF"/>
      <rgbColor rgb="00004563"/>
      <rgbColor rgb="00FFFFFF"/>
      <rgbColor rgb="00DB0705"/>
      <rgbColor rgb="00005463"/>
      <rgbColor rgb="000000D4"/>
      <rgbColor rgb="00FCF305"/>
      <rgbColor rgb="00BB0000"/>
      <rgbColor rgb="0000570B"/>
      <rgbColor rgb="00900000"/>
      <rgbColor rgb="00006411"/>
      <rgbColor rgb="0085FC70"/>
      <rgbColor rgb="0090713A"/>
      <rgbColor rgb="004600A5"/>
      <rgbColor rgb="00008080"/>
      <rgbColor rgb="00C0C0C0"/>
      <rgbColor rgb="00808080"/>
      <rgbColor rgb="00B398B4"/>
      <rgbColor rgb="00802060"/>
      <rgbColor rgb="00FFFFC0"/>
      <rgbColor rgb="00A0E0E0"/>
      <rgbColor rgb="00600080"/>
      <rgbColor rgb="00FF8080"/>
      <rgbColor rgb="000080C0"/>
      <rgbColor rgb="00C0C0FF"/>
      <rgbColor rgb="00081959"/>
      <rgbColor rgb="00FFF9E9"/>
      <rgbColor rgb="00FFFF00"/>
      <rgbColor rgb="0000FFFF"/>
      <rgbColor rgb="00800080"/>
      <rgbColor rgb="00800000"/>
      <rgbColor rgb="00008080"/>
      <rgbColor rgb="00D6DF20"/>
      <rgbColor rgb="0000CFFF"/>
      <rgbColor rgb="0069FFFF"/>
      <rgbColor rgb="00E0FFE0"/>
      <rgbColor rgb="00FFFF80"/>
      <rgbColor rgb="00A6CAF0"/>
      <rgbColor rgb="00EECEDA"/>
      <rgbColor rgb="00B38FEE"/>
      <rgbColor rgb="00E3E3E3"/>
      <rgbColor rgb="002A6FF9"/>
      <rgbColor rgb="003FB8CD"/>
      <rgbColor rgb="00488436"/>
      <rgbColor rgb="00958C41"/>
      <rgbColor rgb="008E5E42"/>
      <rgbColor rgb="00A0627A"/>
      <rgbColor rgb="00624FAC"/>
      <rgbColor rgb="00969696"/>
      <rgbColor rgb="00DCDEF5"/>
      <rgbColor rgb="00CDF0DB"/>
      <rgbColor rgb="00FFF9E9"/>
      <rgbColor rgb="00F7D2C6"/>
      <rgbColor rgb="00BEF4FF"/>
      <rgbColor rgb="00EECED9"/>
      <rgbColor rgb="004A3285"/>
      <rgbColor rgb="00A6A6A6"/>
    </indexedColors>
    <mruColors>
      <color rgb="FFFFFFFF"/>
      <color rgb="FFF2F2F2"/>
      <color rgb="FF28A064"/>
      <color rgb="FF95B3D7"/>
      <color rgb="FF464394"/>
      <color rgb="FFFFCC99"/>
      <color rgb="FFFF9900"/>
      <color rgb="FF9999FF"/>
      <color rgb="FFCFA2CA"/>
      <color rgb="FFE5DD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3.xml"/><Relationship Id="rId1" Type="http://schemas.microsoft.com/office/2011/relationships/chartStyle" Target="style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4.xml"/><Relationship Id="rId1" Type="http://schemas.microsoft.com/office/2011/relationships/chartStyle" Target="style4.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5.xml"/><Relationship Id="rId1" Type="http://schemas.microsoft.com/office/2011/relationships/chartStyle" Target="style5.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6.xml"/><Relationship Id="rId1" Type="http://schemas.microsoft.com/office/2011/relationships/chartStyle" Target="style6.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7.xml"/><Relationship Id="rId1" Type="http://schemas.microsoft.com/office/2011/relationships/chartStyle" Target="style7.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8.xml"/><Relationship Id="rId1" Type="http://schemas.microsoft.com/office/2011/relationships/chartStyle" Target="style8.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9.xml"/><Relationship Id="rId1" Type="http://schemas.microsoft.com/office/2011/relationships/chartStyle" Target="style9.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458945069569453E-2"/>
          <c:y val="0.18150286769709345"/>
          <c:w val="0.88441902532453698"/>
          <c:h val="0.66557985807329645"/>
        </c:manualLayout>
      </c:layout>
      <c:areaChart>
        <c:grouping val="stacked"/>
        <c:varyColors val="0"/>
        <c:ser>
          <c:idx val="0"/>
          <c:order val="1"/>
          <c:tx>
            <c:v>Precio mínimo</c:v>
          </c:tx>
          <c:spPr>
            <a:solidFill>
              <a:srgbClr val="F2F2F2"/>
            </a:solidFill>
          </c:spPr>
          <c:cat>
            <c:strLit>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Dat_01!$AA$8:$AA$38</c15:sqref>
                  </c15:fullRef>
                </c:ext>
              </c:extLst>
              <c:f>Dat_01!$AA$8:$AA$37</c:f>
              <c:numCache>
                <c:formatCode>#,##0.00</c:formatCode>
                <c:ptCount val="30"/>
                <c:pt idx="0">
                  <c:v>13.43</c:v>
                </c:pt>
                <c:pt idx="1">
                  <c:v>0</c:v>
                </c:pt>
                <c:pt idx="2">
                  <c:v>-5</c:v>
                </c:pt>
                <c:pt idx="3">
                  <c:v>3.52</c:v>
                </c:pt>
                <c:pt idx="4">
                  <c:v>0.66</c:v>
                </c:pt>
                <c:pt idx="5">
                  <c:v>27.2</c:v>
                </c:pt>
                <c:pt idx="6">
                  <c:v>26.39</c:v>
                </c:pt>
                <c:pt idx="7">
                  <c:v>0.74</c:v>
                </c:pt>
                <c:pt idx="8">
                  <c:v>-0.01</c:v>
                </c:pt>
                <c:pt idx="9">
                  <c:v>-1</c:v>
                </c:pt>
                <c:pt idx="10">
                  <c:v>9</c:v>
                </c:pt>
                <c:pt idx="11">
                  <c:v>26.28</c:v>
                </c:pt>
                <c:pt idx="12">
                  <c:v>60</c:v>
                </c:pt>
                <c:pt idx="13">
                  <c:v>40.909999999999997</c:v>
                </c:pt>
                <c:pt idx="14">
                  <c:v>0</c:v>
                </c:pt>
                <c:pt idx="15">
                  <c:v>0.65</c:v>
                </c:pt>
                <c:pt idx="16">
                  <c:v>0.65</c:v>
                </c:pt>
                <c:pt idx="17">
                  <c:v>60</c:v>
                </c:pt>
                <c:pt idx="18">
                  <c:v>29.14</c:v>
                </c:pt>
                <c:pt idx="19">
                  <c:v>27.2</c:v>
                </c:pt>
                <c:pt idx="20">
                  <c:v>3.52</c:v>
                </c:pt>
                <c:pt idx="21">
                  <c:v>4.3099999999999996</c:v>
                </c:pt>
                <c:pt idx="22">
                  <c:v>0.65</c:v>
                </c:pt>
                <c:pt idx="23">
                  <c:v>-0.6</c:v>
                </c:pt>
                <c:pt idx="24">
                  <c:v>25.2</c:v>
                </c:pt>
                <c:pt idx="25">
                  <c:v>26.28</c:v>
                </c:pt>
                <c:pt idx="26">
                  <c:v>49.85</c:v>
                </c:pt>
                <c:pt idx="27">
                  <c:v>0.01</c:v>
                </c:pt>
                <c:pt idx="28">
                  <c:v>0</c:v>
                </c:pt>
                <c:pt idx="29">
                  <c:v>-0.01</c:v>
                </c:pt>
              </c:numCache>
            </c:numRef>
          </c:val>
          <c:extLst>
            <c:ext xmlns:c16="http://schemas.microsoft.com/office/drawing/2014/chart" uri="{C3380CC4-5D6E-409C-BE32-E72D297353CC}">
              <c16:uniqueId val="{00000001-9F97-4626-80A4-AD849F207667}"/>
            </c:ext>
          </c:extLst>
        </c:ser>
        <c:ser>
          <c:idx val="2"/>
          <c:order val="2"/>
          <c:tx>
            <c:v>Precio máximo</c:v>
          </c:tx>
          <c:spPr>
            <a:solidFill>
              <a:schemeClr val="tx2">
                <a:lumMod val="40000"/>
                <a:lumOff val="60000"/>
              </a:schemeClr>
            </a:solidFill>
          </c:spPr>
          <c:cat>
            <c:strLit>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Dat_01!$AN$8:$AN$38</c15:sqref>
                  </c15:fullRef>
                </c:ext>
              </c:extLst>
              <c:f>Dat_01!$AN$8:$AN$37</c:f>
              <c:numCache>
                <c:formatCode>#,##0.00</c:formatCode>
                <c:ptCount val="30"/>
                <c:pt idx="0">
                  <c:v>89.59</c:v>
                </c:pt>
                <c:pt idx="1">
                  <c:v>99.64</c:v>
                </c:pt>
                <c:pt idx="2">
                  <c:v>102.4</c:v>
                </c:pt>
                <c:pt idx="3">
                  <c:v>164.5</c:v>
                </c:pt>
                <c:pt idx="4">
                  <c:v>140.04</c:v>
                </c:pt>
                <c:pt idx="5">
                  <c:v>142.80000000000001</c:v>
                </c:pt>
                <c:pt idx="6">
                  <c:v>118.61999999999999</c:v>
                </c:pt>
                <c:pt idx="7">
                  <c:v>136.13</c:v>
                </c:pt>
                <c:pt idx="8">
                  <c:v>113.13000000000001</c:v>
                </c:pt>
                <c:pt idx="9">
                  <c:v>137.87</c:v>
                </c:pt>
                <c:pt idx="10">
                  <c:v>135.41</c:v>
                </c:pt>
                <c:pt idx="11">
                  <c:v>128.65</c:v>
                </c:pt>
                <c:pt idx="12">
                  <c:v>95.1</c:v>
                </c:pt>
                <c:pt idx="13">
                  <c:v>108.11000000000001</c:v>
                </c:pt>
                <c:pt idx="14">
                  <c:v>144.75</c:v>
                </c:pt>
                <c:pt idx="15">
                  <c:v>143.35</c:v>
                </c:pt>
                <c:pt idx="16">
                  <c:v>130.6</c:v>
                </c:pt>
                <c:pt idx="17">
                  <c:v>60.760000000000005</c:v>
                </c:pt>
                <c:pt idx="18">
                  <c:v>77.709999999999994</c:v>
                </c:pt>
                <c:pt idx="19">
                  <c:v>72.86999999999999</c:v>
                </c:pt>
                <c:pt idx="20">
                  <c:v>97.600000000000009</c:v>
                </c:pt>
                <c:pt idx="21">
                  <c:v>100.22</c:v>
                </c:pt>
                <c:pt idx="22">
                  <c:v>130.22</c:v>
                </c:pt>
                <c:pt idx="23">
                  <c:v>115.58999999999999</c:v>
                </c:pt>
                <c:pt idx="24">
                  <c:v>116.8</c:v>
                </c:pt>
                <c:pt idx="25">
                  <c:v>99.67</c:v>
                </c:pt>
                <c:pt idx="26">
                  <c:v>64.47</c:v>
                </c:pt>
                <c:pt idx="27">
                  <c:v>97.14</c:v>
                </c:pt>
                <c:pt idx="28">
                  <c:v>100.01</c:v>
                </c:pt>
                <c:pt idx="29">
                  <c:v>107.13000000000001</c:v>
                </c:pt>
              </c:numCache>
            </c:numRef>
          </c:val>
          <c:extLst>
            <c:ext xmlns:c16="http://schemas.microsoft.com/office/drawing/2014/chart" uri="{C3380CC4-5D6E-409C-BE32-E72D297353CC}">
              <c16:uniqueId val="{00000000-9F97-4626-80A4-AD849F207667}"/>
            </c:ext>
          </c:extLst>
        </c:ser>
        <c:dLbls>
          <c:showLegendKey val="0"/>
          <c:showVal val="0"/>
          <c:showCatName val="0"/>
          <c:showSerName val="0"/>
          <c:showPercent val="0"/>
          <c:showBubbleSize val="0"/>
        </c:dLbls>
        <c:axId val="404549504"/>
        <c:axId val="404549896"/>
      </c:areaChart>
      <c:lineChart>
        <c:grouping val="standard"/>
        <c:varyColors val="0"/>
        <c:ser>
          <c:idx val="1"/>
          <c:order val="0"/>
          <c:tx>
            <c:v>Precio medio</c:v>
          </c:tx>
          <c:marker>
            <c:symbol val="none"/>
          </c:marker>
          <c:cat>
            <c:numRef>
              <c:extLst>
                <c:ext xmlns:c15="http://schemas.microsoft.com/office/drawing/2012/chart" uri="{02D57815-91ED-43cb-92C2-25804820EDAC}">
                  <c15:fullRef>
                    <c15:sqref>Dat_01!$AQ$8:$AQ$38</c15:sqref>
                  </c15:fullRef>
                </c:ext>
              </c:extLst>
              <c:f>Dat_01!$AQ$8:$AQ$37</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extLst>
                <c:ext xmlns:c15="http://schemas.microsoft.com/office/drawing/2012/chart" uri="{02D57815-91ED-43cb-92C2-25804820EDAC}">
                  <c15:fullRef>
                    <c15:sqref>Dat_01!$AC$8:$AC$38</c15:sqref>
                  </c15:fullRef>
                </c:ext>
              </c:extLst>
              <c:f>Dat_01!$AC$8:$AC$37</c:f>
              <c:numCache>
                <c:formatCode>#,##0.00</c:formatCode>
                <c:ptCount val="30"/>
                <c:pt idx="0">
                  <c:v>59.128955699043701</c:v>
                </c:pt>
                <c:pt idx="1">
                  <c:v>31.2569841997392</c:v>
                </c:pt>
                <c:pt idx="2">
                  <c:v>27.554483269998101</c:v>
                </c:pt>
                <c:pt idx="3">
                  <c:v>60.725387578170803</c:v>
                </c:pt>
                <c:pt idx="4">
                  <c:v>45.083897249607404</c:v>
                </c:pt>
                <c:pt idx="5">
                  <c:v>71.808849500298706</c:v>
                </c:pt>
                <c:pt idx="6">
                  <c:v>77.142369741145501</c:v>
                </c:pt>
                <c:pt idx="7">
                  <c:v>65.302391860184002</c:v>
                </c:pt>
                <c:pt idx="8">
                  <c:v>52.435990559069701</c:v>
                </c:pt>
                <c:pt idx="9">
                  <c:v>48.394327874918503</c:v>
                </c:pt>
                <c:pt idx="10">
                  <c:v>71.899164717328404</c:v>
                </c:pt>
                <c:pt idx="11">
                  <c:v>84.329073438026398</c:v>
                </c:pt>
                <c:pt idx="12">
                  <c:v>98.606385324666604</c:v>
                </c:pt>
                <c:pt idx="13">
                  <c:v>93.758028406786494</c:v>
                </c:pt>
                <c:pt idx="14">
                  <c:v>61.402836118177703</c:v>
                </c:pt>
                <c:pt idx="15">
                  <c:v>65.313314319531401</c:v>
                </c:pt>
                <c:pt idx="16">
                  <c:v>60.406288221161603</c:v>
                </c:pt>
                <c:pt idx="17">
                  <c:v>94.572237261266693</c:v>
                </c:pt>
                <c:pt idx="18">
                  <c:v>71.764688444959901</c:v>
                </c:pt>
                <c:pt idx="19">
                  <c:v>62.431425082784202</c:v>
                </c:pt>
                <c:pt idx="20">
                  <c:v>43.9104129370794</c:v>
                </c:pt>
                <c:pt idx="21">
                  <c:v>45.007060280095203</c:v>
                </c:pt>
                <c:pt idx="22">
                  <c:v>54.289692965211103</c:v>
                </c:pt>
                <c:pt idx="23">
                  <c:v>52.736417610723699</c:v>
                </c:pt>
                <c:pt idx="24">
                  <c:v>85.494981067359902</c:v>
                </c:pt>
                <c:pt idx="25">
                  <c:v>81.961743742508304</c:v>
                </c:pt>
                <c:pt idx="26">
                  <c:v>83.604757897564298</c:v>
                </c:pt>
                <c:pt idx="27">
                  <c:v>43.010134541380197</c:v>
                </c:pt>
                <c:pt idx="28">
                  <c:v>37.494890057633</c:v>
                </c:pt>
                <c:pt idx="29">
                  <c:v>43.127067408764702</c:v>
                </c:pt>
              </c:numCache>
            </c:numRef>
          </c:val>
          <c:smooth val="0"/>
          <c:extLst>
            <c:ext xmlns:c16="http://schemas.microsoft.com/office/drawing/2014/chart" uri="{C3380CC4-5D6E-409C-BE32-E72D297353CC}">
              <c16:uniqueId val="{00000002-9F97-4626-80A4-AD849F207667}"/>
            </c:ext>
          </c:extLst>
        </c:ser>
        <c:dLbls>
          <c:showLegendKey val="0"/>
          <c:showVal val="0"/>
          <c:showCatName val="0"/>
          <c:showSerName val="0"/>
          <c:showPercent val="0"/>
          <c:showBubbleSize val="0"/>
        </c:dLbls>
        <c:marker val="1"/>
        <c:smooth val="0"/>
        <c:axId val="404549504"/>
        <c:axId val="404549896"/>
      </c:lineChart>
      <c:catAx>
        <c:axId val="404549504"/>
        <c:scaling>
          <c:orientation val="minMax"/>
        </c:scaling>
        <c:delete val="0"/>
        <c:axPos val="b"/>
        <c:numFmt formatCode="General" sourceLinked="1"/>
        <c:majorTickMark val="none"/>
        <c:minorTickMark val="none"/>
        <c:tickLblPos val="low"/>
        <c:spPr>
          <a:ln w="3175">
            <a:noFill/>
            <a:prstDash val="solid"/>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896"/>
        <c:crosses val="autoZero"/>
        <c:auto val="1"/>
        <c:lblAlgn val="ctr"/>
        <c:lblOffset val="100"/>
        <c:noMultiLvlLbl val="0"/>
      </c:catAx>
      <c:valAx>
        <c:axId val="404549896"/>
        <c:scaling>
          <c:orientation val="minMax"/>
        </c:scaling>
        <c:delete val="0"/>
        <c:axPos val="l"/>
        <c:majorGridlines/>
        <c:title>
          <c:tx>
            <c:rich>
              <a:bodyPr rot="0" vert="horz"/>
              <a:lstStyle/>
              <a:p>
                <a:pPr algn="ctr">
                  <a:defRPr sz="800" b="0" i="0" u="none" strike="noStrike" baseline="0">
                    <a:solidFill>
                      <a:srgbClr val="004563"/>
                    </a:solidFill>
                    <a:latin typeface="Helv"/>
                    <a:ea typeface="Helv"/>
                    <a:cs typeface="Helv"/>
                  </a:defRPr>
                </a:pPr>
                <a:r>
                  <a:rPr lang="es-ES">
                    <a:solidFill>
                      <a:srgbClr val="004563"/>
                    </a:solidFill>
                  </a:rPr>
                  <a:t>€/MWh</a:t>
                </a:r>
              </a:p>
            </c:rich>
          </c:tx>
          <c:layout>
            <c:manualLayout>
              <c:xMode val="edge"/>
              <c:yMode val="edge"/>
              <c:x val="1.4598496133929178E-2"/>
              <c:y val="9.1525423728818792E-2"/>
            </c:manualLayout>
          </c:layout>
          <c:overlay val="0"/>
          <c:spPr>
            <a:noFill/>
            <a:ln w="25400">
              <a:noFill/>
            </a:ln>
          </c:spPr>
        </c:title>
        <c:numFmt formatCode="0" sourceLinked="0"/>
        <c:majorTickMark val="out"/>
        <c:minorTickMark val="none"/>
        <c:tickLblPos val="nextTo"/>
        <c:spPr>
          <a:ln w="9525">
            <a:noFill/>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504"/>
        <c:crosses val="autoZero"/>
        <c:crossBetween val="between"/>
        <c:minorUnit val="10"/>
      </c:valAx>
      <c:spPr>
        <a:solidFill>
          <a:srgbClr val="F2F2F2"/>
        </a:solidFill>
        <a:ln w="25400">
          <a:noFill/>
        </a:ln>
      </c:spPr>
    </c:plotArea>
    <c:legend>
      <c:legendPos val="t"/>
      <c:legendEntry>
        <c:idx val="0"/>
        <c:delete val="1"/>
      </c:legendEntry>
      <c:legendEntry>
        <c:idx val="1"/>
        <c:delete val="1"/>
      </c:legendEntry>
      <c:legendEntry>
        <c:idx val="2"/>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legendEntry>
      <c:overlay val="0"/>
    </c:legend>
    <c:plotVisOnly val="1"/>
    <c:dispBlanksAs val="zero"/>
    <c:showDLblsOverMax val="0"/>
  </c:chart>
  <c:spPr>
    <a:solidFill>
      <a:srgbClr val="F2F2F2"/>
    </a:solidFill>
    <a:ln w="9525">
      <a:noFill/>
    </a:ln>
  </c:spPr>
  <c:txPr>
    <a:bodyPr/>
    <a:lstStyle/>
    <a:p>
      <a:pPr>
        <a:defRPr sz="600" b="0" i="0" u="none" strike="noStrike" baseline="0">
          <a:solidFill>
            <a:srgbClr val="000000"/>
          </a:solidFill>
          <a:latin typeface="Helv"/>
          <a:ea typeface="Helv"/>
          <a:cs typeface="Helv"/>
        </a:defRPr>
      </a:pPr>
      <a:endParaRPr lang="es-ES"/>
    </a:p>
  </c:txPr>
  <c:printSettings>
    <c:headerFooter/>
    <c:pageMargins b="0.75000000000001465" l="0.70000000000000062" r="0.70000000000000062" t="0.75000000000001465" header="0.30000000000000032" footer="0.30000000000000032"/>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893111346282373E-2"/>
          <c:y val="3.7659765548332613E-2"/>
          <c:w val="0.90234727490582289"/>
          <c:h val="0.8266986520009546"/>
        </c:manualLayout>
      </c:layout>
      <c:barChart>
        <c:barDir val="col"/>
        <c:grouping val="clustered"/>
        <c:varyColors val="0"/>
        <c:ser>
          <c:idx val="0"/>
          <c:order val="0"/>
          <c:tx>
            <c:v>Potencia media a subir</c:v>
          </c:tx>
          <c:spPr>
            <a:solidFill>
              <a:srgbClr val="007AB0"/>
            </a:solidFill>
          </c:spPr>
          <c:invertIfNegative val="0"/>
          <c:val>
            <c:numRef>
              <c:f>Dat_01!$B$185:$N$185</c:f>
              <c:numCache>
                <c:formatCode>#,##0;\(#,##0\)</c:formatCode>
                <c:ptCount val="13"/>
              </c:numCache>
            </c:numRef>
          </c:val>
          <c:extLst>
            <c:ext xmlns:c16="http://schemas.microsoft.com/office/drawing/2014/chart" uri="{C3380CC4-5D6E-409C-BE32-E72D297353CC}">
              <c16:uniqueId val="{00000001-B814-4A22-93AF-AC4A71005C3B}"/>
            </c:ext>
          </c:extLst>
        </c:ser>
        <c:ser>
          <c:idx val="10"/>
          <c:order val="1"/>
          <c:tx>
            <c:v>Potencia media a bajar</c:v>
          </c:tx>
          <c:spPr>
            <a:solidFill>
              <a:srgbClr val="0090D1"/>
            </a:solidFill>
            <a:ln w="25400">
              <a:noFill/>
            </a:ln>
          </c:spPr>
          <c:invertIfNegative val="0"/>
          <c:val>
            <c:numRef>
              <c:f>Dat_01!$B$184:$N$184</c:f>
              <c:numCache>
                <c:formatCode>#,##0</c:formatCode>
                <c:ptCount val="13"/>
                <c:pt idx="0">
                  <c:v>897.21471774193503</c:v>
                </c:pt>
                <c:pt idx="1">
                  <c:v>906.32291666666754</c:v>
                </c:pt>
                <c:pt idx="2">
                  <c:v>1012.71845637584</c:v>
                </c:pt>
                <c:pt idx="3">
                  <c:v>1105.963194444445</c:v>
                </c:pt>
                <c:pt idx="4">
                  <c:v>1174.3723118279574</c:v>
                </c:pt>
                <c:pt idx="5">
                  <c:v>1129.192204301075</c:v>
                </c:pt>
                <c:pt idx="6">
                  <c:v>1128.565476190475</c:v>
                </c:pt>
                <c:pt idx="7">
                  <c:v>1181.1537685060575</c:v>
                </c:pt>
                <c:pt idx="8">
                  <c:v>1185.1831761006299</c:v>
                </c:pt>
                <c:pt idx="9">
                  <c:v>1194.9334677419349</c:v>
                </c:pt>
                <c:pt idx="10">
                  <c:v>1196.130555555555</c:v>
                </c:pt>
                <c:pt idx="11">
                  <c:v>1196.6243279569901</c:v>
                </c:pt>
                <c:pt idx="12">
                  <c:v>1193.91076388889</c:v>
                </c:pt>
              </c:numCache>
            </c:numRef>
          </c:val>
          <c:extLst>
            <c:ext xmlns:c16="http://schemas.microsoft.com/office/drawing/2014/chart" uri="{C3380CC4-5D6E-409C-BE32-E72D297353CC}">
              <c16:uniqueId val="{00000000-B814-4A22-93AF-AC4A71005C3B}"/>
            </c:ext>
          </c:extLst>
        </c:ser>
        <c:dLbls>
          <c:showLegendKey val="0"/>
          <c:showVal val="0"/>
          <c:showCatName val="0"/>
          <c:showSerName val="0"/>
          <c:showPercent val="0"/>
          <c:showBubbleSize val="0"/>
        </c:dLbls>
        <c:gapWidth val="150"/>
        <c:overlap val="100"/>
        <c:axId val="403144144"/>
        <c:axId val="403143752"/>
      </c:barChart>
      <c:lineChart>
        <c:grouping val="standard"/>
        <c:varyColors val="0"/>
        <c:ser>
          <c:idx val="1"/>
          <c:order val="2"/>
          <c:tx>
            <c:v>Precio medio</c:v>
          </c:tx>
          <c:spPr>
            <a:ln>
              <a:solidFill>
                <a:srgbClr val="004563"/>
              </a:solidFill>
            </a:ln>
          </c:spPr>
          <c:marker>
            <c:symbol val="none"/>
          </c:marker>
          <c:val>
            <c:numRef>
              <c:f>Dat_01!$C$417:$O$417</c:f>
              <c:numCache>
                <c:formatCode>#,##0.00</c:formatCode>
                <c:ptCount val="13"/>
                <c:pt idx="3">
                  <c:v>45.035521148107499</c:v>
                </c:pt>
                <c:pt idx="4">
                  <c:v>33.6728066354367</c:v>
                </c:pt>
                <c:pt idx="5">
                  <c:v>37.464347836437497</c:v>
                </c:pt>
                <c:pt idx="6">
                  <c:v>26.586120179958801</c:v>
                </c:pt>
                <c:pt idx="7">
                  <c:v>29.008521289236</c:v>
                </c:pt>
                <c:pt idx="8">
                  <c:v>18.106053319026099</c:v>
                </c:pt>
                <c:pt idx="9">
                  <c:v>17.670425277872901</c:v>
                </c:pt>
                <c:pt idx="10">
                  <c:v>12.578851830091001</c:v>
                </c:pt>
                <c:pt idx="11">
                  <c:v>13.7043949349003</c:v>
                </c:pt>
                <c:pt idx="12">
                  <c:v>18.185907200234102</c:v>
                </c:pt>
              </c:numCache>
            </c:numRef>
          </c:val>
          <c:smooth val="0"/>
          <c:extLst>
            <c:ext xmlns:c16="http://schemas.microsoft.com/office/drawing/2014/chart" uri="{C3380CC4-5D6E-409C-BE32-E72D297353CC}">
              <c16:uniqueId val="{00000002-B814-4A22-93AF-AC4A71005C3B}"/>
            </c:ext>
          </c:extLst>
        </c:ser>
        <c:dLbls>
          <c:showLegendKey val="0"/>
          <c:showVal val="0"/>
          <c:showCatName val="0"/>
          <c:showSerName val="0"/>
          <c:showPercent val="0"/>
          <c:showBubbleSize val="0"/>
        </c:dLbls>
        <c:marker val="1"/>
        <c:smooth val="0"/>
        <c:axId val="1440999263"/>
        <c:axId val="1441007903"/>
      </c:lineChart>
      <c:valAx>
        <c:axId val="403143752"/>
        <c:scaling>
          <c:orientation val="maxMin"/>
          <c:max val="1200"/>
          <c:min val="0"/>
        </c:scaling>
        <c:delete val="0"/>
        <c:axPos val="l"/>
        <c:majorGridlines>
          <c:spPr>
            <a:ln>
              <a:prstDash val="sysDot"/>
            </a:ln>
          </c:spPr>
        </c:majorGridlines>
        <c:numFmt formatCode="#,##0" sourceLinked="0"/>
        <c:majorTickMark val="out"/>
        <c:minorTickMark val="none"/>
        <c:tickLblPos val="nextTo"/>
        <c:txPr>
          <a:bodyPr/>
          <a:lstStyle/>
          <a:p>
            <a:pPr>
              <a:defRPr>
                <a:solidFill>
                  <a:srgbClr val="004563"/>
                </a:solidFill>
              </a:defRPr>
            </a:pPr>
            <a:endParaRPr lang="es-ES"/>
          </a:p>
        </c:txPr>
        <c:crossAx val="403144144"/>
        <c:crosses val="autoZero"/>
        <c:crossBetween val="between"/>
      </c:valAx>
      <c:catAx>
        <c:axId val="403144144"/>
        <c:scaling>
          <c:orientation val="minMax"/>
        </c:scaling>
        <c:delete val="1"/>
        <c:axPos val="t"/>
        <c:numFmt formatCode="General" sourceLinked="1"/>
        <c:majorTickMark val="out"/>
        <c:minorTickMark val="none"/>
        <c:tickLblPos val="nextTo"/>
        <c:crossAx val="403143752"/>
        <c:crosses val="autoZero"/>
        <c:auto val="1"/>
        <c:lblAlgn val="ctr"/>
        <c:lblOffset val="100"/>
        <c:noMultiLvlLbl val="0"/>
      </c:catAx>
      <c:valAx>
        <c:axId val="1441007903"/>
        <c:scaling>
          <c:orientation val="maxMin"/>
          <c:max val="72"/>
        </c:scaling>
        <c:delete val="0"/>
        <c:axPos val="r"/>
        <c:numFmt formatCode="#,##0" sourceLinked="0"/>
        <c:majorTickMark val="out"/>
        <c:minorTickMark val="none"/>
        <c:tickLblPos val="nextTo"/>
        <c:spPr>
          <a:ln>
            <a:noFill/>
          </a:ln>
        </c:spPr>
        <c:crossAx val="1440999263"/>
        <c:crosses val="max"/>
        <c:crossBetween val="between"/>
        <c:majorUnit val="12"/>
      </c:valAx>
      <c:catAx>
        <c:axId val="1440999263"/>
        <c:scaling>
          <c:orientation val="minMax"/>
        </c:scaling>
        <c:delete val="1"/>
        <c:axPos val="t"/>
        <c:majorTickMark val="out"/>
        <c:minorTickMark val="none"/>
        <c:tickLblPos val="nextTo"/>
        <c:crossAx val="1441007903"/>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8887794862755325"/>
          <c:y val="0.88952543666091277"/>
          <c:w val="0.58006603466381956"/>
          <c:h val="0.11047431432200966"/>
        </c:manualLayout>
      </c:layout>
      <c:overlay val="0"/>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Energía a subir</c:v>
          </c:tx>
          <c:spPr>
            <a:solidFill>
              <a:srgbClr val="007AB0"/>
            </a:solidFill>
            <a:ln>
              <a:noFill/>
            </a:ln>
            <a:effectLst/>
          </c:spPr>
          <c:invertIfNegative val="0"/>
          <c:cat>
            <c:strRef>
              <c:f>Dat_01!$B$180:$N$180</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Dat_01!$B$192:$N$192</c:f>
              <c:numCache>
                <c:formatCode>#,##0_);\(#,##0\)</c:formatCode>
                <c:ptCount val="13"/>
                <c:pt idx="0">
                  <c:v>174.548475</c:v>
                </c:pt>
                <c:pt idx="1">
                  <c:v>172.08167499999999</c:v>
                </c:pt>
                <c:pt idx="2">
                  <c:v>201.38062500000001</c:v>
                </c:pt>
                <c:pt idx="3">
                  <c:v>132.31447800000001</c:v>
                </c:pt>
                <c:pt idx="4">
                  <c:v>78.121196999999995</c:v>
                </c:pt>
                <c:pt idx="5">
                  <c:v>73.119370000000004</c:v>
                </c:pt>
                <c:pt idx="6">
                  <c:v>58.008048000000002</c:v>
                </c:pt>
                <c:pt idx="7">
                  <c:v>81.554850999999999</c:v>
                </c:pt>
                <c:pt idx="8">
                  <c:v>85.516738000000004</c:v>
                </c:pt>
                <c:pt idx="9">
                  <c:v>100.845438</c:v>
                </c:pt>
                <c:pt idx="10">
                  <c:v>88.146169</c:v>
                </c:pt>
                <c:pt idx="11">
                  <c:v>58.698768000000001</c:v>
                </c:pt>
                <c:pt idx="12">
                  <c:v>71.694524000000001</c:v>
                </c:pt>
              </c:numCache>
            </c:numRef>
          </c:val>
          <c:extLst>
            <c:ext xmlns:c16="http://schemas.microsoft.com/office/drawing/2014/chart" uri="{C3380CC4-5D6E-409C-BE32-E72D297353CC}">
              <c16:uniqueId val="{00000000-D85F-4E73-9069-EBA282BB923C}"/>
            </c:ext>
          </c:extLst>
        </c:ser>
        <c:dLbls>
          <c:showLegendKey val="0"/>
          <c:showVal val="0"/>
          <c:showCatName val="0"/>
          <c:showSerName val="0"/>
          <c:showPercent val="0"/>
          <c:showBubbleSize val="0"/>
        </c:dLbls>
        <c:gapWidth val="150"/>
        <c:overlap val="100"/>
        <c:axId val="403144928"/>
        <c:axId val="403145320"/>
      </c:barChart>
      <c:lineChart>
        <c:grouping val="standard"/>
        <c:varyColors val="0"/>
        <c:ser>
          <c:idx val="2"/>
          <c:order val="1"/>
          <c:tx>
            <c:v>Precio medio</c:v>
          </c:tx>
          <c:spPr>
            <a:ln w="28575" cap="rnd">
              <a:solidFill>
                <a:srgbClr val="004563"/>
              </a:solidFill>
              <a:round/>
            </a:ln>
            <a:effectLst/>
          </c:spPr>
          <c:marker>
            <c:symbol val="circle"/>
            <c:size val="6"/>
            <c:spPr>
              <a:noFill/>
              <a:ln w="9525">
                <a:noFill/>
              </a:ln>
              <a:effectLst/>
            </c:spPr>
          </c:marker>
          <c:cat>
            <c:strRef>
              <c:f>Dat_01!$B$181:$N$181</c:f>
              <c:strCache>
                <c:ptCount val="13"/>
                <c:pt idx="0">
                  <c:v>2024 Agosto</c:v>
                </c:pt>
                <c:pt idx="1">
                  <c:v>2024 Septiembre</c:v>
                </c:pt>
                <c:pt idx="2">
                  <c:v>2024 Octubre</c:v>
                </c:pt>
                <c:pt idx="3">
                  <c:v>2024 Noviembre</c:v>
                </c:pt>
                <c:pt idx="4">
                  <c:v>2024 Diciembre</c:v>
                </c:pt>
                <c:pt idx="5">
                  <c:v>2025 Enero</c:v>
                </c:pt>
                <c:pt idx="6">
                  <c:v>2025 Febrero</c:v>
                </c:pt>
                <c:pt idx="7">
                  <c:v>2025 Marzo</c:v>
                </c:pt>
                <c:pt idx="8">
                  <c:v>2025 Abril</c:v>
                </c:pt>
                <c:pt idx="9">
                  <c:v>2025 Mayo</c:v>
                </c:pt>
                <c:pt idx="10">
                  <c:v>2025 Junio</c:v>
                </c:pt>
                <c:pt idx="11">
                  <c:v>2025 Julio</c:v>
                </c:pt>
                <c:pt idx="12">
                  <c:v>2025 Agosto</c:v>
                </c:pt>
              </c:strCache>
            </c:strRef>
          </c:cat>
          <c:val>
            <c:numRef>
              <c:f>Dat_01!$C$414:$O$414</c:f>
              <c:numCache>
                <c:formatCode>#,##0.00</c:formatCode>
                <c:ptCount val="13"/>
                <c:pt idx="0">
                  <c:v>102.803926576843</c:v>
                </c:pt>
                <c:pt idx="1">
                  <c:v>88.768818947456197</c:v>
                </c:pt>
                <c:pt idx="2">
                  <c:v>88.323514448075599</c:v>
                </c:pt>
                <c:pt idx="3">
                  <c:v>105.77170815139399</c:v>
                </c:pt>
                <c:pt idx="4">
                  <c:v>137.67775680716099</c:v>
                </c:pt>
                <c:pt idx="5">
                  <c:v>133.31983673259199</c:v>
                </c:pt>
                <c:pt idx="6">
                  <c:v>140.032644447618</c:v>
                </c:pt>
                <c:pt idx="7">
                  <c:v>120.09650501401801</c:v>
                </c:pt>
                <c:pt idx="8">
                  <c:v>77.523932633816997</c:v>
                </c:pt>
                <c:pt idx="9">
                  <c:v>63.343057325899899</c:v>
                </c:pt>
                <c:pt idx="10">
                  <c:v>112.62528893603999</c:v>
                </c:pt>
                <c:pt idx="11">
                  <c:v>110.444987815045</c:v>
                </c:pt>
                <c:pt idx="12">
                  <c:v>98.534198237232204</c:v>
                </c:pt>
              </c:numCache>
            </c:numRef>
          </c:val>
          <c:smooth val="0"/>
          <c:extLst>
            <c:ext xmlns:c16="http://schemas.microsoft.com/office/drawing/2014/chart" uri="{C3380CC4-5D6E-409C-BE32-E72D297353CC}">
              <c16:uniqueId val="{00000001-D85F-4E73-9069-EBA282BB923C}"/>
            </c:ext>
          </c:extLst>
        </c:ser>
        <c:dLbls>
          <c:showLegendKey val="0"/>
          <c:showVal val="0"/>
          <c:showCatName val="0"/>
          <c:showSerName val="0"/>
          <c:showPercent val="0"/>
          <c:showBubbleSize val="0"/>
        </c:dLbls>
        <c:marker val="1"/>
        <c:smooth val="0"/>
        <c:axId val="1990767184"/>
        <c:axId val="1990780496"/>
      </c:lineChart>
      <c:catAx>
        <c:axId val="403144928"/>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5320"/>
        <c:crosses val="autoZero"/>
        <c:auto val="1"/>
        <c:lblAlgn val="ctr"/>
        <c:lblOffset val="100"/>
        <c:noMultiLvlLbl val="1"/>
      </c:catAx>
      <c:valAx>
        <c:axId val="403145320"/>
        <c:scaling>
          <c:orientation val="minMax"/>
          <c:max val="35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GWh</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4928"/>
        <c:crosses val="autoZero"/>
        <c:crossBetween val="between"/>
        <c:majorUnit val="50"/>
        <c:minorUnit val="10"/>
      </c:valAx>
      <c:valAx>
        <c:axId val="1990780496"/>
        <c:scaling>
          <c:orientation val="minMax"/>
          <c:min val="-9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990767184"/>
        <c:crosses val="max"/>
        <c:crossBetween val="between"/>
        <c:majorUnit val="30"/>
      </c:valAx>
      <c:catAx>
        <c:axId val="1990767184"/>
        <c:scaling>
          <c:orientation val="minMax"/>
        </c:scaling>
        <c:delete val="1"/>
        <c:axPos val="b"/>
        <c:numFmt formatCode="General" sourceLinked="1"/>
        <c:majorTickMark val="out"/>
        <c:minorTickMark val="none"/>
        <c:tickLblPos val="nextTo"/>
        <c:crossAx val="199078049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111346282373E-2"/>
          <c:y val="3.7659765548332613E-2"/>
          <c:w val="0.90234727490582289"/>
          <c:h val="0.8266986520009546"/>
        </c:manualLayout>
      </c:layout>
      <c:barChart>
        <c:barDir val="col"/>
        <c:grouping val="stacked"/>
        <c:varyColors val="0"/>
        <c:ser>
          <c:idx val="10"/>
          <c:order val="0"/>
          <c:tx>
            <c:v>Energía a subir</c:v>
          </c:tx>
          <c:spPr>
            <a:solidFill>
              <a:srgbClr val="007AB0"/>
            </a:solidFill>
            <a:ln w="25400">
              <a:noFill/>
            </a:ln>
          </c:spPr>
          <c:invertIfNegative val="0"/>
          <c:cat>
            <c:strRef>
              <c:f>Dat_01!$B$187:$N$187</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Dat_01!$B$193:$N$193</c:f>
              <c:numCache>
                <c:formatCode>General</c:formatCode>
                <c:ptCount val="13"/>
              </c:numCache>
            </c:numRef>
          </c:val>
          <c:extLst>
            <c:ext xmlns:c16="http://schemas.microsoft.com/office/drawing/2014/chart" uri="{C3380CC4-5D6E-409C-BE32-E72D297353CC}">
              <c16:uniqueId val="{00000000-0D40-469F-A1D4-30CF56672232}"/>
            </c:ext>
          </c:extLst>
        </c:ser>
        <c:ser>
          <c:idx val="1"/>
          <c:order val="1"/>
          <c:tx>
            <c:v>Energía a bajar</c:v>
          </c:tx>
          <c:spPr>
            <a:solidFill>
              <a:srgbClr val="0090D1"/>
            </a:solidFill>
          </c:spPr>
          <c:invertIfNegative val="0"/>
          <c:cat>
            <c:strRef>
              <c:f>Dat_01!$B$187:$N$187</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Dat_01!$B$191:$N$191</c:f>
              <c:numCache>
                <c:formatCode>#,##0_);\(#,##0\)</c:formatCode>
                <c:ptCount val="13"/>
                <c:pt idx="0">
                  <c:v>180.042475</c:v>
                </c:pt>
                <c:pt idx="1">
                  <c:v>165.537925</c:v>
                </c:pt>
                <c:pt idx="2">
                  <c:v>131.49952500000001</c:v>
                </c:pt>
                <c:pt idx="3">
                  <c:v>89.584021000000007</c:v>
                </c:pt>
                <c:pt idx="4">
                  <c:v>52.364378000000002</c:v>
                </c:pt>
                <c:pt idx="5">
                  <c:v>77.682462000000001</c:v>
                </c:pt>
                <c:pt idx="6">
                  <c:v>82.307884999999999</c:v>
                </c:pt>
                <c:pt idx="7">
                  <c:v>105.459892</c:v>
                </c:pt>
                <c:pt idx="8">
                  <c:v>92.657791000000003</c:v>
                </c:pt>
                <c:pt idx="9">
                  <c:v>95.844481999999999</c:v>
                </c:pt>
                <c:pt idx="10">
                  <c:v>72.700210999999996</c:v>
                </c:pt>
                <c:pt idx="11">
                  <c:v>80.983009999999993</c:v>
                </c:pt>
                <c:pt idx="12">
                  <c:v>71.164921000000007</c:v>
                </c:pt>
              </c:numCache>
            </c:numRef>
          </c:val>
          <c:extLst>
            <c:ext xmlns:c16="http://schemas.microsoft.com/office/drawing/2014/chart" uri="{C3380CC4-5D6E-409C-BE32-E72D297353CC}">
              <c16:uniqueId val="{00000001-0D40-469F-A1D4-30CF56672232}"/>
            </c:ext>
          </c:extLst>
        </c:ser>
        <c:dLbls>
          <c:showLegendKey val="0"/>
          <c:showVal val="0"/>
          <c:showCatName val="0"/>
          <c:showSerName val="0"/>
          <c:showPercent val="0"/>
          <c:showBubbleSize val="0"/>
        </c:dLbls>
        <c:gapWidth val="150"/>
        <c:overlap val="100"/>
        <c:axId val="403147280"/>
        <c:axId val="403146888"/>
      </c:barChart>
      <c:lineChart>
        <c:grouping val="standard"/>
        <c:varyColors val="0"/>
        <c:ser>
          <c:idx val="0"/>
          <c:order val="2"/>
          <c:tx>
            <c:v>Precio medio subir</c:v>
          </c:tx>
          <c:spPr>
            <a:ln>
              <a:solidFill>
                <a:srgbClr val="004563"/>
              </a:solidFill>
            </a:ln>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1-0AFB-4F4A-A7D1-CE21C49474DA}"/>
            </c:ext>
          </c:extLst>
        </c:ser>
        <c:ser>
          <c:idx val="2"/>
          <c:order val="3"/>
          <c:tx>
            <c:v>Precio medio bajar</c:v>
          </c:tx>
          <c:spPr>
            <a:ln>
              <a:solidFill>
                <a:srgbClr val="404040"/>
              </a:solidFill>
            </a:ln>
          </c:spPr>
          <c:marker>
            <c:symbol val="circle"/>
            <c:size val="6"/>
            <c:spPr>
              <a:noFill/>
              <a:ln>
                <a:noFill/>
              </a:ln>
            </c:spPr>
          </c:marker>
          <c:val>
            <c:numRef>
              <c:f>Dat_01!$C$418:$O$418</c:f>
              <c:numCache>
                <c:formatCode>#,##0.00</c:formatCode>
                <c:ptCount val="13"/>
                <c:pt idx="0">
                  <c:v>52.021473464803201</c:v>
                </c:pt>
                <c:pt idx="1">
                  <c:v>33.235310798114703</c:v>
                </c:pt>
                <c:pt idx="2">
                  <c:v>26.148324822846298</c:v>
                </c:pt>
                <c:pt idx="3">
                  <c:v>66.731312689793199</c:v>
                </c:pt>
                <c:pt idx="4">
                  <c:v>53.440641895754197</c:v>
                </c:pt>
                <c:pt idx="5">
                  <c:v>24.699318291688499</c:v>
                </c:pt>
                <c:pt idx="6">
                  <c:v>22.8086348971893</c:v>
                </c:pt>
                <c:pt idx="7">
                  <c:v>-19.560346367263399</c:v>
                </c:pt>
                <c:pt idx="8">
                  <c:v>-25.5019529327848</c:v>
                </c:pt>
                <c:pt idx="9">
                  <c:v>-21.387505744658501</c:v>
                </c:pt>
                <c:pt idx="10">
                  <c:v>12.013554372077399</c:v>
                </c:pt>
                <c:pt idx="11">
                  <c:v>12.2452130523417</c:v>
                </c:pt>
                <c:pt idx="12">
                  <c:v>15.0009598542237</c:v>
                </c:pt>
              </c:numCache>
            </c:numRef>
          </c:val>
          <c:smooth val="0"/>
          <c:extLst>
            <c:ext xmlns:c16="http://schemas.microsoft.com/office/drawing/2014/chart" uri="{C3380CC4-5D6E-409C-BE32-E72D297353CC}">
              <c16:uniqueId val="{00000003-0D40-469F-A1D4-30CF56672232}"/>
            </c:ext>
          </c:extLst>
        </c:ser>
        <c:dLbls>
          <c:showLegendKey val="0"/>
          <c:showVal val="0"/>
          <c:showCatName val="0"/>
          <c:showSerName val="0"/>
          <c:showPercent val="0"/>
          <c:showBubbleSize val="0"/>
        </c:dLbls>
        <c:marker val="1"/>
        <c:smooth val="0"/>
        <c:axId val="403148064"/>
        <c:axId val="403147672"/>
      </c:lineChart>
      <c:valAx>
        <c:axId val="403146888"/>
        <c:scaling>
          <c:orientation val="maxMin"/>
          <c:max val="35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7280"/>
        <c:crosses val="autoZero"/>
        <c:crossBetween val="between"/>
        <c:majorUnit val="50"/>
      </c:valAx>
      <c:catAx>
        <c:axId val="403147280"/>
        <c:scaling>
          <c:orientation val="minMax"/>
        </c:scaling>
        <c:delete val="1"/>
        <c:axPos val="t"/>
        <c:numFmt formatCode="General" sourceLinked="1"/>
        <c:majorTickMark val="out"/>
        <c:minorTickMark val="none"/>
        <c:tickLblPos val="nextTo"/>
        <c:crossAx val="403146888"/>
        <c:crosses val="autoZero"/>
        <c:auto val="1"/>
        <c:lblAlgn val="ctr"/>
        <c:lblOffset val="100"/>
        <c:noMultiLvlLbl val="0"/>
      </c:catAx>
      <c:valAx>
        <c:axId val="403147672"/>
        <c:scaling>
          <c:orientation val="maxMin"/>
          <c:min val="-90"/>
        </c:scaling>
        <c:delete val="0"/>
        <c:axPos val="r"/>
        <c:numFmt formatCode="#,##0" sourceLinked="0"/>
        <c:majorTickMark val="out"/>
        <c:minorTickMark val="none"/>
        <c:tickLblPos val="nextTo"/>
        <c:spPr>
          <a:ln>
            <a:noFill/>
          </a:ln>
        </c:spPr>
        <c:crossAx val="403148064"/>
        <c:crosses val="max"/>
        <c:crossBetween val="between"/>
        <c:majorUnit val="30"/>
      </c:valAx>
      <c:catAx>
        <c:axId val="403148064"/>
        <c:scaling>
          <c:orientation val="minMax"/>
        </c:scaling>
        <c:delete val="1"/>
        <c:axPos val="t"/>
        <c:majorTickMark val="out"/>
        <c:minorTickMark val="none"/>
        <c:tickLblPos val="nextTo"/>
        <c:crossAx val="40314767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6329404894622285"/>
          <c:y val="0.87213445124032496"/>
          <c:w val="0.68385161941634542"/>
          <c:h val="0.10943430395315672"/>
        </c:manualLayout>
      </c:layout>
      <c:overlay val="0"/>
      <c:spPr>
        <a:ln>
          <a:noFill/>
        </a:ln>
      </c:spPr>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9.7142349238217726E-2"/>
          <c:w val="0.90427766318885094"/>
          <c:h val="0.7115726750207626"/>
        </c:manualLayout>
      </c:layout>
      <c:barChart>
        <c:barDir val="col"/>
        <c:grouping val="stacked"/>
        <c:varyColors val="0"/>
        <c:ser>
          <c:idx val="2"/>
          <c:order val="1"/>
          <c:tx>
            <c:strRef>
              <c:f>Dat_01!$B$218</c:f>
              <c:strCache>
                <c:ptCount val="1"/>
                <c:pt idx="0">
                  <c:v>Carbón</c:v>
                </c:pt>
              </c:strCache>
            </c:strRef>
          </c:tx>
          <c:spPr>
            <a:solidFill>
              <a:srgbClr val="993300"/>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Dat_01!$C$218:$O$218</c:f>
              <c:numCache>
                <c:formatCode>#,##0.0</c:formatCode>
                <c:ptCount val="13"/>
                <c:pt idx="0">
                  <c:v>24.35</c:v>
                </c:pt>
                <c:pt idx="1">
                  <c:v>50.225000000000001</c:v>
                </c:pt>
                <c:pt idx="2">
                  <c:v>78.75</c:v>
                </c:pt>
                <c:pt idx="3">
                  <c:v>484.8</c:v>
                </c:pt>
                <c:pt idx="4">
                  <c:v>289.85000000000002</c:v>
                </c:pt>
                <c:pt idx="5">
                  <c:v>938.7</c:v>
                </c:pt>
                <c:pt idx="6">
                  <c:v>339</c:v>
                </c:pt>
                <c:pt idx="7">
                  <c:v>85</c:v>
                </c:pt>
                <c:pt idx="8">
                  <c:v>105</c:v>
                </c:pt>
                <c:pt idx="9">
                  <c:v>0</c:v>
                </c:pt>
                <c:pt idx="10">
                  <c:v>83.75</c:v>
                </c:pt>
                <c:pt idx="11">
                  <c:v>10</c:v>
                </c:pt>
                <c:pt idx="12">
                  <c:v>0</c:v>
                </c:pt>
              </c:numCache>
            </c:numRef>
          </c:val>
          <c:extLst>
            <c:ext xmlns:c16="http://schemas.microsoft.com/office/drawing/2014/chart" uri="{C3380CC4-5D6E-409C-BE32-E72D297353CC}">
              <c16:uniqueId val="{00000000-BED9-452D-8454-5CC367FCBEF2}"/>
            </c:ext>
          </c:extLst>
        </c:ser>
        <c:ser>
          <c:idx val="3"/>
          <c:order val="2"/>
          <c:tx>
            <c:strRef>
              <c:f>Dat_01!$B$219</c:f>
              <c:strCache>
                <c:ptCount val="1"/>
                <c:pt idx="0">
                  <c:v>Ciclo Combinado</c:v>
                </c:pt>
              </c:strCache>
            </c:strRef>
          </c:tx>
          <c:spPr>
            <a:solidFill>
              <a:srgbClr val="FFCC66"/>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Dat_01!$C$219:$O$219</c:f>
              <c:numCache>
                <c:formatCode>#,##0.0</c:formatCode>
                <c:ptCount val="13"/>
                <c:pt idx="0">
                  <c:v>30465.23</c:v>
                </c:pt>
                <c:pt idx="1">
                  <c:v>26552.251</c:v>
                </c:pt>
                <c:pt idx="2">
                  <c:v>33915.699999999997</c:v>
                </c:pt>
                <c:pt idx="3">
                  <c:v>38070.457999999999</c:v>
                </c:pt>
                <c:pt idx="4">
                  <c:v>42667.476000000002</c:v>
                </c:pt>
                <c:pt idx="5">
                  <c:v>78421.95</c:v>
                </c:pt>
                <c:pt idx="6">
                  <c:v>87805.447</c:v>
                </c:pt>
                <c:pt idx="7">
                  <c:v>30848.534</c:v>
                </c:pt>
                <c:pt idx="8">
                  <c:v>16612.3</c:v>
                </c:pt>
                <c:pt idx="9">
                  <c:v>9449.5499999999993</c:v>
                </c:pt>
                <c:pt idx="10">
                  <c:v>34376.15</c:v>
                </c:pt>
                <c:pt idx="11">
                  <c:v>27134.55</c:v>
                </c:pt>
                <c:pt idx="12">
                  <c:v>23693.05</c:v>
                </c:pt>
              </c:numCache>
            </c:numRef>
          </c:val>
          <c:extLst>
            <c:ext xmlns:c16="http://schemas.microsoft.com/office/drawing/2014/chart" uri="{C3380CC4-5D6E-409C-BE32-E72D297353CC}">
              <c16:uniqueId val="{00000001-BED9-452D-8454-5CC367FCBEF2}"/>
            </c:ext>
          </c:extLst>
        </c:ser>
        <c:ser>
          <c:idx val="4"/>
          <c:order val="3"/>
          <c:tx>
            <c:strRef>
              <c:f>Dat_01!$B$220</c:f>
              <c:strCache>
                <c:ptCount val="1"/>
                <c:pt idx="0">
                  <c:v>Cogeneración</c:v>
                </c:pt>
              </c:strCache>
            </c:strRef>
          </c:tx>
          <c:spPr>
            <a:solidFill>
              <a:srgbClr val="CFA2CA"/>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Dat_01!$C$220:$O$220</c:f>
              <c:numCache>
                <c:formatCode>#,##0.0</c:formatCode>
                <c:ptCount val="13"/>
                <c:pt idx="0">
                  <c:v>464.19200000000001</c:v>
                </c:pt>
                <c:pt idx="1">
                  <c:v>423.447</c:v>
                </c:pt>
                <c:pt idx="2">
                  <c:v>758.50800000000004</c:v>
                </c:pt>
                <c:pt idx="3">
                  <c:v>689.47500000000002</c:v>
                </c:pt>
                <c:pt idx="4">
                  <c:v>935.173</c:v>
                </c:pt>
                <c:pt idx="5">
                  <c:v>668.6</c:v>
                </c:pt>
                <c:pt idx="6">
                  <c:v>993.53399999999999</c:v>
                </c:pt>
                <c:pt idx="7">
                  <c:v>1360.5</c:v>
                </c:pt>
                <c:pt idx="8">
                  <c:v>1568.95</c:v>
                </c:pt>
                <c:pt idx="9">
                  <c:v>863.15</c:v>
                </c:pt>
                <c:pt idx="10">
                  <c:v>366.5</c:v>
                </c:pt>
                <c:pt idx="11">
                  <c:v>941.3</c:v>
                </c:pt>
                <c:pt idx="12">
                  <c:v>409.5</c:v>
                </c:pt>
              </c:numCache>
            </c:numRef>
          </c:val>
          <c:extLst>
            <c:ext xmlns:c16="http://schemas.microsoft.com/office/drawing/2014/chart" uri="{C3380CC4-5D6E-409C-BE32-E72D297353CC}">
              <c16:uniqueId val="{00000002-BED9-452D-8454-5CC367FCBEF2}"/>
            </c:ext>
          </c:extLst>
        </c:ser>
        <c:ser>
          <c:idx val="5"/>
          <c:order val="4"/>
          <c:tx>
            <c:strRef>
              <c:f>Dat_01!$B$221</c:f>
              <c:strCache>
                <c:ptCount val="1"/>
                <c:pt idx="0">
                  <c:v>Consumo Bombeo</c:v>
                </c:pt>
              </c:strCache>
            </c:strRef>
          </c:tx>
          <c:spPr>
            <a:solidFill>
              <a:srgbClr val="2C4D75"/>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Dat_01!$C$221:$O$221</c:f>
              <c:numCache>
                <c:formatCode>#,##0.0</c:formatCode>
                <c:ptCount val="13"/>
                <c:pt idx="0">
                  <c:v>38344.226999999999</c:v>
                </c:pt>
                <c:pt idx="1">
                  <c:v>45577.822999999997</c:v>
                </c:pt>
                <c:pt idx="2">
                  <c:v>54566.771000000001</c:v>
                </c:pt>
                <c:pt idx="3">
                  <c:v>41349.216999999997</c:v>
                </c:pt>
                <c:pt idx="4">
                  <c:v>35243.148999999998</c:v>
                </c:pt>
                <c:pt idx="5">
                  <c:v>53314.275000000001</c:v>
                </c:pt>
                <c:pt idx="6">
                  <c:v>76705.798999999999</c:v>
                </c:pt>
                <c:pt idx="7">
                  <c:v>53970.15</c:v>
                </c:pt>
                <c:pt idx="8">
                  <c:v>44515.75</c:v>
                </c:pt>
                <c:pt idx="9">
                  <c:v>21756.775000000001</c:v>
                </c:pt>
                <c:pt idx="10">
                  <c:v>9671.85</c:v>
                </c:pt>
                <c:pt idx="11">
                  <c:v>22367.341</c:v>
                </c:pt>
                <c:pt idx="12">
                  <c:v>22439.35</c:v>
                </c:pt>
              </c:numCache>
            </c:numRef>
          </c:val>
          <c:extLst>
            <c:ext xmlns:c16="http://schemas.microsoft.com/office/drawing/2014/chart" uri="{C3380CC4-5D6E-409C-BE32-E72D297353CC}">
              <c16:uniqueId val="{00000003-BED9-452D-8454-5CC367FCBEF2}"/>
            </c:ext>
          </c:extLst>
        </c:ser>
        <c:ser>
          <c:idx val="7"/>
          <c:order val="5"/>
          <c:tx>
            <c:strRef>
              <c:f>Dat_01!$B$223</c:f>
              <c:strCache>
                <c:ptCount val="1"/>
                <c:pt idx="0">
                  <c:v>Eólica</c:v>
                </c:pt>
              </c:strCache>
            </c:strRef>
          </c:tx>
          <c:spPr>
            <a:solidFill>
              <a:srgbClr val="70AD47"/>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Dat_01!$C$223:$O$223</c:f>
              <c:numCache>
                <c:formatCode>#,##0.0</c:formatCode>
                <c:ptCount val="13"/>
                <c:pt idx="0">
                  <c:v>34129.855000000003</c:v>
                </c:pt>
                <c:pt idx="1">
                  <c:v>73676.551000000007</c:v>
                </c:pt>
                <c:pt idx="2">
                  <c:v>80386.748999999996</c:v>
                </c:pt>
                <c:pt idx="3">
                  <c:v>42290.15</c:v>
                </c:pt>
                <c:pt idx="4">
                  <c:v>50300.607000000004</c:v>
                </c:pt>
                <c:pt idx="5">
                  <c:v>95848.875</c:v>
                </c:pt>
                <c:pt idx="6">
                  <c:v>82469.11</c:v>
                </c:pt>
                <c:pt idx="7">
                  <c:v>172995.63699999999</c:v>
                </c:pt>
                <c:pt idx="8">
                  <c:v>130290.417</c:v>
                </c:pt>
                <c:pt idx="9">
                  <c:v>60074.966999999997</c:v>
                </c:pt>
                <c:pt idx="10">
                  <c:v>26082.375</c:v>
                </c:pt>
                <c:pt idx="11">
                  <c:v>69061.966</c:v>
                </c:pt>
                <c:pt idx="12">
                  <c:v>52735.925999999999</c:v>
                </c:pt>
              </c:numCache>
            </c:numRef>
          </c:val>
          <c:extLst>
            <c:ext xmlns:c16="http://schemas.microsoft.com/office/drawing/2014/chart" uri="{C3380CC4-5D6E-409C-BE32-E72D297353CC}">
              <c16:uniqueId val="{00000004-BED9-452D-8454-5CC367FCBEF2}"/>
            </c:ext>
          </c:extLst>
        </c:ser>
        <c:ser>
          <c:idx val="8"/>
          <c:order val="6"/>
          <c:tx>
            <c:strRef>
              <c:f>Dat_01!$B$224</c:f>
              <c:strCache>
                <c:ptCount val="1"/>
                <c:pt idx="0">
                  <c:v>Turbina Vapor, Gas y Fuel</c:v>
                </c:pt>
              </c:strCache>
              <c:extLst xmlns:c15="http://schemas.microsoft.com/office/drawing/2012/chart"/>
            </c:strRef>
          </c:tx>
          <c:spPr>
            <a:solidFill>
              <a:srgbClr val="BA0F16"/>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extLst xmlns:c15="http://schemas.microsoft.com/office/drawing/2012/chart"/>
            </c:strRef>
          </c:cat>
          <c:val>
            <c:numRef>
              <c:f>Dat_01!$C$224:$O$224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extLst xmlns:c15="http://schemas.microsoft.com/office/drawing/2012/chart"/>
            </c:numRef>
          </c:val>
          <c:extLst xmlns:c15="http://schemas.microsoft.com/office/drawing/2012/chart">
            <c:ext xmlns:c16="http://schemas.microsoft.com/office/drawing/2014/chart" uri="{C3380CC4-5D6E-409C-BE32-E72D297353CC}">
              <c16:uniqueId val="{0000000C-BED9-452D-8454-5CC367FCBEF2}"/>
            </c:ext>
          </c:extLst>
        </c:ser>
        <c:ser>
          <c:idx val="9"/>
          <c:order val="7"/>
          <c:tx>
            <c:strRef>
              <c:f>Dat_01!$B$226</c:f>
              <c:strCache>
                <c:ptCount val="1"/>
                <c:pt idx="0">
                  <c:v>Hidráulica</c:v>
                </c:pt>
              </c:strCache>
            </c:strRef>
          </c:tx>
          <c:spPr>
            <a:solidFill>
              <a:srgbClr val="0090D1"/>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Dat_01!$C$226:$O$226</c:f>
              <c:numCache>
                <c:formatCode>#,##0.0</c:formatCode>
                <c:ptCount val="13"/>
                <c:pt idx="0">
                  <c:v>20826.226999999999</c:v>
                </c:pt>
                <c:pt idx="1">
                  <c:v>23009.672999999999</c:v>
                </c:pt>
                <c:pt idx="2">
                  <c:v>45128.546000000002</c:v>
                </c:pt>
                <c:pt idx="3">
                  <c:v>28604.075000000001</c:v>
                </c:pt>
                <c:pt idx="4">
                  <c:v>51705.65</c:v>
                </c:pt>
                <c:pt idx="5">
                  <c:v>50536.925000000003</c:v>
                </c:pt>
                <c:pt idx="6">
                  <c:v>84995.438999999998</c:v>
                </c:pt>
                <c:pt idx="7">
                  <c:v>62327.576000000001</c:v>
                </c:pt>
                <c:pt idx="8">
                  <c:v>66805.399999999994</c:v>
                </c:pt>
                <c:pt idx="9">
                  <c:v>38696.474999999999</c:v>
                </c:pt>
                <c:pt idx="10">
                  <c:v>56107.25</c:v>
                </c:pt>
                <c:pt idx="11">
                  <c:v>28608.517</c:v>
                </c:pt>
                <c:pt idx="12">
                  <c:v>11833.25</c:v>
                </c:pt>
              </c:numCache>
            </c:numRef>
          </c:val>
          <c:extLst>
            <c:ext xmlns:c16="http://schemas.microsoft.com/office/drawing/2014/chart" uri="{C3380CC4-5D6E-409C-BE32-E72D297353CC}">
              <c16:uniqueId val="{00000005-BED9-452D-8454-5CC367FCBEF2}"/>
            </c:ext>
          </c:extLst>
        </c:ser>
        <c:ser>
          <c:idx val="10"/>
          <c:order val="8"/>
          <c:tx>
            <c:strRef>
              <c:f>Dat_01!$B$228</c:f>
              <c:strCache>
                <c:ptCount val="1"/>
                <c:pt idx="0">
                  <c:v>Internacionales</c:v>
                </c:pt>
              </c:strCache>
              <c:extLst xmlns:c15="http://schemas.microsoft.com/office/drawing/2012/chart"/>
            </c:strRef>
          </c:tx>
          <c:spPr>
            <a:solidFill>
              <a:srgbClr val="E5DDB7"/>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extLst xmlns:c15="http://schemas.microsoft.com/office/drawing/2012/chart"/>
            </c:strRef>
          </c:cat>
          <c:val>
            <c:numRef>
              <c:f>Dat_01!$C$228:$O$228</c:f>
              <c:numCache>
                <c:formatCode>#,##0.0</c:formatCode>
                <c:ptCount val="13"/>
                <c:pt idx="0">
                  <c:v>0</c:v>
                </c:pt>
                <c:pt idx="1">
                  <c:v>0</c:v>
                </c:pt>
                <c:pt idx="2">
                  <c:v>0</c:v>
                </c:pt>
                <c:pt idx="3">
                  <c:v>0</c:v>
                </c:pt>
                <c:pt idx="4">
                  <c:v>6955.3249999999998</c:v>
                </c:pt>
                <c:pt idx="5">
                  <c:v>26087.775000000001</c:v>
                </c:pt>
                <c:pt idx="6">
                  <c:v>33505.375</c:v>
                </c:pt>
                <c:pt idx="7">
                  <c:v>36555.050000000003</c:v>
                </c:pt>
                <c:pt idx="8">
                  <c:v>42367.775000000001</c:v>
                </c:pt>
                <c:pt idx="9">
                  <c:v>23024.25</c:v>
                </c:pt>
                <c:pt idx="10">
                  <c:v>44160.5</c:v>
                </c:pt>
                <c:pt idx="11">
                  <c:v>32261.5</c:v>
                </c:pt>
                <c:pt idx="12">
                  <c:v>35004.25</c:v>
                </c:pt>
              </c:numCache>
              <c:extLst xmlns:c15="http://schemas.microsoft.com/office/drawing/2012/chart"/>
            </c:numRef>
          </c:val>
          <c:extLst xmlns:c15="http://schemas.microsoft.com/office/drawing/2012/chart">
            <c:ext xmlns:c16="http://schemas.microsoft.com/office/drawing/2014/chart" uri="{C3380CC4-5D6E-409C-BE32-E72D297353CC}">
              <c16:uniqueId val="{0000000D-BED9-452D-8454-5CC367FCBEF2}"/>
            </c:ext>
          </c:extLst>
        </c:ser>
        <c:ser>
          <c:idx val="11"/>
          <c:order val="9"/>
          <c:tx>
            <c:strRef>
              <c:f>Dat_01!$B$229</c:f>
              <c:strCache>
                <c:ptCount val="1"/>
                <c:pt idx="0">
                  <c:v>Nuclear</c:v>
                </c:pt>
              </c:strCache>
            </c:strRef>
          </c:tx>
          <c:spPr>
            <a:solidFill>
              <a:srgbClr val="324394"/>
            </a:solidFill>
            <a:ln>
              <a:noFill/>
            </a:ln>
            <a:effectLst/>
          </c:spPr>
          <c:invertIfNegative val="0"/>
          <c:dPt>
            <c:idx val="0"/>
            <c:invertIfNegative val="0"/>
            <c:bubble3D val="0"/>
            <c:extLst>
              <c:ext xmlns:c16="http://schemas.microsoft.com/office/drawing/2014/chart" uri="{C3380CC4-5D6E-409C-BE32-E72D297353CC}">
                <c16:uniqueId val="{00000000-B54C-4622-B2B4-5566771477CD}"/>
              </c:ext>
            </c:extLst>
          </c:dPt>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Dat_01!$C$229:$O$229</c:f>
              <c:numCache>
                <c:formatCode>#,##0.0</c:formatCode>
                <c:ptCount val="13"/>
                <c:pt idx="0">
                  <c:v>0.4</c:v>
                </c:pt>
                <c:pt idx="1">
                  <c:v>140</c:v>
                </c:pt>
                <c:pt idx="2">
                  <c:v>0</c:v>
                </c:pt>
                <c:pt idx="3">
                  <c:v>176.42500000000001</c:v>
                </c:pt>
                <c:pt idx="4">
                  <c:v>415</c:v>
                </c:pt>
                <c:pt idx="5">
                  <c:v>798.25</c:v>
                </c:pt>
                <c:pt idx="6">
                  <c:v>703.5</c:v>
                </c:pt>
                <c:pt idx="7">
                  <c:v>479.5</c:v>
                </c:pt>
                <c:pt idx="8">
                  <c:v>203.75</c:v>
                </c:pt>
                <c:pt idx="9">
                  <c:v>2702</c:v>
                </c:pt>
                <c:pt idx="10">
                  <c:v>200.75</c:v>
                </c:pt>
                <c:pt idx="11">
                  <c:v>0.5</c:v>
                </c:pt>
                <c:pt idx="12">
                  <c:v>8</c:v>
                </c:pt>
              </c:numCache>
            </c:numRef>
          </c:val>
          <c:extLst>
            <c:ext xmlns:c16="http://schemas.microsoft.com/office/drawing/2014/chart" uri="{C3380CC4-5D6E-409C-BE32-E72D297353CC}">
              <c16:uniqueId val="{00000006-BED9-452D-8454-5CC367FCBEF2}"/>
            </c:ext>
          </c:extLst>
        </c:ser>
        <c:ser>
          <c:idx val="12"/>
          <c:order val="10"/>
          <c:tx>
            <c:strRef>
              <c:f>Dat_01!$B$230</c:f>
              <c:strCache>
                <c:ptCount val="1"/>
                <c:pt idx="0">
                  <c:v>Otras Renovables</c:v>
                </c:pt>
              </c:strCache>
            </c:strRef>
          </c:tx>
          <c:spPr>
            <a:solidFill>
              <a:srgbClr val="9A5CBC"/>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Dat_01!$C$230:$O$230</c:f>
              <c:numCache>
                <c:formatCode>#,##0.0</c:formatCode>
                <c:ptCount val="13"/>
                <c:pt idx="0">
                  <c:v>122.11</c:v>
                </c:pt>
                <c:pt idx="1">
                  <c:v>266.00099999999998</c:v>
                </c:pt>
                <c:pt idx="2">
                  <c:v>214.92400000000001</c:v>
                </c:pt>
                <c:pt idx="3">
                  <c:v>268.07499999999999</c:v>
                </c:pt>
                <c:pt idx="4">
                  <c:v>35.75</c:v>
                </c:pt>
                <c:pt idx="5">
                  <c:v>234</c:v>
                </c:pt>
                <c:pt idx="6">
                  <c:v>980.66600000000005</c:v>
                </c:pt>
                <c:pt idx="7">
                  <c:v>1739.683</c:v>
                </c:pt>
                <c:pt idx="8">
                  <c:v>3896.5160000000001</c:v>
                </c:pt>
                <c:pt idx="9">
                  <c:v>4437.6490000000003</c:v>
                </c:pt>
                <c:pt idx="10">
                  <c:v>3327.3</c:v>
                </c:pt>
                <c:pt idx="11">
                  <c:v>2881.4830000000002</c:v>
                </c:pt>
                <c:pt idx="12">
                  <c:v>2162.366</c:v>
                </c:pt>
              </c:numCache>
            </c:numRef>
          </c:val>
          <c:extLst>
            <c:ext xmlns:c16="http://schemas.microsoft.com/office/drawing/2014/chart" uri="{C3380CC4-5D6E-409C-BE32-E72D297353CC}">
              <c16:uniqueId val="{00000007-BED9-452D-8454-5CC367FCBEF2}"/>
            </c:ext>
          </c:extLst>
        </c:ser>
        <c:ser>
          <c:idx val="13"/>
          <c:order val="11"/>
          <c:tx>
            <c:strRef>
              <c:f>Dat_01!$B$231</c:f>
              <c:strCache>
                <c:ptCount val="1"/>
                <c:pt idx="0">
                  <c:v>Residuos no Renovables</c:v>
                </c:pt>
              </c:strCache>
              <c:extLst xmlns:c15="http://schemas.microsoft.com/office/drawing/2012/chart"/>
            </c:strRef>
          </c:tx>
          <c:spPr>
            <a:solidFill>
              <a:schemeClr val="tx1">
                <a:lumMod val="65000"/>
                <a:lumOff val="35000"/>
              </a:schemeClr>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extLst xmlns:c15="http://schemas.microsoft.com/office/drawing/2012/chart"/>
            </c:strRef>
          </c:cat>
          <c:val>
            <c:numRef>
              <c:f>Dat_01!$C$231:$O$231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extLst xmlns:c15="http://schemas.microsoft.com/office/drawing/2012/chart"/>
            </c:numRef>
          </c:val>
          <c:extLst xmlns:c15="http://schemas.microsoft.com/office/drawing/2012/chart">
            <c:ext xmlns:c16="http://schemas.microsoft.com/office/drawing/2014/chart" uri="{C3380CC4-5D6E-409C-BE32-E72D297353CC}">
              <c16:uniqueId val="{0000000E-BED9-452D-8454-5CC367FCBEF2}"/>
            </c:ext>
          </c:extLst>
        </c:ser>
        <c:ser>
          <c:idx val="14"/>
          <c:order val="12"/>
          <c:tx>
            <c:strRef>
              <c:f>Dat_01!$B$232</c:f>
              <c:strCache>
                <c:ptCount val="1"/>
                <c:pt idx="0">
                  <c:v>Solar fotovoltaica</c:v>
                </c:pt>
              </c:strCache>
            </c:strRef>
          </c:tx>
          <c:spPr>
            <a:solidFill>
              <a:srgbClr val="EE6112"/>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Dat_01!$C$232:$O$232</c:f>
              <c:numCache>
                <c:formatCode>#,##0.0</c:formatCode>
                <c:ptCount val="13"/>
                <c:pt idx="0">
                  <c:v>23626.941999999999</c:v>
                </c:pt>
                <c:pt idx="1">
                  <c:v>44275.593999999997</c:v>
                </c:pt>
                <c:pt idx="2">
                  <c:v>20296.477999999999</c:v>
                </c:pt>
                <c:pt idx="3">
                  <c:v>10034.625</c:v>
                </c:pt>
                <c:pt idx="4">
                  <c:v>11185.225</c:v>
                </c:pt>
                <c:pt idx="5">
                  <c:v>23892.075000000001</c:v>
                </c:pt>
                <c:pt idx="6">
                  <c:v>63591.995999999999</c:v>
                </c:pt>
                <c:pt idx="7">
                  <c:v>87722.982999999993</c:v>
                </c:pt>
                <c:pt idx="8">
                  <c:v>104779.283</c:v>
                </c:pt>
                <c:pt idx="9">
                  <c:v>99194.45</c:v>
                </c:pt>
                <c:pt idx="10">
                  <c:v>21212.375</c:v>
                </c:pt>
                <c:pt idx="11">
                  <c:v>83232.362999999998</c:v>
                </c:pt>
                <c:pt idx="12">
                  <c:v>66270.042000000001</c:v>
                </c:pt>
              </c:numCache>
            </c:numRef>
          </c:val>
          <c:extLst xmlns:c15="http://schemas.microsoft.com/office/drawing/2012/chart">
            <c:ext xmlns:c16="http://schemas.microsoft.com/office/drawing/2014/chart" uri="{C3380CC4-5D6E-409C-BE32-E72D297353CC}">
              <c16:uniqueId val="{0000000F-BED9-452D-8454-5CC367FCBEF2}"/>
            </c:ext>
          </c:extLst>
        </c:ser>
        <c:ser>
          <c:idx val="15"/>
          <c:order val="13"/>
          <c:tx>
            <c:strRef>
              <c:f>Dat_01!$B$233</c:f>
              <c:strCache>
                <c:ptCount val="1"/>
                <c:pt idx="0">
                  <c:v>Solar térmica</c:v>
                </c:pt>
              </c:strCache>
            </c:strRef>
          </c:tx>
          <c:spPr>
            <a:solidFill>
              <a:srgbClr val="FF0000"/>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Dat_01!$C$233:$O$233</c:f>
              <c:numCache>
                <c:formatCode>#,##0.0</c:formatCode>
                <c:ptCount val="13"/>
                <c:pt idx="0">
                  <c:v>300.3</c:v>
                </c:pt>
                <c:pt idx="1">
                  <c:v>851.55</c:v>
                </c:pt>
                <c:pt idx="2">
                  <c:v>1234.2249999999999</c:v>
                </c:pt>
                <c:pt idx="3">
                  <c:v>817.65</c:v>
                </c:pt>
                <c:pt idx="4">
                  <c:v>1436.25</c:v>
                </c:pt>
                <c:pt idx="5">
                  <c:v>2461.75</c:v>
                </c:pt>
                <c:pt idx="6">
                  <c:v>2296.4499999999998</c:v>
                </c:pt>
                <c:pt idx="7">
                  <c:v>2136.5</c:v>
                </c:pt>
                <c:pt idx="8">
                  <c:v>679</c:v>
                </c:pt>
                <c:pt idx="9">
                  <c:v>1243.3</c:v>
                </c:pt>
                <c:pt idx="10">
                  <c:v>979.75</c:v>
                </c:pt>
                <c:pt idx="11">
                  <c:v>771.75</c:v>
                </c:pt>
                <c:pt idx="12">
                  <c:v>1365</c:v>
                </c:pt>
              </c:numCache>
            </c:numRef>
          </c:val>
          <c:extLst xmlns:c15="http://schemas.microsoft.com/office/drawing/2012/chart">
            <c:ext xmlns:c16="http://schemas.microsoft.com/office/drawing/2014/chart" uri="{C3380CC4-5D6E-409C-BE32-E72D297353CC}">
              <c16:uniqueId val="{00000010-BED9-452D-8454-5CC367FCBEF2}"/>
            </c:ext>
          </c:extLst>
        </c:ser>
        <c:ser>
          <c:idx val="16"/>
          <c:order val="14"/>
          <c:tx>
            <c:strRef>
              <c:f>Dat_01!$B$234</c:f>
              <c:strCache>
                <c:ptCount val="1"/>
                <c:pt idx="0">
                  <c:v>Turbinación bombeo</c:v>
                </c:pt>
              </c:strCache>
            </c:strRef>
          </c:tx>
          <c:spPr>
            <a:solidFill>
              <a:srgbClr val="95B3D7"/>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Dat_01!$C$234:$O$234</c:f>
              <c:numCache>
                <c:formatCode>#,##0.0</c:formatCode>
                <c:ptCount val="13"/>
                <c:pt idx="0">
                  <c:v>8058.9750000000004</c:v>
                </c:pt>
                <c:pt idx="1">
                  <c:v>17383.25</c:v>
                </c:pt>
                <c:pt idx="2">
                  <c:v>19175.525000000001</c:v>
                </c:pt>
                <c:pt idx="3">
                  <c:v>10980.45</c:v>
                </c:pt>
                <c:pt idx="4">
                  <c:v>9205.7000000000007</c:v>
                </c:pt>
                <c:pt idx="5">
                  <c:v>28796.799999999999</c:v>
                </c:pt>
                <c:pt idx="6">
                  <c:v>30971.184000000001</c:v>
                </c:pt>
                <c:pt idx="7">
                  <c:v>23083.05</c:v>
                </c:pt>
                <c:pt idx="8">
                  <c:v>24323</c:v>
                </c:pt>
                <c:pt idx="9">
                  <c:v>15956.517</c:v>
                </c:pt>
                <c:pt idx="10">
                  <c:v>10532.25</c:v>
                </c:pt>
                <c:pt idx="11">
                  <c:v>10383.450000000001</c:v>
                </c:pt>
                <c:pt idx="12">
                  <c:v>10664.65</c:v>
                </c:pt>
              </c:numCache>
            </c:numRef>
          </c:val>
          <c:extLst>
            <c:ext xmlns:c16="http://schemas.microsoft.com/office/drawing/2014/chart" uri="{C3380CC4-5D6E-409C-BE32-E72D297353CC}">
              <c16:uniqueId val="{00000008-BED9-452D-8454-5CC367FCBEF2}"/>
            </c:ext>
          </c:extLst>
        </c:ser>
        <c:ser>
          <c:idx val="18"/>
          <c:order val="16"/>
          <c:tx>
            <c:strRef>
              <c:f>Dat_01!$B$225</c:f>
              <c:strCache>
                <c:ptCount val="1"/>
                <c:pt idx="0">
                  <c:v>Hibridación</c:v>
                </c:pt>
              </c:strCache>
            </c:strRef>
          </c:tx>
          <c:spPr>
            <a:solidFill>
              <a:srgbClr val="28A064"/>
            </a:solidFill>
            <a:ln>
              <a:noFill/>
            </a:ln>
            <a:effectLst/>
          </c:spPr>
          <c:invertIfNegative val="0"/>
          <c:val>
            <c:numRef>
              <c:f>Dat_01!$C$225:$O$225</c:f>
              <c:numCache>
                <c:formatCode>#,##0.0</c:formatCode>
                <c:ptCount val="13"/>
                <c:pt idx="0">
                  <c:v>0</c:v>
                </c:pt>
                <c:pt idx="1">
                  <c:v>0</c:v>
                </c:pt>
                <c:pt idx="2">
                  <c:v>0</c:v>
                </c:pt>
                <c:pt idx="3">
                  <c:v>0</c:v>
                </c:pt>
                <c:pt idx="4">
                  <c:v>0</c:v>
                </c:pt>
                <c:pt idx="5">
                  <c:v>0</c:v>
                </c:pt>
                <c:pt idx="6">
                  <c:v>0</c:v>
                </c:pt>
                <c:pt idx="7">
                  <c:v>0</c:v>
                </c:pt>
                <c:pt idx="8">
                  <c:v>22.75</c:v>
                </c:pt>
                <c:pt idx="9">
                  <c:v>22</c:v>
                </c:pt>
                <c:pt idx="10">
                  <c:v>0</c:v>
                </c:pt>
                <c:pt idx="11">
                  <c:v>0</c:v>
                </c:pt>
                <c:pt idx="12">
                  <c:v>0</c:v>
                </c:pt>
              </c:numCache>
            </c:numRef>
          </c:val>
          <c:extLst>
            <c:ext xmlns:c16="http://schemas.microsoft.com/office/drawing/2014/chart" uri="{C3380CC4-5D6E-409C-BE32-E72D297353CC}">
              <c16:uniqueId val="{00000001-C300-474D-9580-6BA5FFE9A1A7}"/>
            </c:ext>
          </c:extLst>
        </c:ser>
        <c:dLbls>
          <c:showLegendKey val="0"/>
          <c:showVal val="0"/>
          <c:showCatName val="0"/>
          <c:showSerName val="0"/>
          <c:showPercent val="0"/>
          <c:showBubbleSize val="0"/>
        </c:dLbls>
        <c:gapWidth val="150"/>
        <c:overlap val="100"/>
        <c:axId val="403148848"/>
        <c:axId val="403149240"/>
        <c:extLst>
          <c:ext xmlns:c15="http://schemas.microsoft.com/office/drawing/2012/chart" uri="{02D57815-91ED-43cb-92C2-25804820EDAC}">
            <c15:filteredBarSeries>
              <c15:ser>
                <c:idx val="1"/>
                <c:order val="0"/>
                <c:tx>
                  <c:strRef>
                    <c:extLst>
                      <c:ext uri="{02D57815-91ED-43cb-92C2-25804820EDAC}">
                        <c15:formulaRef>
                          <c15:sqref>Dat_01!$B$217</c15:sqref>
                        </c15:formulaRef>
                      </c:ext>
                    </c:extLst>
                    <c:strCache>
                      <c:ptCount val="1"/>
                      <c:pt idx="0">
                        <c:v>Adquisición de Energía</c:v>
                      </c:pt>
                    </c:strCache>
                  </c:strRef>
                </c:tx>
                <c:spPr>
                  <a:solidFill>
                    <a:srgbClr val="FFDD00"/>
                  </a:solidFill>
                  <a:ln>
                    <a:noFill/>
                  </a:ln>
                  <a:effectLst/>
                </c:spPr>
                <c:invertIfNegative val="0"/>
                <c:cat>
                  <c:strRef>
                    <c:extLst>
                      <c:ext uri="{02D57815-91ED-43cb-92C2-25804820EDAC}">
                        <c15:formulaRef>
                          <c15:sqref>Dat_01!$C$194:$O$194</c15:sqref>
                        </c15:formulaRef>
                      </c:ext>
                    </c:extLst>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extLst>
                      <c:ext uri="{02D57815-91ED-43cb-92C2-25804820EDAC}">
                        <c15:formulaRef>
                          <c15:sqref>Dat_01!$C$217:$O$217</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BED9-452D-8454-5CC367FCBEF2}"/>
                  </c:ext>
                </c:extLst>
              </c15:ser>
            </c15:filteredBarSeries>
            <c15:filteredBarSeries>
              <c15:ser>
                <c:idx val="6"/>
                <c:order val="15"/>
                <c:tx>
                  <c:strRef>
                    <c:extLst xmlns:c15="http://schemas.microsoft.com/office/drawing/2012/chart">
                      <c:ext xmlns:c15="http://schemas.microsoft.com/office/drawing/2012/chart" uri="{02D57815-91ED-43cb-92C2-25804820EDAC}">
                        <c15:formulaRef>
                          <c15:sqref>Dat_01!$B$227</c15:sqref>
                        </c15:formulaRef>
                      </c:ext>
                    </c:extLst>
                    <c:strCache>
                      <c:ptCount val="1"/>
                      <c:pt idx="0">
                        <c:v>Instrumentales DESV</c:v>
                      </c:pt>
                    </c:strCache>
                  </c:strRef>
                </c:tx>
                <c:spPr>
                  <a:solidFill>
                    <a:schemeClr val="accent1">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Dat_01!$C$227:$O$227</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3-658E-41E0-8124-49BFF7EB4A61}"/>
                  </c:ext>
                </c:extLst>
              </c15:ser>
            </c15:filteredBarSeries>
          </c:ext>
        </c:extLst>
      </c:barChart>
      <c:lineChart>
        <c:grouping val="standard"/>
        <c:varyColors val="0"/>
        <c:ser>
          <c:idx val="17"/>
          <c:order val="17"/>
          <c:tx>
            <c:v>Precio medio subir</c:v>
          </c:tx>
          <c:spPr>
            <a:ln w="28575" cap="rnd">
              <a:solidFill>
                <a:srgbClr val="004563"/>
              </a:solidFill>
              <a:round/>
            </a:ln>
            <a:effectLst/>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9-BED9-452D-8454-5CC367FCBEF2}"/>
            </c:ext>
          </c:extLst>
        </c:ser>
        <c:ser>
          <c:idx val="0"/>
          <c:order val="18"/>
          <c:tx>
            <c:v>Precio medio bajar</c:v>
          </c:tx>
          <c:spPr>
            <a:ln w="28575" cap="rnd">
              <a:solidFill>
                <a:srgbClr val="404040"/>
              </a:solidFill>
              <a:round/>
            </a:ln>
            <a:effectLst/>
          </c:spPr>
          <c:marker>
            <c:symbol val="none"/>
          </c:marker>
          <c:val>
            <c:numRef>
              <c:f>Dat_01!$C$420:$O$420</c:f>
              <c:numCache>
                <c:formatCode>#,##0.00</c:formatCode>
                <c:ptCount val="13"/>
                <c:pt idx="0">
                  <c:v>35.264518477117697</c:v>
                </c:pt>
                <c:pt idx="1">
                  <c:v>14.2514126045167</c:v>
                </c:pt>
                <c:pt idx="2">
                  <c:v>14.1504108036867</c:v>
                </c:pt>
                <c:pt idx="3">
                  <c:v>47.966835835845302</c:v>
                </c:pt>
                <c:pt idx="4">
                  <c:v>55.205082878229703</c:v>
                </c:pt>
                <c:pt idx="5">
                  <c:v>45.334035121379898</c:v>
                </c:pt>
                <c:pt idx="6">
                  <c:v>37.849235561131003</c:v>
                </c:pt>
                <c:pt idx="7">
                  <c:v>1.73646640582874</c:v>
                </c:pt>
                <c:pt idx="8">
                  <c:v>-3.2239345521952498</c:v>
                </c:pt>
                <c:pt idx="9">
                  <c:v>-4.1235086641192602</c:v>
                </c:pt>
                <c:pt idx="10">
                  <c:v>59.358578694159803</c:v>
                </c:pt>
                <c:pt idx="11">
                  <c:v>18.3845955492576</c:v>
                </c:pt>
                <c:pt idx="12">
                  <c:v>15.012926886109801</c:v>
                </c:pt>
              </c:numCache>
            </c:numRef>
          </c:val>
          <c:smooth val="0"/>
          <c:extLst>
            <c:ext xmlns:c16="http://schemas.microsoft.com/office/drawing/2014/chart" uri="{C3380CC4-5D6E-409C-BE32-E72D297353CC}">
              <c16:uniqueId val="{0000000A-BED9-452D-8454-5CC367FCBEF2}"/>
            </c:ext>
          </c:extLst>
        </c:ser>
        <c:dLbls>
          <c:showLegendKey val="0"/>
          <c:showVal val="0"/>
          <c:showCatName val="0"/>
          <c:showSerName val="0"/>
          <c:showPercent val="0"/>
          <c:showBubbleSize val="0"/>
        </c:dLbls>
        <c:marker val="1"/>
        <c:smooth val="0"/>
        <c:axId val="531370712"/>
        <c:axId val="531370320"/>
      </c:lineChart>
      <c:catAx>
        <c:axId val="403148848"/>
        <c:scaling>
          <c:orientation val="minMax"/>
        </c:scaling>
        <c:delete val="1"/>
        <c:axPos val="t"/>
        <c:numFmt formatCode="General" sourceLinked="1"/>
        <c:majorTickMark val="out"/>
        <c:minorTickMark val="none"/>
        <c:tickLblPos val="low"/>
        <c:crossAx val="403149240"/>
        <c:crosses val="autoZero"/>
        <c:auto val="1"/>
        <c:lblAlgn val="ctr"/>
        <c:lblOffset val="100"/>
        <c:noMultiLvlLbl val="0"/>
      </c:catAx>
      <c:valAx>
        <c:axId val="403149240"/>
        <c:scaling>
          <c:orientation val="maxMin"/>
          <c:max val="550000"/>
          <c:min val="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403148848"/>
        <c:crosses val="autoZero"/>
        <c:crossBetween val="between"/>
        <c:majorUnit val="50000"/>
        <c:dispUnits>
          <c:builtInUnit val="thousands"/>
        </c:dispUnits>
      </c:valAx>
      <c:valAx>
        <c:axId val="531370320"/>
        <c:scaling>
          <c:orientation val="maxMin"/>
          <c:max val="160"/>
          <c:min val="-6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0712"/>
        <c:crosses val="max"/>
        <c:crossBetween val="between"/>
        <c:majorUnit val="20"/>
      </c:valAx>
      <c:catAx>
        <c:axId val="531370712"/>
        <c:scaling>
          <c:orientation val="minMax"/>
        </c:scaling>
        <c:delete val="1"/>
        <c:axPos val="t"/>
        <c:numFmt formatCode="General" sourceLinked="1"/>
        <c:majorTickMark val="out"/>
        <c:minorTickMark val="none"/>
        <c:tickLblPos val="nextTo"/>
        <c:crossAx val="531370320"/>
        <c:crosses val="autoZero"/>
        <c:auto val="1"/>
        <c:lblAlgn val="ctr"/>
        <c:lblOffset val="100"/>
        <c:noMultiLvlLbl val="0"/>
      </c:catAx>
      <c:spPr>
        <a:noFill/>
        <a:ln>
          <a:noFill/>
        </a:ln>
        <a:effectLst/>
      </c:spPr>
    </c:plotArea>
    <c:legend>
      <c:legendPos val="b"/>
      <c:layout>
        <c:manualLayout>
          <c:xMode val="edge"/>
          <c:yMode val="edge"/>
          <c:x val="3.7704912466000155E-2"/>
          <c:y val="0.8418846445855972"/>
          <c:w val="0.92593086349012377"/>
          <c:h val="0.1581153554144028"/>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0.17775684317079388"/>
          <c:w val="0.90427766318885094"/>
          <c:h val="0.68155400997916127"/>
        </c:manualLayout>
      </c:layout>
      <c:barChart>
        <c:barDir val="col"/>
        <c:grouping val="stacked"/>
        <c:varyColors val="0"/>
        <c:ser>
          <c:idx val="2"/>
          <c:order val="1"/>
          <c:tx>
            <c:strRef>
              <c:f>Dat_01!$B$199</c:f>
              <c:strCache>
                <c:ptCount val="1"/>
                <c:pt idx="0">
                  <c:v>Carbón</c:v>
                </c:pt>
              </c:strCache>
            </c:strRef>
          </c:tx>
          <c:spPr>
            <a:solidFill>
              <a:srgbClr val="993300"/>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Dat_01!$C$199:$O$199</c:f>
              <c:numCache>
                <c:formatCode>#,##0.0</c:formatCode>
                <c:ptCount val="13"/>
                <c:pt idx="0">
                  <c:v>17.5</c:v>
                </c:pt>
                <c:pt idx="1">
                  <c:v>275.2</c:v>
                </c:pt>
                <c:pt idx="2">
                  <c:v>379.41399999999999</c:v>
                </c:pt>
                <c:pt idx="3">
                  <c:v>960.09100000000001</c:v>
                </c:pt>
                <c:pt idx="4">
                  <c:v>1807.4749999999999</c:v>
                </c:pt>
                <c:pt idx="5">
                  <c:v>485.25</c:v>
                </c:pt>
                <c:pt idx="6">
                  <c:v>155.25</c:v>
                </c:pt>
                <c:pt idx="7">
                  <c:v>34.450000000000003</c:v>
                </c:pt>
                <c:pt idx="8">
                  <c:v>30.05</c:v>
                </c:pt>
                <c:pt idx="9">
                  <c:v>0</c:v>
                </c:pt>
                <c:pt idx="10">
                  <c:v>83.15</c:v>
                </c:pt>
                <c:pt idx="11">
                  <c:v>422.25</c:v>
                </c:pt>
                <c:pt idx="12">
                  <c:v>0</c:v>
                </c:pt>
              </c:numCache>
            </c:numRef>
          </c:val>
          <c:extLst>
            <c:ext xmlns:c16="http://schemas.microsoft.com/office/drawing/2014/chart" uri="{C3380CC4-5D6E-409C-BE32-E72D297353CC}">
              <c16:uniqueId val="{00000000-2655-43B4-8799-F66FBECD481A}"/>
            </c:ext>
          </c:extLst>
        </c:ser>
        <c:ser>
          <c:idx val="3"/>
          <c:order val="2"/>
          <c:tx>
            <c:strRef>
              <c:f>Dat_01!$B$200</c:f>
              <c:strCache>
                <c:ptCount val="1"/>
                <c:pt idx="0">
                  <c:v>Ciclo Combinado</c:v>
                </c:pt>
              </c:strCache>
            </c:strRef>
          </c:tx>
          <c:spPr>
            <a:solidFill>
              <a:srgbClr val="FFCC66"/>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Dat_01!$C$200:$O$200</c:f>
              <c:numCache>
                <c:formatCode>#,##0.0</c:formatCode>
                <c:ptCount val="13"/>
                <c:pt idx="0">
                  <c:v>108037.599</c:v>
                </c:pt>
                <c:pt idx="1">
                  <c:v>71329.876000000004</c:v>
                </c:pt>
                <c:pt idx="2">
                  <c:v>55707.942999999999</c:v>
                </c:pt>
                <c:pt idx="3">
                  <c:v>92005.611000000004</c:v>
                </c:pt>
                <c:pt idx="4">
                  <c:v>149676.72500000001</c:v>
                </c:pt>
                <c:pt idx="5">
                  <c:v>75138.25</c:v>
                </c:pt>
                <c:pt idx="6">
                  <c:v>41086.735000000001</c:v>
                </c:pt>
                <c:pt idx="7">
                  <c:v>42628.800000000003</c:v>
                </c:pt>
                <c:pt idx="8">
                  <c:v>21334.2</c:v>
                </c:pt>
                <c:pt idx="9">
                  <c:v>43474.65</c:v>
                </c:pt>
                <c:pt idx="10">
                  <c:v>226890.22500000001</c:v>
                </c:pt>
                <c:pt idx="11">
                  <c:v>209561.22500000001</c:v>
                </c:pt>
                <c:pt idx="12">
                  <c:v>179282</c:v>
                </c:pt>
              </c:numCache>
            </c:numRef>
          </c:val>
          <c:extLst>
            <c:ext xmlns:c16="http://schemas.microsoft.com/office/drawing/2014/chart" uri="{C3380CC4-5D6E-409C-BE32-E72D297353CC}">
              <c16:uniqueId val="{00000001-2655-43B4-8799-F66FBECD481A}"/>
            </c:ext>
          </c:extLst>
        </c:ser>
        <c:ser>
          <c:idx val="4"/>
          <c:order val="3"/>
          <c:tx>
            <c:strRef>
              <c:f>Dat_01!$B$201</c:f>
              <c:strCache>
                <c:ptCount val="1"/>
                <c:pt idx="0">
                  <c:v>Cogeneración</c:v>
                </c:pt>
              </c:strCache>
            </c:strRef>
          </c:tx>
          <c:spPr>
            <a:solidFill>
              <a:srgbClr val="CFA2CA"/>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Dat_01!$C$201:$O$201</c:f>
              <c:numCache>
                <c:formatCode>#,##0.0</c:formatCode>
                <c:ptCount val="13"/>
                <c:pt idx="0">
                  <c:v>23.632999999999999</c:v>
                </c:pt>
                <c:pt idx="1">
                  <c:v>8.4250000000000007</c:v>
                </c:pt>
                <c:pt idx="2">
                  <c:v>4.7</c:v>
                </c:pt>
                <c:pt idx="3">
                  <c:v>15.625</c:v>
                </c:pt>
                <c:pt idx="4">
                  <c:v>16.25</c:v>
                </c:pt>
                <c:pt idx="5">
                  <c:v>3</c:v>
                </c:pt>
                <c:pt idx="6">
                  <c:v>0</c:v>
                </c:pt>
                <c:pt idx="7">
                  <c:v>140</c:v>
                </c:pt>
                <c:pt idx="8">
                  <c:v>52.5</c:v>
                </c:pt>
                <c:pt idx="9">
                  <c:v>92.75</c:v>
                </c:pt>
                <c:pt idx="10">
                  <c:v>209.25</c:v>
                </c:pt>
                <c:pt idx="11">
                  <c:v>318.75</c:v>
                </c:pt>
                <c:pt idx="12">
                  <c:v>173.25</c:v>
                </c:pt>
              </c:numCache>
            </c:numRef>
          </c:val>
          <c:extLst>
            <c:ext xmlns:c16="http://schemas.microsoft.com/office/drawing/2014/chart" uri="{C3380CC4-5D6E-409C-BE32-E72D297353CC}">
              <c16:uniqueId val="{00000002-2655-43B4-8799-F66FBECD481A}"/>
            </c:ext>
          </c:extLst>
        </c:ser>
        <c:ser>
          <c:idx val="5"/>
          <c:order val="4"/>
          <c:tx>
            <c:strRef>
              <c:f>Dat_01!$B$202</c:f>
              <c:strCache>
                <c:ptCount val="1"/>
                <c:pt idx="0">
                  <c:v>Consumo Bombeo</c:v>
                </c:pt>
              </c:strCache>
            </c:strRef>
          </c:tx>
          <c:spPr>
            <a:solidFill>
              <a:srgbClr val="2C4D75"/>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Dat_01!$C$202:$O$202</c:f>
              <c:numCache>
                <c:formatCode>#,##0.0</c:formatCode>
                <c:ptCount val="13"/>
                <c:pt idx="0">
                  <c:v>27203.424999999999</c:v>
                </c:pt>
                <c:pt idx="1">
                  <c:v>25004.131000000001</c:v>
                </c:pt>
                <c:pt idx="2">
                  <c:v>19519.491000000002</c:v>
                </c:pt>
                <c:pt idx="3">
                  <c:v>14910.407999999999</c:v>
                </c:pt>
                <c:pt idx="4">
                  <c:v>17618.241999999998</c:v>
                </c:pt>
                <c:pt idx="5">
                  <c:v>30294.2</c:v>
                </c:pt>
                <c:pt idx="6">
                  <c:v>10732.416999999999</c:v>
                </c:pt>
                <c:pt idx="7">
                  <c:v>30167.8</c:v>
                </c:pt>
                <c:pt idx="8">
                  <c:v>25127.55</c:v>
                </c:pt>
                <c:pt idx="9">
                  <c:v>28512.400000000001</c:v>
                </c:pt>
                <c:pt idx="10">
                  <c:v>19186.8</c:v>
                </c:pt>
                <c:pt idx="11">
                  <c:v>17123.95</c:v>
                </c:pt>
                <c:pt idx="12">
                  <c:v>17965.3</c:v>
                </c:pt>
              </c:numCache>
            </c:numRef>
          </c:val>
          <c:extLst>
            <c:ext xmlns:c16="http://schemas.microsoft.com/office/drawing/2014/chart" uri="{C3380CC4-5D6E-409C-BE32-E72D297353CC}">
              <c16:uniqueId val="{00000003-2655-43B4-8799-F66FBECD481A}"/>
            </c:ext>
          </c:extLst>
        </c:ser>
        <c:ser>
          <c:idx val="7"/>
          <c:order val="6"/>
          <c:tx>
            <c:strRef>
              <c:f>Dat_01!$B$204</c:f>
              <c:strCache>
                <c:ptCount val="1"/>
                <c:pt idx="0">
                  <c:v>Eólica</c:v>
                </c:pt>
              </c:strCache>
            </c:strRef>
          </c:tx>
          <c:spPr>
            <a:solidFill>
              <a:srgbClr val="70AD47"/>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Dat_01!$C$204:$O$204</c:f>
              <c:numCache>
                <c:formatCode>#,##0.0</c:formatCode>
                <c:ptCount val="13"/>
                <c:pt idx="0">
                  <c:v>18314.178</c:v>
                </c:pt>
                <c:pt idx="1">
                  <c:v>14389.375</c:v>
                </c:pt>
                <c:pt idx="2">
                  <c:v>24306.028999999999</c:v>
                </c:pt>
                <c:pt idx="3">
                  <c:v>13826.055</c:v>
                </c:pt>
                <c:pt idx="4">
                  <c:v>22650.025000000001</c:v>
                </c:pt>
                <c:pt idx="5">
                  <c:v>24907.05</c:v>
                </c:pt>
                <c:pt idx="6">
                  <c:v>9668.9809999999998</c:v>
                </c:pt>
                <c:pt idx="7">
                  <c:v>31429.5</c:v>
                </c:pt>
                <c:pt idx="8">
                  <c:v>27130.85</c:v>
                </c:pt>
                <c:pt idx="9">
                  <c:v>43167.925000000003</c:v>
                </c:pt>
                <c:pt idx="10">
                  <c:v>27497.7</c:v>
                </c:pt>
                <c:pt idx="11">
                  <c:v>13989.3</c:v>
                </c:pt>
                <c:pt idx="12">
                  <c:v>16005.75</c:v>
                </c:pt>
              </c:numCache>
            </c:numRef>
          </c:val>
          <c:extLst>
            <c:ext xmlns:c16="http://schemas.microsoft.com/office/drawing/2014/chart" uri="{C3380CC4-5D6E-409C-BE32-E72D297353CC}">
              <c16:uniqueId val="{00000004-2655-43B4-8799-F66FBECD481A}"/>
            </c:ext>
          </c:extLst>
        </c:ser>
        <c:ser>
          <c:idx val="8"/>
          <c:order val="7"/>
          <c:tx>
            <c:strRef>
              <c:f>Dat_01!$B$209</c:f>
              <c:strCache>
                <c:ptCount val="1"/>
                <c:pt idx="0">
                  <c:v>Internacionales</c:v>
                </c:pt>
              </c:strCache>
              <c:extLst xmlns:c15="http://schemas.microsoft.com/office/drawing/2012/chart"/>
            </c:strRef>
          </c:tx>
          <c:spPr>
            <a:solidFill>
              <a:srgbClr val="BA0F16"/>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extLst xmlns:c15="http://schemas.microsoft.com/office/drawing/2012/chart"/>
            </c:strRef>
          </c:cat>
          <c:val>
            <c:numRef>
              <c:f>Dat_01!$C$209:$O$209</c:f>
              <c:numCache>
                <c:formatCode>#,##0.0</c:formatCode>
                <c:ptCount val="13"/>
                <c:pt idx="0">
                  <c:v>0</c:v>
                </c:pt>
                <c:pt idx="1">
                  <c:v>0</c:v>
                </c:pt>
                <c:pt idx="2">
                  <c:v>0</c:v>
                </c:pt>
                <c:pt idx="3">
                  <c:v>0</c:v>
                </c:pt>
                <c:pt idx="4">
                  <c:v>8416.4750000000004</c:v>
                </c:pt>
                <c:pt idx="5">
                  <c:v>34556.9</c:v>
                </c:pt>
                <c:pt idx="6">
                  <c:v>28098.799999999999</c:v>
                </c:pt>
                <c:pt idx="7">
                  <c:v>34080.6</c:v>
                </c:pt>
                <c:pt idx="8">
                  <c:v>26275.474999999999</c:v>
                </c:pt>
                <c:pt idx="9">
                  <c:v>35039.25</c:v>
                </c:pt>
                <c:pt idx="10">
                  <c:v>33961.75</c:v>
                </c:pt>
                <c:pt idx="11">
                  <c:v>27631.25</c:v>
                </c:pt>
                <c:pt idx="12">
                  <c:v>39299.75</c:v>
                </c:pt>
              </c:numCache>
              <c:extLst xmlns:c15="http://schemas.microsoft.com/office/drawing/2012/chart"/>
            </c:numRef>
          </c:val>
          <c:extLst xmlns:c15="http://schemas.microsoft.com/office/drawing/2012/chart">
            <c:ext xmlns:c16="http://schemas.microsoft.com/office/drawing/2014/chart" uri="{C3380CC4-5D6E-409C-BE32-E72D297353CC}">
              <c16:uniqueId val="{0000000C-2655-43B4-8799-F66FBECD481A}"/>
            </c:ext>
          </c:extLst>
        </c:ser>
        <c:ser>
          <c:idx val="9"/>
          <c:order val="8"/>
          <c:tx>
            <c:strRef>
              <c:f>Dat_01!$B$207</c:f>
              <c:strCache>
                <c:ptCount val="1"/>
                <c:pt idx="0">
                  <c:v>Hidráulica</c:v>
                </c:pt>
              </c:strCache>
            </c:strRef>
          </c:tx>
          <c:spPr>
            <a:solidFill>
              <a:srgbClr val="0090D1"/>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Dat_01!$C$207:$O$207</c:f>
              <c:numCache>
                <c:formatCode>#,##0.0</c:formatCode>
                <c:ptCount val="13"/>
                <c:pt idx="0">
                  <c:v>45614.728999999999</c:v>
                </c:pt>
                <c:pt idx="1">
                  <c:v>21337.156999999999</c:v>
                </c:pt>
                <c:pt idx="2">
                  <c:v>36443.067999999999</c:v>
                </c:pt>
                <c:pt idx="3">
                  <c:v>25115.334999999999</c:v>
                </c:pt>
                <c:pt idx="4">
                  <c:v>46447.163</c:v>
                </c:pt>
                <c:pt idx="5">
                  <c:v>30091.7</c:v>
                </c:pt>
                <c:pt idx="6">
                  <c:v>17178.798999999999</c:v>
                </c:pt>
                <c:pt idx="7">
                  <c:v>34297.5</c:v>
                </c:pt>
                <c:pt idx="8">
                  <c:v>36079.15</c:v>
                </c:pt>
                <c:pt idx="9">
                  <c:v>30711.75</c:v>
                </c:pt>
                <c:pt idx="10">
                  <c:v>31774.95</c:v>
                </c:pt>
                <c:pt idx="11">
                  <c:v>85316.175000000003</c:v>
                </c:pt>
                <c:pt idx="12">
                  <c:v>54636.866999999998</c:v>
                </c:pt>
              </c:numCache>
            </c:numRef>
          </c:val>
          <c:extLst>
            <c:ext xmlns:c16="http://schemas.microsoft.com/office/drawing/2014/chart" uri="{C3380CC4-5D6E-409C-BE32-E72D297353CC}">
              <c16:uniqueId val="{00000005-2655-43B4-8799-F66FBECD481A}"/>
            </c:ext>
          </c:extLst>
        </c:ser>
        <c:ser>
          <c:idx val="11"/>
          <c:order val="9"/>
          <c:tx>
            <c:strRef>
              <c:f>Dat_01!$B$210</c:f>
              <c:strCache>
                <c:ptCount val="1"/>
                <c:pt idx="0">
                  <c:v>Nuclear</c:v>
                </c:pt>
              </c:strCache>
            </c:strRef>
          </c:tx>
          <c:spPr>
            <a:solidFill>
              <a:srgbClr val="464394"/>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Dat_01!$C$210:$O$210</c:f>
              <c:numCache>
                <c:formatCode>#,##0.0</c:formatCode>
                <c:ptCount val="13"/>
                <c:pt idx="0">
                  <c:v>0</c:v>
                </c:pt>
                <c:pt idx="1">
                  <c:v>0</c:v>
                </c:pt>
                <c:pt idx="2">
                  <c:v>0</c:v>
                </c:pt>
                <c:pt idx="3">
                  <c:v>100.05</c:v>
                </c:pt>
                <c:pt idx="4">
                  <c:v>30</c:v>
                </c:pt>
                <c:pt idx="5">
                  <c:v>139.15</c:v>
                </c:pt>
                <c:pt idx="6">
                  <c:v>0</c:v>
                </c:pt>
                <c:pt idx="7">
                  <c:v>359.05</c:v>
                </c:pt>
                <c:pt idx="8">
                  <c:v>364</c:v>
                </c:pt>
                <c:pt idx="9">
                  <c:v>1965.25</c:v>
                </c:pt>
                <c:pt idx="10">
                  <c:v>659</c:v>
                </c:pt>
                <c:pt idx="11">
                  <c:v>742</c:v>
                </c:pt>
                <c:pt idx="12">
                  <c:v>632.15</c:v>
                </c:pt>
              </c:numCache>
            </c:numRef>
          </c:val>
          <c:extLst>
            <c:ext xmlns:c16="http://schemas.microsoft.com/office/drawing/2014/chart" uri="{C3380CC4-5D6E-409C-BE32-E72D297353CC}">
              <c16:uniqueId val="{00000006-2655-43B4-8799-F66FBECD481A}"/>
            </c:ext>
          </c:extLst>
        </c:ser>
        <c:ser>
          <c:idx val="12"/>
          <c:order val="10"/>
          <c:tx>
            <c:strRef>
              <c:f>Dat_01!$B$211</c:f>
              <c:strCache>
                <c:ptCount val="1"/>
                <c:pt idx="0">
                  <c:v>Otras Renovables</c:v>
                </c:pt>
              </c:strCache>
            </c:strRef>
          </c:tx>
          <c:spPr>
            <a:solidFill>
              <a:srgbClr val="9999FF"/>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Dat_01!$C$211:$O$211</c:f>
              <c:numCache>
                <c:formatCode>#,##0.0</c:formatCode>
                <c:ptCount val="13"/>
                <c:pt idx="0">
                  <c:v>299.625</c:v>
                </c:pt>
                <c:pt idx="1">
                  <c:v>284.55</c:v>
                </c:pt>
                <c:pt idx="2">
                  <c:v>361.459</c:v>
                </c:pt>
                <c:pt idx="3">
                  <c:v>76.349999999999994</c:v>
                </c:pt>
                <c:pt idx="4">
                  <c:v>47.25</c:v>
                </c:pt>
                <c:pt idx="5">
                  <c:v>85</c:v>
                </c:pt>
                <c:pt idx="6">
                  <c:v>17.25</c:v>
                </c:pt>
                <c:pt idx="7">
                  <c:v>304.89999999999998</c:v>
                </c:pt>
                <c:pt idx="8">
                  <c:v>299.3</c:v>
                </c:pt>
                <c:pt idx="9">
                  <c:v>1099.6500000000001</c:v>
                </c:pt>
                <c:pt idx="10">
                  <c:v>445.65</c:v>
                </c:pt>
                <c:pt idx="11">
                  <c:v>454.7</c:v>
                </c:pt>
                <c:pt idx="12">
                  <c:v>547.04999999999995</c:v>
                </c:pt>
              </c:numCache>
            </c:numRef>
          </c:val>
          <c:extLst>
            <c:ext xmlns:c16="http://schemas.microsoft.com/office/drawing/2014/chart" uri="{C3380CC4-5D6E-409C-BE32-E72D297353CC}">
              <c16:uniqueId val="{00000007-2655-43B4-8799-F66FBECD481A}"/>
            </c:ext>
          </c:extLst>
        </c:ser>
        <c:ser>
          <c:idx val="13"/>
          <c:order val="11"/>
          <c:tx>
            <c:strRef>
              <c:f>Dat_01!$B$212</c:f>
              <c:strCache>
                <c:ptCount val="1"/>
                <c:pt idx="0">
                  <c:v>Residuos no Renovables</c:v>
                </c:pt>
              </c:strCache>
              <c:extLst xmlns:c15="http://schemas.microsoft.com/office/drawing/2012/chart"/>
            </c:strRef>
          </c:tx>
          <c:spPr>
            <a:solidFill>
              <a:schemeClr val="tx1">
                <a:lumMod val="65000"/>
                <a:lumOff val="35000"/>
              </a:schemeClr>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extLst xmlns:c15="http://schemas.microsoft.com/office/drawing/2012/chart"/>
            </c:strRef>
          </c:cat>
          <c:val>
            <c:numRef>
              <c:f>Dat_01!$C$212:$O$212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extLst xmlns:c15="http://schemas.microsoft.com/office/drawing/2012/chart"/>
            </c:numRef>
          </c:val>
          <c:extLst xmlns:c15="http://schemas.microsoft.com/office/drawing/2012/chart">
            <c:ext xmlns:c16="http://schemas.microsoft.com/office/drawing/2014/chart" uri="{C3380CC4-5D6E-409C-BE32-E72D297353CC}">
              <c16:uniqueId val="{0000000D-2655-43B4-8799-F66FBECD481A}"/>
            </c:ext>
          </c:extLst>
        </c:ser>
        <c:ser>
          <c:idx val="14"/>
          <c:order val="12"/>
          <c:tx>
            <c:strRef>
              <c:f>Dat_01!$B$213</c:f>
              <c:strCache>
                <c:ptCount val="1"/>
                <c:pt idx="0">
                  <c:v>Solar fotovoltaica</c:v>
                </c:pt>
              </c:strCache>
            </c:strRef>
          </c:tx>
          <c:spPr>
            <a:solidFill>
              <a:srgbClr val="EE6112"/>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Dat_01!$C$213:$O$213</c:f>
              <c:numCache>
                <c:formatCode>#,##0.0</c:formatCode>
                <c:ptCount val="13"/>
                <c:pt idx="0">
                  <c:v>6043.3620000000001</c:v>
                </c:pt>
                <c:pt idx="1">
                  <c:v>3037.88</c:v>
                </c:pt>
                <c:pt idx="2">
                  <c:v>4937.223</c:v>
                </c:pt>
                <c:pt idx="3">
                  <c:v>2907.0349999999999</c:v>
                </c:pt>
                <c:pt idx="4">
                  <c:v>3403.0250000000001</c:v>
                </c:pt>
                <c:pt idx="5">
                  <c:v>3800</c:v>
                </c:pt>
                <c:pt idx="6">
                  <c:v>2360.9009999999998</c:v>
                </c:pt>
                <c:pt idx="7">
                  <c:v>6670.45</c:v>
                </c:pt>
                <c:pt idx="8">
                  <c:v>9781.15</c:v>
                </c:pt>
                <c:pt idx="9">
                  <c:v>14137.575000000001</c:v>
                </c:pt>
                <c:pt idx="10">
                  <c:v>20985.474999999999</c:v>
                </c:pt>
                <c:pt idx="11">
                  <c:v>14673.875</c:v>
                </c:pt>
                <c:pt idx="12">
                  <c:v>22896.5</c:v>
                </c:pt>
              </c:numCache>
            </c:numRef>
          </c:val>
          <c:extLst xmlns:c15="http://schemas.microsoft.com/office/drawing/2012/chart">
            <c:ext xmlns:c16="http://schemas.microsoft.com/office/drawing/2014/chart" uri="{C3380CC4-5D6E-409C-BE32-E72D297353CC}">
              <c16:uniqueId val="{0000000E-2655-43B4-8799-F66FBECD481A}"/>
            </c:ext>
          </c:extLst>
        </c:ser>
        <c:ser>
          <c:idx val="15"/>
          <c:order val="13"/>
          <c:tx>
            <c:strRef>
              <c:f>Dat_01!$B$214</c:f>
              <c:strCache>
                <c:ptCount val="1"/>
                <c:pt idx="0">
                  <c:v>Solar térmica</c:v>
                </c:pt>
              </c:strCache>
            </c:strRef>
          </c:tx>
          <c:spPr>
            <a:solidFill>
              <a:srgbClr val="FF0000"/>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Dat_01!$C$214:$O$214</c:f>
              <c:numCache>
                <c:formatCode>#,##0.0</c:formatCode>
                <c:ptCount val="13"/>
                <c:pt idx="0">
                  <c:v>42.45</c:v>
                </c:pt>
                <c:pt idx="1">
                  <c:v>35.475000000000001</c:v>
                </c:pt>
                <c:pt idx="2">
                  <c:v>19.399999999999999</c:v>
                </c:pt>
                <c:pt idx="3">
                  <c:v>6.7</c:v>
                </c:pt>
                <c:pt idx="4">
                  <c:v>9.25</c:v>
                </c:pt>
                <c:pt idx="5">
                  <c:v>15.25</c:v>
                </c:pt>
                <c:pt idx="6">
                  <c:v>4.75</c:v>
                </c:pt>
                <c:pt idx="7">
                  <c:v>62.75</c:v>
                </c:pt>
                <c:pt idx="8">
                  <c:v>157.75</c:v>
                </c:pt>
                <c:pt idx="9">
                  <c:v>300.5</c:v>
                </c:pt>
                <c:pt idx="10">
                  <c:v>170.25</c:v>
                </c:pt>
                <c:pt idx="11">
                  <c:v>455.92500000000001</c:v>
                </c:pt>
                <c:pt idx="12">
                  <c:v>301.75</c:v>
                </c:pt>
              </c:numCache>
            </c:numRef>
          </c:val>
          <c:extLst xmlns:c15="http://schemas.microsoft.com/office/drawing/2012/chart">
            <c:ext xmlns:c16="http://schemas.microsoft.com/office/drawing/2014/chart" uri="{C3380CC4-5D6E-409C-BE32-E72D297353CC}">
              <c16:uniqueId val="{0000000F-2655-43B4-8799-F66FBECD481A}"/>
            </c:ext>
          </c:extLst>
        </c:ser>
        <c:ser>
          <c:idx val="16"/>
          <c:order val="14"/>
          <c:tx>
            <c:strRef>
              <c:f>Dat_01!$B$215</c:f>
              <c:strCache>
                <c:ptCount val="1"/>
                <c:pt idx="0">
                  <c:v>Turbinación bombeo</c:v>
                </c:pt>
              </c:strCache>
            </c:strRef>
          </c:tx>
          <c:spPr>
            <a:solidFill>
              <a:srgbClr val="95B3D7"/>
            </a:solidFill>
            <a:ln>
              <a:noFill/>
            </a:ln>
            <a:effectLst/>
          </c:spPr>
          <c:invertIfNegative val="0"/>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Dat_01!$C$215:$O$215</c:f>
              <c:numCache>
                <c:formatCode>#,##0.0</c:formatCode>
                <c:ptCount val="13"/>
                <c:pt idx="0">
                  <c:v>17591.724999999999</c:v>
                </c:pt>
                <c:pt idx="1">
                  <c:v>23246.357</c:v>
                </c:pt>
                <c:pt idx="2">
                  <c:v>14903.813</c:v>
                </c:pt>
                <c:pt idx="3">
                  <c:v>9228.6530000000002</c:v>
                </c:pt>
                <c:pt idx="4">
                  <c:v>13417.55</c:v>
                </c:pt>
                <c:pt idx="5">
                  <c:v>19331.099999999999</c:v>
                </c:pt>
                <c:pt idx="6">
                  <c:v>5627</c:v>
                </c:pt>
                <c:pt idx="7">
                  <c:v>14804.75</c:v>
                </c:pt>
                <c:pt idx="8">
                  <c:v>16764.75</c:v>
                </c:pt>
                <c:pt idx="9">
                  <c:v>23021.55</c:v>
                </c:pt>
                <c:pt idx="10">
                  <c:v>17574.599999999999</c:v>
                </c:pt>
                <c:pt idx="11">
                  <c:v>21808.125</c:v>
                </c:pt>
                <c:pt idx="12">
                  <c:v>20287.816999999999</c:v>
                </c:pt>
              </c:numCache>
            </c:numRef>
          </c:val>
          <c:extLst>
            <c:ext xmlns:c16="http://schemas.microsoft.com/office/drawing/2014/chart" uri="{C3380CC4-5D6E-409C-BE32-E72D297353CC}">
              <c16:uniqueId val="{00000008-2655-43B4-8799-F66FBECD481A}"/>
            </c:ext>
          </c:extLst>
        </c:ser>
        <c:ser>
          <c:idx val="10"/>
          <c:order val="15"/>
          <c:tx>
            <c:strRef>
              <c:f>Dat_01!$B$206</c:f>
              <c:strCache>
                <c:ptCount val="1"/>
                <c:pt idx="0">
                  <c:v>Hibridación</c:v>
                </c:pt>
              </c:strCache>
            </c:strRef>
          </c:tx>
          <c:spPr>
            <a:solidFill>
              <a:srgbClr val="28A064"/>
            </a:solidFill>
            <a:ln>
              <a:noFill/>
            </a:ln>
            <a:effectLst/>
          </c:spPr>
          <c:invertIfNegative val="0"/>
          <c:val>
            <c:numRef>
              <c:f>Dat_01!$C$206:$O$206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F7DB-44F0-B5DD-BF0F149D1642}"/>
            </c:ext>
          </c:extLst>
        </c:ser>
        <c:dLbls>
          <c:showLegendKey val="0"/>
          <c:showVal val="0"/>
          <c:showCatName val="0"/>
          <c:showSerName val="0"/>
          <c:showPercent val="0"/>
          <c:showBubbleSize val="0"/>
        </c:dLbls>
        <c:gapWidth val="150"/>
        <c:overlap val="100"/>
        <c:axId val="531371496"/>
        <c:axId val="531371888"/>
        <c:extLst>
          <c:ext xmlns:c15="http://schemas.microsoft.com/office/drawing/2012/chart" uri="{02D57815-91ED-43cb-92C2-25804820EDAC}">
            <c15:filteredBarSeries>
              <c15:ser>
                <c:idx val="1"/>
                <c:order val="0"/>
                <c:tx>
                  <c:strRef>
                    <c:extLst>
                      <c:ext uri="{02D57815-91ED-43cb-92C2-25804820EDAC}">
                        <c15:formulaRef>
                          <c15:sqref>Dat_01!$B$198</c15:sqref>
                        </c15:formulaRef>
                      </c:ext>
                    </c:extLst>
                    <c:strCache>
                      <c:ptCount val="1"/>
                      <c:pt idx="0">
                        <c:v>Adquisición de Energía</c:v>
                      </c:pt>
                    </c:strCache>
                  </c:strRef>
                </c:tx>
                <c:spPr>
                  <a:solidFill>
                    <a:srgbClr val="0070C0"/>
                  </a:solidFill>
                  <a:ln>
                    <a:noFill/>
                  </a:ln>
                  <a:effectLst/>
                </c:spPr>
                <c:invertIfNegative val="0"/>
                <c:cat>
                  <c:strRef>
                    <c:extLst>
                      <c:ext uri="{02D57815-91ED-43cb-92C2-25804820EDAC}">
                        <c15:formulaRef>
                          <c15:sqref>Dat_01!$C$194:$O$194</c15:sqref>
                        </c15:formulaRef>
                      </c:ext>
                    </c:extLst>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extLst>
                      <c:ext uri="{02D57815-91ED-43cb-92C2-25804820EDAC}">
                        <c15:formulaRef>
                          <c15:sqref>Dat_01!$C$198:$O$198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2655-43B4-8799-F66FBECD481A}"/>
                  </c:ext>
                </c:extLst>
              </c15:ser>
            </c15:filteredBarSeries>
            <c15:filteredBarSeries>
              <c15:ser>
                <c:idx val="6"/>
                <c:order val="5"/>
                <c:tx>
                  <c:strRef>
                    <c:extLst xmlns:c15="http://schemas.microsoft.com/office/drawing/2012/chart">
                      <c:ext xmlns:c15="http://schemas.microsoft.com/office/drawing/2012/chart" uri="{02D57815-91ED-43cb-92C2-25804820EDAC}">
                        <c15:formulaRef>
                          <c15:sqref>Dat_01!$B$205</c15:sqref>
                        </c15:formulaRef>
                      </c:ext>
                    </c:extLst>
                    <c:strCache>
                      <c:ptCount val="1"/>
                      <c:pt idx="0">
                        <c:v>Turbina Vapor, Gas y Fuel</c:v>
                      </c:pt>
                    </c:strCache>
                  </c:strRef>
                </c:tx>
                <c:spPr>
                  <a:solidFill>
                    <a:srgbClr val="FF99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extLst xmlns:c15="http://schemas.microsoft.com/office/drawing/2012/chart">
                      <c:ext xmlns:c15="http://schemas.microsoft.com/office/drawing/2012/chart" uri="{02D57815-91ED-43cb-92C2-25804820EDAC}">
                        <c15:formulaRef>
                          <c15:sqref>Dat_01!$C$205:$O$205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B-2655-43B4-8799-F66FBECD481A}"/>
                  </c:ext>
                </c:extLst>
              </c15:ser>
            </c15:filteredBarSeries>
          </c:ext>
        </c:extLst>
      </c:barChart>
      <c:lineChart>
        <c:grouping val="standard"/>
        <c:varyColors val="0"/>
        <c:ser>
          <c:idx val="0"/>
          <c:order val="16"/>
          <c:tx>
            <c:v>Precio medio subir</c:v>
          </c:tx>
          <c:spPr>
            <a:ln w="28575" cap="rnd">
              <a:solidFill>
                <a:srgbClr val="004563"/>
              </a:solidFill>
              <a:round/>
            </a:ln>
            <a:effectLst/>
          </c:spPr>
          <c:marker>
            <c:symbol val="none"/>
          </c:marker>
          <c:cat>
            <c:strRef>
              <c:f>Dat_01!$C$194:$O$194</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Dat_01!$C$416:$O$416</c:f>
              <c:numCache>
                <c:formatCode>#,##0.00</c:formatCode>
                <c:ptCount val="13"/>
                <c:pt idx="0">
                  <c:v>114.689276915934</c:v>
                </c:pt>
                <c:pt idx="1">
                  <c:v>106.671799086516</c:v>
                </c:pt>
                <c:pt idx="2">
                  <c:v>96.757878917917694</c:v>
                </c:pt>
                <c:pt idx="3">
                  <c:v>130.183471999234</c:v>
                </c:pt>
                <c:pt idx="4">
                  <c:v>143.12100996733801</c:v>
                </c:pt>
                <c:pt idx="5">
                  <c:v>128.90381284492199</c:v>
                </c:pt>
                <c:pt idx="6">
                  <c:v>120.50257536491399</c:v>
                </c:pt>
                <c:pt idx="7">
                  <c:v>90.112878959875403</c:v>
                </c:pt>
                <c:pt idx="8">
                  <c:v>58.371273219869302</c:v>
                </c:pt>
                <c:pt idx="9">
                  <c:v>55.693702808283803</c:v>
                </c:pt>
                <c:pt idx="10">
                  <c:v>104.92151671869399</c:v>
                </c:pt>
                <c:pt idx="11">
                  <c:v>121.560969400365</c:v>
                </c:pt>
                <c:pt idx="12">
                  <c:v>109.94920297410501</c:v>
                </c:pt>
              </c:numCache>
            </c:numRef>
          </c:val>
          <c:smooth val="0"/>
          <c:extLst>
            <c:ext xmlns:c16="http://schemas.microsoft.com/office/drawing/2014/chart" uri="{C3380CC4-5D6E-409C-BE32-E72D297353CC}">
              <c16:uniqueId val="{00000009-2655-43B4-8799-F66FBECD481A}"/>
            </c:ext>
          </c:extLst>
        </c:ser>
        <c:dLbls>
          <c:showLegendKey val="0"/>
          <c:showVal val="0"/>
          <c:showCatName val="0"/>
          <c:showSerName val="0"/>
          <c:showPercent val="0"/>
          <c:showBubbleSize val="0"/>
        </c:dLbls>
        <c:marker val="1"/>
        <c:smooth val="0"/>
        <c:axId val="531372672"/>
        <c:axId val="531372280"/>
      </c:lineChart>
      <c:catAx>
        <c:axId val="531371496"/>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888"/>
        <c:crosses val="autoZero"/>
        <c:auto val="1"/>
        <c:lblAlgn val="ctr"/>
        <c:lblOffset val="100"/>
        <c:noMultiLvlLbl val="0"/>
      </c:catAx>
      <c:valAx>
        <c:axId val="531371888"/>
        <c:scaling>
          <c:orientation val="minMax"/>
          <c:max val="55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r>
                  <a:rPr lang="es-ES"/>
                  <a:t>GWh</a:t>
                </a:r>
              </a:p>
            </c:rich>
          </c:tx>
          <c:layout>
            <c:manualLayout>
              <c:xMode val="edge"/>
              <c:yMode val="edge"/>
              <c:x val="1.1883128948346337E-2"/>
              <c:y val="1.0461323039660915E-2"/>
            </c:manualLayout>
          </c:layout>
          <c:overlay val="0"/>
          <c:spPr>
            <a:noFill/>
            <a:ln>
              <a:noFill/>
            </a:ln>
            <a:effectLst/>
          </c:spPr>
          <c:txPr>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496"/>
        <c:crosses val="autoZero"/>
        <c:crossBetween val="between"/>
        <c:majorUnit val="50000"/>
        <c:dispUnits>
          <c:builtInUnit val="thousands"/>
        </c:dispUnits>
      </c:valAx>
      <c:valAx>
        <c:axId val="531372280"/>
        <c:scaling>
          <c:orientation val="minMax"/>
          <c:max val="160"/>
          <c:min val="-6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2672"/>
        <c:crosses val="max"/>
        <c:crossBetween val="between"/>
        <c:majorUnit val="20"/>
      </c:valAx>
      <c:catAx>
        <c:axId val="531372672"/>
        <c:scaling>
          <c:orientation val="minMax"/>
        </c:scaling>
        <c:delete val="1"/>
        <c:axPos val="b"/>
        <c:numFmt formatCode="General" sourceLinked="1"/>
        <c:majorTickMark val="out"/>
        <c:minorTickMark val="none"/>
        <c:tickLblPos val="nextTo"/>
        <c:crossAx val="531372280"/>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lgn="ctr" rtl="0">
        <a:defRPr lang="en-US" sz="800" b="0" i="0" u="none" strike="noStrike" kern="1200" baseline="0">
          <a:solidFill>
            <a:srgbClr val="004563"/>
          </a:solidFill>
          <a:latin typeface="+mn-lt"/>
          <a:ea typeface="+mn-ea"/>
          <a:cs typeface="+mn-cs"/>
        </a:defRPr>
      </a:pPr>
      <a:endParaRPr lang="es-E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144617806888443E-2"/>
          <c:y val="8.2817024782504162E-2"/>
          <c:w val="0.89961354726056719"/>
          <c:h val="0.61911360013231209"/>
        </c:manualLayout>
      </c:layout>
      <c:barChart>
        <c:barDir val="col"/>
        <c:grouping val="stacked"/>
        <c:varyColors val="0"/>
        <c:ser>
          <c:idx val="0"/>
          <c:order val="1"/>
          <c:tx>
            <c:strRef>
              <c:f>Dat_01!$B$281</c:f>
              <c:strCache>
                <c:ptCount val="1"/>
                <c:pt idx="0">
                  <c:v>Carbón</c:v>
                </c:pt>
              </c:strCache>
            </c:strRef>
          </c:tx>
          <c:spPr>
            <a:solidFill>
              <a:srgbClr val="993300"/>
            </a:solidFill>
            <a:ln>
              <a:noFill/>
            </a:ln>
            <a:effectLst/>
          </c:spPr>
          <c:invertIfNegative val="0"/>
          <c:val>
            <c:numRef>
              <c:f>Dat_01!$C$281:$O$281</c:f>
              <c:numCache>
                <c:formatCode>#,##0.0</c:formatCode>
                <c:ptCount val="13"/>
                <c:pt idx="0">
                  <c:v>381</c:v>
                </c:pt>
                <c:pt idx="1">
                  <c:v>406</c:v>
                </c:pt>
                <c:pt idx="2">
                  <c:v>833.8</c:v>
                </c:pt>
                <c:pt idx="3">
                  <c:v>128.25</c:v>
                </c:pt>
                <c:pt idx="4">
                  <c:v>200.75</c:v>
                </c:pt>
                <c:pt idx="5">
                  <c:v>810</c:v>
                </c:pt>
                <c:pt idx="6">
                  <c:v>132</c:v>
                </c:pt>
                <c:pt idx="7">
                  <c:v>28.75</c:v>
                </c:pt>
                <c:pt idx="8">
                  <c:v>155.75</c:v>
                </c:pt>
                <c:pt idx="9">
                  <c:v>0</c:v>
                </c:pt>
                <c:pt idx="10">
                  <c:v>11.5</c:v>
                </c:pt>
                <c:pt idx="11">
                  <c:v>0</c:v>
                </c:pt>
                <c:pt idx="12">
                  <c:v>0</c:v>
                </c:pt>
              </c:numCache>
            </c:numRef>
          </c:val>
          <c:extLst>
            <c:ext xmlns:c16="http://schemas.microsoft.com/office/drawing/2014/chart" uri="{C3380CC4-5D6E-409C-BE32-E72D297353CC}">
              <c16:uniqueId val="{00000000-1D9B-4F90-B2B2-4825475971A1}"/>
            </c:ext>
          </c:extLst>
        </c:ser>
        <c:ser>
          <c:idx val="1"/>
          <c:order val="2"/>
          <c:tx>
            <c:strRef>
              <c:f>Dat_01!$B$282</c:f>
              <c:strCache>
                <c:ptCount val="1"/>
                <c:pt idx="0">
                  <c:v>Ciclo Combinado</c:v>
                </c:pt>
              </c:strCache>
            </c:strRef>
          </c:tx>
          <c:spPr>
            <a:solidFill>
              <a:srgbClr val="FFCC66"/>
            </a:solidFill>
            <a:ln>
              <a:noFill/>
            </a:ln>
            <a:effectLst/>
          </c:spPr>
          <c:invertIfNegative val="0"/>
          <c:val>
            <c:numRef>
              <c:f>Dat_01!$C$282:$O$282</c:f>
              <c:numCache>
                <c:formatCode>#,##0.0</c:formatCode>
                <c:ptCount val="13"/>
                <c:pt idx="0">
                  <c:v>19143.775000000001</c:v>
                </c:pt>
                <c:pt idx="1">
                  <c:v>23707.275000000001</c:v>
                </c:pt>
                <c:pt idx="2">
                  <c:v>20838.625</c:v>
                </c:pt>
                <c:pt idx="3">
                  <c:v>20258.349999999999</c:v>
                </c:pt>
                <c:pt idx="4">
                  <c:v>23259.55</c:v>
                </c:pt>
                <c:pt idx="5">
                  <c:v>40918.074999999997</c:v>
                </c:pt>
                <c:pt idx="6">
                  <c:v>55261.525000000001</c:v>
                </c:pt>
                <c:pt idx="7">
                  <c:v>35693.599999999999</c:v>
                </c:pt>
                <c:pt idx="8">
                  <c:v>15588.025</c:v>
                </c:pt>
                <c:pt idx="9">
                  <c:v>9638.65</c:v>
                </c:pt>
                <c:pt idx="10">
                  <c:v>14278.375</c:v>
                </c:pt>
                <c:pt idx="11">
                  <c:v>13517.6</c:v>
                </c:pt>
                <c:pt idx="12">
                  <c:v>17210.974999999999</c:v>
                </c:pt>
              </c:numCache>
            </c:numRef>
          </c:val>
          <c:extLst>
            <c:ext xmlns:c16="http://schemas.microsoft.com/office/drawing/2014/chart" uri="{C3380CC4-5D6E-409C-BE32-E72D297353CC}">
              <c16:uniqueId val="{00000001-1D9B-4F90-B2B2-4825475971A1}"/>
            </c:ext>
          </c:extLst>
        </c:ser>
        <c:ser>
          <c:idx val="2"/>
          <c:order val="3"/>
          <c:tx>
            <c:strRef>
              <c:f>Dat_01!$B$283</c:f>
              <c:strCache>
                <c:ptCount val="1"/>
                <c:pt idx="0">
                  <c:v>Cogeneración</c:v>
                </c:pt>
              </c:strCache>
            </c:strRef>
          </c:tx>
          <c:spPr>
            <a:solidFill>
              <a:srgbClr val="CFA2CA"/>
            </a:solidFill>
            <a:ln>
              <a:noFill/>
            </a:ln>
            <a:effectLst/>
          </c:spPr>
          <c:invertIfNegative val="0"/>
          <c:val>
            <c:numRef>
              <c:f>Dat_01!$C$283:$O$283</c:f>
              <c:numCache>
                <c:formatCode>#,##0.0</c:formatCode>
                <c:ptCount val="13"/>
                <c:pt idx="0">
                  <c:v>574.29999999999995</c:v>
                </c:pt>
                <c:pt idx="1">
                  <c:v>336.55</c:v>
                </c:pt>
                <c:pt idx="2">
                  <c:v>485.85</c:v>
                </c:pt>
                <c:pt idx="3">
                  <c:v>367.02499999999998</c:v>
                </c:pt>
                <c:pt idx="4">
                  <c:v>136.5</c:v>
                </c:pt>
                <c:pt idx="5">
                  <c:v>765.1</c:v>
                </c:pt>
                <c:pt idx="6">
                  <c:v>17</c:v>
                </c:pt>
                <c:pt idx="7">
                  <c:v>461.27499999999998</c:v>
                </c:pt>
                <c:pt idx="8">
                  <c:v>424</c:v>
                </c:pt>
                <c:pt idx="9">
                  <c:v>44.6</c:v>
                </c:pt>
                <c:pt idx="10">
                  <c:v>142.15</c:v>
                </c:pt>
                <c:pt idx="11">
                  <c:v>382.25</c:v>
                </c:pt>
                <c:pt idx="12">
                  <c:v>334.7</c:v>
                </c:pt>
              </c:numCache>
            </c:numRef>
          </c:val>
          <c:extLst>
            <c:ext xmlns:c16="http://schemas.microsoft.com/office/drawing/2014/chart" uri="{C3380CC4-5D6E-409C-BE32-E72D297353CC}">
              <c16:uniqueId val="{00000002-1D9B-4F90-B2B2-4825475971A1}"/>
            </c:ext>
          </c:extLst>
        </c:ser>
        <c:ser>
          <c:idx val="3"/>
          <c:order val="4"/>
          <c:tx>
            <c:strRef>
              <c:f>Dat_01!$B$284</c:f>
              <c:strCache>
                <c:ptCount val="1"/>
                <c:pt idx="0">
                  <c:v>Consumo Bombeo</c:v>
                </c:pt>
              </c:strCache>
            </c:strRef>
          </c:tx>
          <c:spPr>
            <a:solidFill>
              <a:srgbClr val="2C4D75"/>
            </a:solidFill>
            <a:ln>
              <a:noFill/>
            </a:ln>
            <a:effectLst/>
          </c:spPr>
          <c:invertIfNegative val="0"/>
          <c:val>
            <c:numRef>
              <c:f>Dat_01!$C$284:$O$284</c:f>
              <c:numCache>
                <c:formatCode>#,##0.0</c:formatCode>
                <c:ptCount val="13"/>
                <c:pt idx="0">
                  <c:v>85489</c:v>
                </c:pt>
                <c:pt idx="1">
                  <c:v>57096.4</c:v>
                </c:pt>
                <c:pt idx="2">
                  <c:v>57520.25</c:v>
                </c:pt>
                <c:pt idx="3">
                  <c:v>40508.199999999997</c:v>
                </c:pt>
                <c:pt idx="4">
                  <c:v>40637.15</c:v>
                </c:pt>
                <c:pt idx="5">
                  <c:v>50389.4</c:v>
                </c:pt>
                <c:pt idx="6">
                  <c:v>53214.7</c:v>
                </c:pt>
                <c:pt idx="7">
                  <c:v>66433.399999999994</c:v>
                </c:pt>
                <c:pt idx="8">
                  <c:v>60650.9</c:v>
                </c:pt>
                <c:pt idx="9">
                  <c:v>30223.3</c:v>
                </c:pt>
                <c:pt idx="10">
                  <c:v>10803.025</c:v>
                </c:pt>
                <c:pt idx="11">
                  <c:v>29063.4</c:v>
                </c:pt>
                <c:pt idx="12">
                  <c:v>33584.800000000003</c:v>
                </c:pt>
              </c:numCache>
            </c:numRef>
          </c:val>
          <c:extLst>
            <c:ext xmlns:c16="http://schemas.microsoft.com/office/drawing/2014/chart" uri="{C3380CC4-5D6E-409C-BE32-E72D297353CC}">
              <c16:uniqueId val="{00000003-1D9B-4F90-B2B2-4825475971A1}"/>
            </c:ext>
          </c:extLst>
        </c:ser>
        <c:ser>
          <c:idx val="4"/>
          <c:order val="5"/>
          <c:tx>
            <c:strRef>
              <c:f>Dat_01!$B$286</c:f>
              <c:strCache>
                <c:ptCount val="1"/>
                <c:pt idx="0">
                  <c:v>Eólica</c:v>
                </c:pt>
              </c:strCache>
            </c:strRef>
          </c:tx>
          <c:spPr>
            <a:solidFill>
              <a:srgbClr val="70AD47"/>
            </a:solidFill>
            <a:ln>
              <a:noFill/>
            </a:ln>
            <a:effectLst/>
          </c:spPr>
          <c:invertIfNegative val="0"/>
          <c:val>
            <c:numRef>
              <c:f>Dat_01!$C$286:$O$286</c:f>
              <c:numCache>
                <c:formatCode>#,##0.0</c:formatCode>
                <c:ptCount val="13"/>
                <c:pt idx="0">
                  <c:v>130294.325</c:v>
                </c:pt>
                <c:pt idx="1">
                  <c:v>162821.57500000001</c:v>
                </c:pt>
                <c:pt idx="2">
                  <c:v>154544.22500000001</c:v>
                </c:pt>
                <c:pt idx="3">
                  <c:v>104938.175</c:v>
                </c:pt>
                <c:pt idx="4">
                  <c:v>76241.225000000006</c:v>
                </c:pt>
                <c:pt idx="5">
                  <c:v>101824.35</c:v>
                </c:pt>
                <c:pt idx="6">
                  <c:v>121282.75</c:v>
                </c:pt>
                <c:pt idx="7">
                  <c:v>183823.9</c:v>
                </c:pt>
                <c:pt idx="8">
                  <c:v>142915.9</c:v>
                </c:pt>
                <c:pt idx="9">
                  <c:v>40362.474999999999</c:v>
                </c:pt>
                <c:pt idx="10">
                  <c:v>27645.625</c:v>
                </c:pt>
                <c:pt idx="11">
                  <c:v>78708.975000000006</c:v>
                </c:pt>
                <c:pt idx="12">
                  <c:v>84855.975000000006</c:v>
                </c:pt>
              </c:numCache>
            </c:numRef>
          </c:val>
          <c:extLst>
            <c:ext xmlns:c16="http://schemas.microsoft.com/office/drawing/2014/chart" uri="{C3380CC4-5D6E-409C-BE32-E72D297353CC}">
              <c16:uniqueId val="{00000004-1D9B-4F90-B2B2-4825475971A1}"/>
            </c:ext>
          </c:extLst>
        </c:ser>
        <c:ser>
          <c:idx val="5"/>
          <c:order val="6"/>
          <c:tx>
            <c:strRef>
              <c:f>Dat_01!$B$289</c:f>
              <c:strCache>
                <c:ptCount val="1"/>
                <c:pt idx="0">
                  <c:v>Hidráulica</c:v>
                </c:pt>
              </c:strCache>
            </c:strRef>
          </c:tx>
          <c:spPr>
            <a:solidFill>
              <a:srgbClr val="0090D1"/>
            </a:solidFill>
            <a:ln>
              <a:noFill/>
            </a:ln>
            <a:effectLst/>
          </c:spPr>
          <c:invertIfNegative val="0"/>
          <c:val>
            <c:numRef>
              <c:f>Dat_01!$C$289:$O$289</c:f>
              <c:numCache>
                <c:formatCode>#,##0.0</c:formatCode>
                <c:ptCount val="13"/>
                <c:pt idx="0">
                  <c:v>24531.674999999999</c:v>
                </c:pt>
                <c:pt idx="1">
                  <c:v>29122.674999999999</c:v>
                </c:pt>
                <c:pt idx="2">
                  <c:v>48937.175000000003</c:v>
                </c:pt>
                <c:pt idx="3">
                  <c:v>28066.5</c:v>
                </c:pt>
                <c:pt idx="4">
                  <c:v>55051.875</c:v>
                </c:pt>
                <c:pt idx="5">
                  <c:v>49899.25</c:v>
                </c:pt>
                <c:pt idx="6">
                  <c:v>69284.95</c:v>
                </c:pt>
                <c:pt idx="7">
                  <c:v>84328.975000000006</c:v>
                </c:pt>
                <c:pt idx="8">
                  <c:v>66921.95</c:v>
                </c:pt>
                <c:pt idx="9">
                  <c:v>28568.724999999999</c:v>
                </c:pt>
                <c:pt idx="10">
                  <c:v>34246.75</c:v>
                </c:pt>
                <c:pt idx="11">
                  <c:v>23127.05</c:v>
                </c:pt>
                <c:pt idx="12">
                  <c:v>12644.575000000001</c:v>
                </c:pt>
              </c:numCache>
            </c:numRef>
          </c:val>
          <c:extLst>
            <c:ext xmlns:c16="http://schemas.microsoft.com/office/drawing/2014/chart" uri="{C3380CC4-5D6E-409C-BE32-E72D297353CC}">
              <c16:uniqueId val="{00000005-1D9B-4F90-B2B2-4825475971A1}"/>
            </c:ext>
          </c:extLst>
        </c:ser>
        <c:ser>
          <c:idx val="6"/>
          <c:order val="7"/>
          <c:tx>
            <c:strRef>
              <c:f>Dat_01!$B$292</c:f>
              <c:strCache>
                <c:ptCount val="1"/>
                <c:pt idx="0">
                  <c:v>Nuclear</c:v>
                </c:pt>
              </c:strCache>
            </c:strRef>
          </c:tx>
          <c:spPr>
            <a:solidFill>
              <a:srgbClr val="464394"/>
            </a:solidFill>
            <a:ln>
              <a:noFill/>
            </a:ln>
            <a:effectLst/>
          </c:spPr>
          <c:invertIfNegative val="0"/>
          <c:val>
            <c:numRef>
              <c:f>Dat_01!$C$292:$O$292</c:f>
              <c:numCache>
                <c:formatCode>#,##0.0</c:formatCode>
                <c:ptCount val="13"/>
                <c:pt idx="0">
                  <c:v>137</c:v>
                </c:pt>
                <c:pt idx="1">
                  <c:v>120</c:v>
                </c:pt>
                <c:pt idx="2">
                  <c:v>0</c:v>
                </c:pt>
                <c:pt idx="3">
                  <c:v>175.97499999999999</c:v>
                </c:pt>
                <c:pt idx="4">
                  <c:v>243.75</c:v>
                </c:pt>
                <c:pt idx="5">
                  <c:v>855.6</c:v>
                </c:pt>
                <c:pt idx="6">
                  <c:v>2488.5</c:v>
                </c:pt>
                <c:pt idx="7">
                  <c:v>368.6</c:v>
                </c:pt>
                <c:pt idx="8">
                  <c:v>1670.625</c:v>
                </c:pt>
                <c:pt idx="9">
                  <c:v>4390.55</c:v>
                </c:pt>
                <c:pt idx="10">
                  <c:v>1115.9000000000001</c:v>
                </c:pt>
                <c:pt idx="11">
                  <c:v>0</c:v>
                </c:pt>
                <c:pt idx="12">
                  <c:v>33</c:v>
                </c:pt>
              </c:numCache>
            </c:numRef>
          </c:val>
          <c:extLst>
            <c:ext xmlns:c16="http://schemas.microsoft.com/office/drawing/2014/chart" uri="{C3380CC4-5D6E-409C-BE32-E72D297353CC}">
              <c16:uniqueId val="{00000006-1D9B-4F90-B2B2-4825475971A1}"/>
            </c:ext>
          </c:extLst>
        </c:ser>
        <c:ser>
          <c:idx val="13"/>
          <c:order val="8"/>
          <c:tx>
            <c:strRef>
              <c:f>Dat_01!$B$293</c:f>
              <c:strCache>
                <c:ptCount val="1"/>
                <c:pt idx="0">
                  <c:v>Otras Renovables</c:v>
                </c:pt>
              </c:strCache>
            </c:strRef>
          </c:tx>
          <c:spPr>
            <a:solidFill>
              <a:srgbClr val="9A5CBC"/>
            </a:solidFill>
            <a:ln>
              <a:noFill/>
            </a:ln>
            <a:effectLst/>
          </c:spPr>
          <c:invertIfNegative val="0"/>
          <c:val>
            <c:numRef>
              <c:f>Dat_01!$C$293:$O$293</c:f>
              <c:numCache>
                <c:formatCode>#,##0.0</c:formatCode>
                <c:ptCount val="13"/>
                <c:pt idx="0">
                  <c:v>152.5</c:v>
                </c:pt>
                <c:pt idx="1">
                  <c:v>335.75</c:v>
                </c:pt>
                <c:pt idx="2">
                  <c:v>196.5</c:v>
                </c:pt>
                <c:pt idx="3">
                  <c:v>252</c:v>
                </c:pt>
                <c:pt idx="4">
                  <c:v>18</c:v>
                </c:pt>
                <c:pt idx="5">
                  <c:v>51</c:v>
                </c:pt>
                <c:pt idx="6">
                  <c:v>147</c:v>
                </c:pt>
                <c:pt idx="7">
                  <c:v>6</c:v>
                </c:pt>
                <c:pt idx="8">
                  <c:v>406.75</c:v>
                </c:pt>
                <c:pt idx="9">
                  <c:v>112</c:v>
                </c:pt>
                <c:pt idx="10">
                  <c:v>60</c:v>
                </c:pt>
                <c:pt idx="11">
                  <c:v>17.5</c:v>
                </c:pt>
                <c:pt idx="12">
                  <c:v>210</c:v>
                </c:pt>
              </c:numCache>
            </c:numRef>
          </c:val>
          <c:extLst>
            <c:ext xmlns:c16="http://schemas.microsoft.com/office/drawing/2014/chart" uri="{C3380CC4-5D6E-409C-BE32-E72D297353CC}">
              <c16:uniqueId val="{00000001-6E0F-4B47-A32A-FEB6962B9CB2}"/>
            </c:ext>
          </c:extLst>
        </c:ser>
        <c:ser>
          <c:idx val="9"/>
          <c:order val="9"/>
          <c:tx>
            <c:strRef>
              <c:f>Dat_01!$B$295</c:f>
              <c:strCache>
                <c:ptCount val="1"/>
                <c:pt idx="0">
                  <c:v>Solar fotovoltaica</c:v>
                </c:pt>
              </c:strCache>
            </c:strRef>
          </c:tx>
          <c:spPr>
            <a:solidFill>
              <a:srgbClr val="EE6112"/>
            </a:solidFill>
            <a:ln>
              <a:noFill/>
            </a:ln>
            <a:effectLst/>
          </c:spPr>
          <c:invertIfNegative val="0"/>
          <c:val>
            <c:numRef>
              <c:f>Dat_01!$C$295:$O$295</c:f>
              <c:numCache>
                <c:formatCode>#,##0.0</c:formatCode>
                <c:ptCount val="13"/>
                <c:pt idx="0">
                  <c:v>56016.35</c:v>
                </c:pt>
                <c:pt idx="1">
                  <c:v>54552.375</c:v>
                </c:pt>
                <c:pt idx="2">
                  <c:v>20732.650000000001</c:v>
                </c:pt>
                <c:pt idx="3">
                  <c:v>21085.15</c:v>
                </c:pt>
                <c:pt idx="4">
                  <c:v>18646.599999999999</c:v>
                </c:pt>
                <c:pt idx="5">
                  <c:v>23535.525000000001</c:v>
                </c:pt>
                <c:pt idx="6">
                  <c:v>42195.45</c:v>
                </c:pt>
                <c:pt idx="7">
                  <c:v>96803.75</c:v>
                </c:pt>
                <c:pt idx="8">
                  <c:v>144982.54999999999</c:v>
                </c:pt>
                <c:pt idx="9">
                  <c:v>92281.725000000006</c:v>
                </c:pt>
                <c:pt idx="10">
                  <c:v>30492.3</c:v>
                </c:pt>
                <c:pt idx="11">
                  <c:v>78426.2</c:v>
                </c:pt>
                <c:pt idx="12">
                  <c:v>114413.125</c:v>
                </c:pt>
              </c:numCache>
            </c:numRef>
          </c:val>
          <c:extLst>
            <c:ext xmlns:c16="http://schemas.microsoft.com/office/drawing/2014/chart" uri="{C3380CC4-5D6E-409C-BE32-E72D297353CC}">
              <c16:uniqueId val="{00000007-1D9B-4F90-B2B2-4825475971A1}"/>
            </c:ext>
          </c:extLst>
        </c:ser>
        <c:ser>
          <c:idx val="10"/>
          <c:order val="10"/>
          <c:tx>
            <c:strRef>
              <c:f>Dat_01!$B$296</c:f>
              <c:strCache>
                <c:ptCount val="1"/>
                <c:pt idx="0">
                  <c:v>Solar térmica</c:v>
                </c:pt>
              </c:strCache>
            </c:strRef>
          </c:tx>
          <c:spPr>
            <a:solidFill>
              <a:srgbClr val="FF0000"/>
            </a:solidFill>
            <a:ln>
              <a:noFill/>
            </a:ln>
            <a:effectLst/>
          </c:spPr>
          <c:invertIfNegative val="0"/>
          <c:val>
            <c:numRef>
              <c:f>Dat_01!$C$296:$O$296</c:f>
              <c:numCache>
                <c:formatCode>#,##0.0</c:formatCode>
                <c:ptCount val="13"/>
                <c:pt idx="0">
                  <c:v>1854.825</c:v>
                </c:pt>
                <c:pt idx="1">
                  <c:v>7491.5</c:v>
                </c:pt>
                <c:pt idx="2">
                  <c:v>13007.775</c:v>
                </c:pt>
                <c:pt idx="3">
                  <c:v>19087.900000000001</c:v>
                </c:pt>
                <c:pt idx="4">
                  <c:v>14697</c:v>
                </c:pt>
                <c:pt idx="5">
                  <c:v>17053.275000000001</c:v>
                </c:pt>
                <c:pt idx="6">
                  <c:v>17562.8</c:v>
                </c:pt>
                <c:pt idx="7">
                  <c:v>11071.275</c:v>
                </c:pt>
                <c:pt idx="8">
                  <c:v>9716.75</c:v>
                </c:pt>
                <c:pt idx="9">
                  <c:v>3151.25</c:v>
                </c:pt>
                <c:pt idx="10">
                  <c:v>3067.5</c:v>
                </c:pt>
                <c:pt idx="11">
                  <c:v>1371</c:v>
                </c:pt>
                <c:pt idx="12">
                  <c:v>1764.75</c:v>
                </c:pt>
              </c:numCache>
            </c:numRef>
          </c:val>
          <c:extLst xmlns:c15="http://schemas.microsoft.com/office/drawing/2012/chart">
            <c:ext xmlns:c16="http://schemas.microsoft.com/office/drawing/2014/chart" uri="{C3380CC4-5D6E-409C-BE32-E72D297353CC}">
              <c16:uniqueId val="{00000008-1D9B-4F90-B2B2-4825475971A1}"/>
            </c:ext>
          </c:extLst>
        </c:ser>
        <c:ser>
          <c:idx val="12"/>
          <c:order val="11"/>
          <c:tx>
            <c:strRef>
              <c:f>Dat_01!$B$297</c:f>
              <c:strCache>
                <c:ptCount val="1"/>
                <c:pt idx="0">
                  <c:v>Turbinación bombeo</c:v>
                </c:pt>
              </c:strCache>
            </c:strRef>
          </c:tx>
          <c:spPr>
            <a:solidFill>
              <a:schemeClr val="accent1">
                <a:lumMod val="80000"/>
                <a:lumOff val="20000"/>
              </a:schemeClr>
            </a:solidFill>
            <a:ln>
              <a:noFill/>
            </a:ln>
            <a:effectLst/>
          </c:spPr>
          <c:invertIfNegative val="0"/>
          <c:val>
            <c:numRef>
              <c:f>Dat_01!$C$297:$O$297</c:f>
              <c:numCache>
                <c:formatCode>#,##0.0</c:formatCode>
                <c:ptCount val="13"/>
                <c:pt idx="0">
                  <c:v>17942.75</c:v>
                </c:pt>
                <c:pt idx="1">
                  <c:v>24462.5</c:v>
                </c:pt>
                <c:pt idx="2">
                  <c:v>27379.85</c:v>
                </c:pt>
                <c:pt idx="3">
                  <c:v>27583.724999999999</c:v>
                </c:pt>
                <c:pt idx="4">
                  <c:v>25957.25</c:v>
                </c:pt>
                <c:pt idx="5">
                  <c:v>46658.175000000003</c:v>
                </c:pt>
                <c:pt idx="6">
                  <c:v>51895.625</c:v>
                </c:pt>
                <c:pt idx="7">
                  <c:v>37795.15</c:v>
                </c:pt>
                <c:pt idx="8">
                  <c:v>27303.9</c:v>
                </c:pt>
                <c:pt idx="9">
                  <c:v>14841.9</c:v>
                </c:pt>
                <c:pt idx="10">
                  <c:v>10692.35</c:v>
                </c:pt>
                <c:pt idx="11">
                  <c:v>13728.975</c:v>
                </c:pt>
                <c:pt idx="12">
                  <c:v>13260.225</c:v>
                </c:pt>
              </c:numCache>
            </c:numRef>
          </c:val>
          <c:extLst>
            <c:ext xmlns:c16="http://schemas.microsoft.com/office/drawing/2014/chart" uri="{C3380CC4-5D6E-409C-BE32-E72D297353CC}">
              <c16:uniqueId val="{00000001-5E88-4874-99F0-5BC45A3953B0}"/>
            </c:ext>
          </c:extLst>
        </c:ser>
        <c:ser>
          <c:idx val="14"/>
          <c:order val="12"/>
          <c:tx>
            <c:strRef>
              <c:f>Dat_01!$B$288</c:f>
              <c:strCache>
                <c:ptCount val="1"/>
                <c:pt idx="0">
                  <c:v>Hibridación</c:v>
                </c:pt>
              </c:strCache>
            </c:strRef>
          </c:tx>
          <c:spPr>
            <a:solidFill>
              <a:srgbClr val="28A064"/>
            </a:solidFill>
            <a:ln>
              <a:noFill/>
            </a:ln>
            <a:effectLst/>
          </c:spPr>
          <c:invertIfNegative val="0"/>
          <c:val>
            <c:numRef>
              <c:f>Dat_01!$C$288:$O$288</c:f>
              <c:numCache>
                <c:formatCode>#,##0.0</c:formatCode>
                <c:ptCount val="13"/>
                <c:pt idx="0">
                  <c:v>0</c:v>
                </c:pt>
                <c:pt idx="1">
                  <c:v>0</c:v>
                </c:pt>
                <c:pt idx="2">
                  <c:v>0</c:v>
                </c:pt>
                <c:pt idx="3">
                  <c:v>0</c:v>
                </c:pt>
                <c:pt idx="4">
                  <c:v>0</c:v>
                </c:pt>
                <c:pt idx="5">
                  <c:v>0</c:v>
                </c:pt>
                <c:pt idx="6">
                  <c:v>0</c:v>
                </c:pt>
                <c:pt idx="7">
                  <c:v>0</c:v>
                </c:pt>
                <c:pt idx="8">
                  <c:v>27</c:v>
                </c:pt>
                <c:pt idx="9">
                  <c:v>41.875</c:v>
                </c:pt>
                <c:pt idx="10">
                  <c:v>0</c:v>
                </c:pt>
                <c:pt idx="11">
                  <c:v>0</c:v>
                </c:pt>
                <c:pt idx="12">
                  <c:v>0</c:v>
                </c:pt>
              </c:numCache>
            </c:numRef>
          </c:val>
          <c:extLst>
            <c:ext xmlns:c16="http://schemas.microsoft.com/office/drawing/2014/chart" uri="{C3380CC4-5D6E-409C-BE32-E72D297353CC}">
              <c16:uniqueId val="{00000000-7E4A-44B8-A65C-3D2FDD8E42E5}"/>
            </c:ext>
          </c:extLst>
        </c:ser>
        <c:dLbls>
          <c:showLegendKey val="0"/>
          <c:showVal val="0"/>
          <c:showCatName val="0"/>
          <c:showSerName val="0"/>
          <c:showPercent val="0"/>
          <c:showBubbleSize val="0"/>
        </c:dLbls>
        <c:gapWidth val="150"/>
        <c:overlap val="100"/>
        <c:axId val="531378160"/>
        <c:axId val="531378552"/>
        <c:extLst>
          <c:ext xmlns:c15="http://schemas.microsoft.com/office/drawing/2012/chart" uri="{02D57815-91ED-43cb-92C2-25804820EDAC}">
            <c15:filteredBarSeries>
              <c15:ser>
                <c:idx val="11"/>
                <c:order val="0"/>
                <c:tx>
                  <c:strRef>
                    <c:extLst>
                      <c:ext uri="{02D57815-91ED-43cb-92C2-25804820EDAC}">
                        <c15:formulaRef>
                          <c15:sqref>Dat_01!$B$280</c15:sqref>
                        </c15:formulaRef>
                      </c:ext>
                    </c:extLst>
                    <c:strCache>
                      <c:ptCount val="1"/>
                      <c:pt idx="0">
                        <c:v>Adquisición de Energía</c:v>
                      </c:pt>
                    </c:strCache>
                  </c:strRef>
                </c:tx>
                <c:spPr>
                  <a:solidFill>
                    <a:srgbClr val="FFDD00"/>
                  </a:solidFill>
                  <a:ln>
                    <a:noFill/>
                  </a:ln>
                  <a:effectLst/>
                </c:spPr>
                <c:invertIfNegative val="0"/>
                <c:val>
                  <c:numRef>
                    <c:extLst>
                      <c:ext uri="{02D57815-91ED-43cb-92C2-25804820EDAC}">
                        <c15:formulaRef>
                          <c15:sqref>Dat_01!$C$280:$O$280</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EEF7-41E3-86BF-29F562F37D45}"/>
                  </c:ext>
                </c:extLst>
              </c15:ser>
            </c15:filteredBarSeries>
          </c:ext>
        </c:extLst>
      </c:barChart>
      <c:lineChart>
        <c:grouping val="standard"/>
        <c:varyColors val="0"/>
        <c:ser>
          <c:idx val="8"/>
          <c:order val="13"/>
          <c:tx>
            <c:v>Precio medio necesidades a subir</c:v>
          </c:tx>
          <c:spPr>
            <a:ln w="28575" cap="rnd">
              <a:solidFill>
                <a:srgbClr val="004563"/>
              </a:solidFill>
              <a:round/>
            </a:ln>
            <a:effectLst/>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9-1D9B-4F90-B2B2-4825475971A1}"/>
            </c:ext>
          </c:extLst>
        </c:ser>
        <c:ser>
          <c:idx val="7"/>
          <c:order val="14"/>
          <c:tx>
            <c:v>Precio ponderado necesidades a bajar</c:v>
          </c:tx>
          <c:spPr>
            <a:ln w="28575" cap="rnd">
              <a:solidFill>
                <a:srgbClr val="404040"/>
              </a:solidFill>
              <a:round/>
            </a:ln>
            <a:effectLst/>
          </c:spPr>
          <c:marker>
            <c:symbol val="none"/>
          </c:marker>
          <c:val>
            <c:numRef>
              <c:f>Dat_01!$C$419:$O$419</c:f>
              <c:numCache>
                <c:formatCode>#,##0.00</c:formatCode>
                <c:ptCount val="13"/>
                <c:pt idx="0">
                  <c:v>31.9436785560655</c:v>
                </c:pt>
                <c:pt idx="1">
                  <c:v>25.912088802029398</c:v>
                </c:pt>
                <c:pt idx="2">
                  <c:v>35.9725635476034</c:v>
                </c:pt>
                <c:pt idx="3">
                  <c:v>59.567486707092399</c:v>
                </c:pt>
                <c:pt idx="4">
                  <c:v>71.541896375312902</c:v>
                </c:pt>
                <c:pt idx="5">
                  <c:v>54.339434263671102</c:v>
                </c:pt>
                <c:pt idx="6">
                  <c:v>56.634930359701102</c:v>
                </c:pt>
                <c:pt idx="7">
                  <c:v>3.8096046056091901</c:v>
                </c:pt>
                <c:pt idx="8">
                  <c:v>-1.42669961329615</c:v>
                </c:pt>
                <c:pt idx="9">
                  <c:v>-4.0810580168089503</c:v>
                </c:pt>
                <c:pt idx="10">
                  <c:v>64.248668094270599</c:v>
                </c:pt>
                <c:pt idx="11">
                  <c:v>22.334454021240301</c:v>
                </c:pt>
                <c:pt idx="12">
                  <c:v>8.1725149183241292</c:v>
                </c:pt>
              </c:numCache>
            </c:numRef>
          </c:val>
          <c:smooth val="0"/>
          <c:extLst>
            <c:ext xmlns:c16="http://schemas.microsoft.com/office/drawing/2014/chart" uri="{C3380CC4-5D6E-409C-BE32-E72D297353CC}">
              <c16:uniqueId val="{00000000-7446-4108-839C-E59F82D86780}"/>
            </c:ext>
          </c:extLst>
        </c:ser>
        <c:dLbls>
          <c:showLegendKey val="0"/>
          <c:showVal val="0"/>
          <c:showCatName val="0"/>
          <c:showSerName val="0"/>
          <c:showPercent val="0"/>
          <c:showBubbleSize val="0"/>
        </c:dLbls>
        <c:marker val="1"/>
        <c:smooth val="0"/>
        <c:axId val="531379336"/>
        <c:axId val="531378944"/>
      </c:lineChart>
      <c:catAx>
        <c:axId val="531378160"/>
        <c:scaling>
          <c:orientation val="minMax"/>
        </c:scaling>
        <c:delete val="1"/>
        <c:axPos val="t"/>
        <c:numFmt formatCode="General" sourceLinked="1"/>
        <c:majorTickMark val="out"/>
        <c:minorTickMark val="none"/>
        <c:tickLblPos val="low"/>
        <c:crossAx val="531378552"/>
        <c:crosses val="autoZero"/>
        <c:auto val="1"/>
        <c:lblAlgn val="ctr"/>
        <c:lblOffset val="100"/>
        <c:noMultiLvlLbl val="0"/>
      </c:catAx>
      <c:valAx>
        <c:axId val="531378552"/>
        <c:scaling>
          <c:orientation val="maxMin"/>
          <c:max val="6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8160"/>
        <c:crosses val="autoZero"/>
        <c:crossBetween val="between"/>
        <c:majorUnit val="50000"/>
        <c:dispUnits>
          <c:builtInUnit val="thousands"/>
        </c:dispUnits>
      </c:valAx>
      <c:valAx>
        <c:axId val="531378944"/>
        <c:scaling>
          <c:orientation val="maxMin"/>
          <c:max val="180"/>
          <c:min val="-4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9336"/>
        <c:crosses val="max"/>
        <c:crossBetween val="between"/>
        <c:majorUnit val="20"/>
      </c:valAx>
      <c:catAx>
        <c:axId val="531379336"/>
        <c:scaling>
          <c:orientation val="minMax"/>
        </c:scaling>
        <c:delete val="1"/>
        <c:axPos val="t"/>
        <c:majorTickMark val="out"/>
        <c:minorTickMark val="none"/>
        <c:tickLblPos val="nextTo"/>
        <c:crossAx val="531378944"/>
        <c:crosses val="autoZero"/>
        <c:auto val="1"/>
        <c:lblAlgn val="ctr"/>
        <c:lblOffset val="100"/>
        <c:noMultiLvlLbl val="0"/>
      </c:catAx>
      <c:spPr>
        <a:noFill/>
        <a:ln>
          <a:noFill/>
        </a:ln>
        <a:effectLst/>
      </c:spPr>
    </c:plotArea>
    <c:legend>
      <c:legendPos val="b"/>
      <c:layout>
        <c:manualLayout>
          <c:xMode val="edge"/>
          <c:yMode val="edge"/>
          <c:x val="1.2558492965081875E-2"/>
          <c:y val="0.7338937374681167"/>
          <c:w val="0.96757061352840057"/>
          <c:h val="0.250178327033751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807465489407968E-2"/>
          <c:y val="9.4486306741537782E-2"/>
          <c:w val="0.89961354726056719"/>
          <c:h val="0.75649343154199533"/>
        </c:manualLayout>
      </c:layout>
      <c:barChart>
        <c:barDir val="col"/>
        <c:grouping val="stacked"/>
        <c:varyColors val="0"/>
        <c:ser>
          <c:idx val="17"/>
          <c:order val="1"/>
          <c:tx>
            <c:strRef>
              <c:f>Dat_01!$B$262</c:f>
              <c:strCache>
                <c:ptCount val="1"/>
                <c:pt idx="0">
                  <c:v>Carbón</c:v>
                </c:pt>
              </c:strCache>
            </c:strRef>
          </c:tx>
          <c:spPr>
            <a:solidFill>
              <a:srgbClr val="993300"/>
            </a:solidFill>
            <a:ln>
              <a:noFill/>
            </a:ln>
            <a:effectLst/>
          </c:spPr>
          <c:invertIfNegative val="0"/>
          <c:cat>
            <c:strRef>
              <c:f>Dat_01!$C$257:$O$257</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Dat_01!$C$262:$O$262</c:f>
              <c:numCache>
                <c:formatCode>#,##0.0</c:formatCode>
                <c:ptCount val="13"/>
                <c:pt idx="0">
                  <c:v>0</c:v>
                </c:pt>
                <c:pt idx="1">
                  <c:v>127.5</c:v>
                </c:pt>
                <c:pt idx="2">
                  <c:v>362</c:v>
                </c:pt>
                <c:pt idx="3">
                  <c:v>1633</c:v>
                </c:pt>
                <c:pt idx="4">
                  <c:v>2088.5</c:v>
                </c:pt>
                <c:pt idx="5">
                  <c:v>693</c:v>
                </c:pt>
                <c:pt idx="6">
                  <c:v>260</c:v>
                </c:pt>
                <c:pt idx="7">
                  <c:v>897.77499999999998</c:v>
                </c:pt>
                <c:pt idx="8">
                  <c:v>298.75</c:v>
                </c:pt>
                <c:pt idx="9">
                  <c:v>0</c:v>
                </c:pt>
                <c:pt idx="10">
                  <c:v>45</c:v>
                </c:pt>
                <c:pt idx="11">
                  <c:v>75.974999999999994</c:v>
                </c:pt>
                <c:pt idx="12">
                  <c:v>0</c:v>
                </c:pt>
              </c:numCache>
            </c:numRef>
          </c:val>
          <c:extLst>
            <c:ext xmlns:c16="http://schemas.microsoft.com/office/drawing/2014/chart" uri="{C3380CC4-5D6E-409C-BE32-E72D297353CC}">
              <c16:uniqueId val="{00000000-FAA4-4CCE-8D4F-74A3A14856A0}"/>
            </c:ext>
          </c:extLst>
        </c:ser>
        <c:ser>
          <c:idx val="18"/>
          <c:order val="2"/>
          <c:tx>
            <c:strRef>
              <c:f>Dat_01!$B$263</c:f>
              <c:strCache>
                <c:ptCount val="1"/>
                <c:pt idx="0">
                  <c:v>Ciclo Combinado</c:v>
                </c:pt>
              </c:strCache>
            </c:strRef>
          </c:tx>
          <c:spPr>
            <a:solidFill>
              <a:srgbClr val="FFCC66"/>
            </a:solidFill>
            <a:ln>
              <a:noFill/>
            </a:ln>
            <a:effectLst/>
          </c:spPr>
          <c:invertIfNegative val="0"/>
          <c:cat>
            <c:strRef>
              <c:f>Dat_01!$C$257:$O$257</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Dat_01!$C$263:$O$263</c:f>
              <c:numCache>
                <c:formatCode>#,##0.0</c:formatCode>
                <c:ptCount val="13"/>
                <c:pt idx="0">
                  <c:v>165694.04999999999</c:v>
                </c:pt>
                <c:pt idx="1">
                  <c:v>125756.45</c:v>
                </c:pt>
                <c:pt idx="2">
                  <c:v>89216.125</c:v>
                </c:pt>
                <c:pt idx="3">
                  <c:v>197862.55</c:v>
                </c:pt>
                <c:pt idx="4">
                  <c:v>213803.25</c:v>
                </c:pt>
                <c:pt idx="5">
                  <c:v>129121.52499999999</c:v>
                </c:pt>
                <c:pt idx="6">
                  <c:v>119835.95</c:v>
                </c:pt>
                <c:pt idx="7">
                  <c:v>65766.524999999994</c:v>
                </c:pt>
                <c:pt idx="8">
                  <c:v>18888.825000000001</c:v>
                </c:pt>
                <c:pt idx="9">
                  <c:v>20152.424999999999</c:v>
                </c:pt>
                <c:pt idx="10">
                  <c:v>150562.97500000001</c:v>
                </c:pt>
                <c:pt idx="11">
                  <c:v>111394.65</c:v>
                </c:pt>
                <c:pt idx="12">
                  <c:v>161963.32500000001</c:v>
                </c:pt>
              </c:numCache>
            </c:numRef>
          </c:val>
          <c:extLst>
            <c:ext xmlns:c16="http://schemas.microsoft.com/office/drawing/2014/chart" uri="{C3380CC4-5D6E-409C-BE32-E72D297353CC}">
              <c16:uniqueId val="{00000001-FAA4-4CCE-8D4F-74A3A14856A0}"/>
            </c:ext>
          </c:extLst>
        </c:ser>
        <c:ser>
          <c:idx val="19"/>
          <c:order val="3"/>
          <c:tx>
            <c:strRef>
              <c:f>Dat_01!$B$264</c:f>
              <c:strCache>
                <c:ptCount val="1"/>
                <c:pt idx="0">
                  <c:v>Cogeneración</c:v>
                </c:pt>
              </c:strCache>
            </c:strRef>
          </c:tx>
          <c:spPr>
            <a:solidFill>
              <a:srgbClr val="CFA2CA"/>
            </a:solidFill>
            <a:ln>
              <a:noFill/>
            </a:ln>
            <a:effectLst/>
          </c:spPr>
          <c:invertIfNegative val="0"/>
          <c:cat>
            <c:strRef>
              <c:f>Dat_01!$C$257:$O$257</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Dat_01!$C$264:$O$264</c:f>
              <c:numCache>
                <c:formatCode>#,##0.0</c:formatCode>
                <c:ptCount val="13"/>
                <c:pt idx="0">
                  <c:v>45.65</c:v>
                </c:pt>
                <c:pt idx="1">
                  <c:v>14.25</c:v>
                </c:pt>
                <c:pt idx="2">
                  <c:v>24.5</c:v>
                </c:pt>
                <c:pt idx="3">
                  <c:v>6</c:v>
                </c:pt>
                <c:pt idx="4">
                  <c:v>2.75</c:v>
                </c:pt>
                <c:pt idx="5">
                  <c:v>0</c:v>
                </c:pt>
                <c:pt idx="6">
                  <c:v>0</c:v>
                </c:pt>
                <c:pt idx="7">
                  <c:v>99.275000000000006</c:v>
                </c:pt>
                <c:pt idx="8">
                  <c:v>7.25</c:v>
                </c:pt>
                <c:pt idx="9">
                  <c:v>35.174999999999997</c:v>
                </c:pt>
                <c:pt idx="10">
                  <c:v>74.724999999999994</c:v>
                </c:pt>
                <c:pt idx="11">
                  <c:v>111</c:v>
                </c:pt>
                <c:pt idx="12">
                  <c:v>60.625</c:v>
                </c:pt>
              </c:numCache>
            </c:numRef>
          </c:val>
          <c:extLst>
            <c:ext xmlns:c16="http://schemas.microsoft.com/office/drawing/2014/chart" uri="{C3380CC4-5D6E-409C-BE32-E72D297353CC}">
              <c16:uniqueId val="{00000002-FAA4-4CCE-8D4F-74A3A14856A0}"/>
            </c:ext>
          </c:extLst>
        </c:ser>
        <c:ser>
          <c:idx val="20"/>
          <c:order val="4"/>
          <c:tx>
            <c:strRef>
              <c:f>Dat_01!$B$265</c:f>
              <c:strCache>
                <c:ptCount val="1"/>
                <c:pt idx="0">
                  <c:v>Consumo Bombeo</c:v>
                </c:pt>
              </c:strCache>
            </c:strRef>
          </c:tx>
          <c:spPr>
            <a:solidFill>
              <a:srgbClr val="2C4D75"/>
            </a:solidFill>
            <a:ln>
              <a:noFill/>
            </a:ln>
            <a:effectLst/>
          </c:spPr>
          <c:invertIfNegative val="0"/>
          <c:cat>
            <c:strRef>
              <c:f>Dat_01!$C$257:$O$257</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Dat_01!$C$265:$O$265</c:f>
              <c:numCache>
                <c:formatCode>#,##0.0</c:formatCode>
                <c:ptCount val="13"/>
                <c:pt idx="0">
                  <c:v>8039.05</c:v>
                </c:pt>
                <c:pt idx="1">
                  <c:v>7439.25</c:v>
                </c:pt>
                <c:pt idx="2">
                  <c:v>12368</c:v>
                </c:pt>
                <c:pt idx="3">
                  <c:v>6237.75</c:v>
                </c:pt>
                <c:pt idx="4">
                  <c:v>7032</c:v>
                </c:pt>
                <c:pt idx="5">
                  <c:v>12204.95</c:v>
                </c:pt>
                <c:pt idx="6">
                  <c:v>6649.75</c:v>
                </c:pt>
                <c:pt idx="7">
                  <c:v>13922</c:v>
                </c:pt>
                <c:pt idx="8">
                  <c:v>7157.5749999999998</c:v>
                </c:pt>
                <c:pt idx="9">
                  <c:v>13771.375</c:v>
                </c:pt>
                <c:pt idx="10">
                  <c:v>10233.450000000001</c:v>
                </c:pt>
                <c:pt idx="11">
                  <c:v>3364.5</c:v>
                </c:pt>
                <c:pt idx="12">
                  <c:v>4842.1000000000004</c:v>
                </c:pt>
              </c:numCache>
            </c:numRef>
          </c:val>
          <c:extLst>
            <c:ext xmlns:c16="http://schemas.microsoft.com/office/drawing/2014/chart" uri="{C3380CC4-5D6E-409C-BE32-E72D297353CC}">
              <c16:uniqueId val="{00000003-FAA4-4CCE-8D4F-74A3A14856A0}"/>
            </c:ext>
          </c:extLst>
        </c:ser>
        <c:ser>
          <c:idx val="21"/>
          <c:order val="5"/>
          <c:tx>
            <c:strRef>
              <c:f>Dat_01!$B$267</c:f>
              <c:strCache>
                <c:ptCount val="1"/>
                <c:pt idx="0">
                  <c:v>Eólica</c:v>
                </c:pt>
              </c:strCache>
            </c:strRef>
          </c:tx>
          <c:spPr>
            <a:solidFill>
              <a:srgbClr val="70AD47"/>
            </a:solidFill>
            <a:ln>
              <a:noFill/>
            </a:ln>
            <a:effectLst/>
          </c:spPr>
          <c:invertIfNegative val="0"/>
          <c:cat>
            <c:strRef>
              <c:f>Dat_01!$C$257:$O$257</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Dat_01!$C$267:$O$267</c:f>
              <c:numCache>
                <c:formatCode>#,##0.0</c:formatCode>
                <c:ptCount val="13"/>
                <c:pt idx="0">
                  <c:v>12857.125</c:v>
                </c:pt>
                <c:pt idx="1">
                  <c:v>10297.075000000001</c:v>
                </c:pt>
                <c:pt idx="2">
                  <c:v>17407.400000000001</c:v>
                </c:pt>
                <c:pt idx="3">
                  <c:v>18914.650000000001</c:v>
                </c:pt>
                <c:pt idx="4">
                  <c:v>19104.8</c:v>
                </c:pt>
                <c:pt idx="5">
                  <c:v>19423.2</c:v>
                </c:pt>
                <c:pt idx="6">
                  <c:v>12835.85</c:v>
                </c:pt>
                <c:pt idx="7">
                  <c:v>17127.724999999999</c:v>
                </c:pt>
                <c:pt idx="8">
                  <c:v>14921.8</c:v>
                </c:pt>
                <c:pt idx="9">
                  <c:v>16516.95</c:v>
                </c:pt>
                <c:pt idx="10">
                  <c:v>18618.8</c:v>
                </c:pt>
                <c:pt idx="11">
                  <c:v>14987.65</c:v>
                </c:pt>
                <c:pt idx="12">
                  <c:v>13106.95</c:v>
                </c:pt>
              </c:numCache>
            </c:numRef>
          </c:val>
          <c:extLst>
            <c:ext xmlns:c16="http://schemas.microsoft.com/office/drawing/2014/chart" uri="{C3380CC4-5D6E-409C-BE32-E72D297353CC}">
              <c16:uniqueId val="{00000004-FAA4-4CCE-8D4F-74A3A14856A0}"/>
            </c:ext>
          </c:extLst>
        </c:ser>
        <c:ser>
          <c:idx val="22"/>
          <c:order val="6"/>
          <c:tx>
            <c:strRef>
              <c:f>Dat_01!$B$270</c:f>
              <c:strCache>
                <c:ptCount val="1"/>
                <c:pt idx="0">
                  <c:v>Hidráulica</c:v>
                </c:pt>
              </c:strCache>
            </c:strRef>
          </c:tx>
          <c:spPr>
            <a:solidFill>
              <a:srgbClr val="0090D1"/>
            </a:solidFill>
            <a:ln>
              <a:noFill/>
            </a:ln>
            <a:effectLst/>
          </c:spPr>
          <c:invertIfNegative val="0"/>
          <c:cat>
            <c:strRef>
              <c:f>Dat_01!$C$257:$O$257</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Dat_01!$C$270:$O$270</c:f>
              <c:numCache>
                <c:formatCode>#,##0.0</c:formatCode>
                <c:ptCount val="13"/>
                <c:pt idx="0">
                  <c:v>18607.349999999999</c:v>
                </c:pt>
                <c:pt idx="1">
                  <c:v>15957.25</c:v>
                </c:pt>
                <c:pt idx="2">
                  <c:v>25102.724999999999</c:v>
                </c:pt>
                <c:pt idx="3">
                  <c:v>20039.8</c:v>
                </c:pt>
                <c:pt idx="4">
                  <c:v>26686.775000000001</c:v>
                </c:pt>
                <c:pt idx="5">
                  <c:v>30557.85</c:v>
                </c:pt>
                <c:pt idx="6">
                  <c:v>23615.575000000001</c:v>
                </c:pt>
                <c:pt idx="7">
                  <c:v>26903.4</c:v>
                </c:pt>
                <c:pt idx="8">
                  <c:v>24686.325000000001</c:v>
                </c:pt>
                <c:pt idx="9">
                  <c:v>20361.7</c:v>
                </c:pt>
                <c:pt idx="10">
                  <c:v>15819.9</c:v>
                </c:pt>
                <c:pt idx="11">
                  <c:v>27721.9</c:v>
                </c:pt>
                <c:pt idx="12">
                  <c:v>27274.55</c:v>
                </c:pt>
              </c:numCache>
            </c:numRef>
          </c:val>
          <c:extLst>
            <c:ext xmlns:c16="http://schemas.microsoft.com/office/drawing/2014/chart" uri="{C3380CC4-5D6E-409C-BE32-E72D297353CC}">
              <c16:uniqueId val="{00000005-FAA4-4CCE-8D4F-74A3A14856A0}"/>
            </c:ext>
          </c:extLst>
        </c:ser>
        <c:ser>
          <c:idx val="23"/>
          <c:order val="7"/>
          <c:tx>
            <c:strRef>
              <c:f>Dat_01!$B$273</c:f>
              <c:strCache>
                <c:ptCount val="1"/>
                <c:pt idx="0">
                  <c:v>Nuclear</c:v>
                </c:pt>
              </c:strCache>
            </c:strRef>
          </c:tx>
          <c:spPr>
            <a:solidFill>
              <a:srgbClr val="464394"/>
            </a:solidFill>
            <a:ln>
              <a:noFill/>
            </a:ln>
            <a:effectLst/>
          </c:spPr>
          <c:invertIfNegative val="0"/>
          <c:cat>
            <c:strRef>
              <c:f>Dat_01!$C$257:$O$257</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Dat_01!$C$273:$O$273</c:f>
              <c:numCache>
                <c:formatCode>#,##0.0</c:formatCode>
                <c:ptCount val="13"/>
                <c:pt idx="0">
                  <c:v>342</c:v>
                </c:pt>
                <c:pt idx="1">
                  <c:v>0</c:v>
                </c:pt>
                <c:pt idx="2">
                  <c:v>0</c:v>
                </c:pt>
                <c:pt idx="3">
                  <c:v>119.52500000000001</c:v>
                </c:pt>
                <c:pt idx="4">
                  <c:v>15.75</c:v>
                </c:pt>
                <c:pt idx="5">
                  <c:v>369.95</c:v>
                </c:pt>
                <c:pt idx="6">
                  <c:v>0</c:v>
                </c:pt>
                <c:pt idx="7">
                  <c:v>384.25</c:v>
                </c:pt>
                <c:pt idx="8">
                  <c:v>324.5</c:v>
                </c:pt>
                <c:pt idx="9">
                  <c:v>1562.875</c:v>
                </c:pt>
                <c:pt idx="10">
                  <c:v>1112.175</c:v>
                </c:pt>
                <c:pt idx="11">
                  <c:v>171.25</c:v>
                </c:pt>
                <c:pt idx="12">
                  <c:v>85</c:v>
                </c:pt>
              </c:numCache>
            </c:numRef>
          </c:val>
          <c:extLst>
            <c:ext xmlns:c16="http://schemas.microsoft.com/office/drawing/2014/chart" uri="{C3380CC4-5D6E-409C-BE32-E72D297353CC}">
              <c16:uniqueId val="{00000006-FAA4-4CCE-8D4F-74A3A14856A0}"/>
            </c:ext>
          </c:extLst>
        </c:ser>
        <c:ser>
          <c:idx val="5"/>
          <c:order val="8"/>
          <c:tx>
            <c:strRef>
              <c:f>Dat_01!$B$274</c:f>
              <c:strCache>
                <c:ptCount val="1"/>
                <c:pt idx="0">
                  <c:v>Otras Renovables</c:v>
                </c:pt>
              </c:strCache>
            </c:strRef>
          </c:tx>
          <c:spPr>
            <a:solidFill>
              <a:srgbClr val="9A5CBC"/>
            </a:solidFill>
            <a:ln>
              <a:noFill/>
            </a:ln>
            <a:effectLst/>
          </c:spPr>
          <c:invertIfNegative val="0"/>
          <c:val>
            <c:numRef>
              <c:f>Dat_01!$C$274:$O$274</c:f>
              <c:numCache>
                <c:formatCode>#,##0.0</c:formatCode>
                <c:ptCount val="13"/>
                <c:pt idx="0">
                  <c:v>0</c:v>
                </c:pt>
                <c:pt idx="1">
                  <c:v>2</c:v>
                </c:pt>
                <c:pt idx="2">
                  <c:v>10</c:v>
                </c:pt>
                <c:pt idx="3">
                  <c:v>0</c:v>
                </c:pt>
                <c:pt idx="4">
                  <c:v>0</c:v>
                </c:pt>
                <c:pt idx="5">
                  <c:v>0</c:v>
                </c:pt>
                <c:pt idx="6">
                  <c:v>28</c:v>
                </c:pt>
                <c:pt idx="7">
                  <c:v>266.25</c:v>
                </c:pt>
                <c:pt idx="8">
                  <c:v>44.25</c:v>
                </c:pt>
                <c:pt idx="9">
                  <c:v>17.75</c:v>
                </c:pt>
                <c:pt idx="10">
                  <c:v>4</c:v>
                </c:pt>
                <c:pt idx="11">
                  <c:v>3</c:v>
                </c:pt>
                <c:pt idx="12">
                  <c:v>46.25</c:v>
                </c:pt>
              </c:numCache>
            </c:numRef>
          </c:val>
          <c:extLst>
            <c:ext xmlns:c16="http://schemas.microsoft.com/office/drawing/2014/chart" uri="{C3380CC4-5D6E-409C-BE32-E72D297353CC}">
              <c16:uniqueId val="{00000003-C0D1-41AE-B280-BCCD7EDA71F4}"/>
            </c:ext>
          </c:extLst>
        </c:ser>
        <c:ser>
          <c:idx val="4"/>
          <c:order val="9"/>
          <c:tx>
            <c:strRef>
              <c:f>Dat_01!$B$276</c:f>
              <c:strCache>
                <c:ptCount val="1"/>
                <c:pt idx="0">
                  <c:v>Solar fotovoltaica</c:v>
                </c:pt>
              </c:strCache>
            </c:strRef>
          </c:tx>
          <c:spPr>
            <a:solidFill>
              <a:srgbClr val="EE6112"/>
            </a:solidFill>
            <a:ln>
              <a:noFill/>
            </a:ln>
            <a:effectLst/>
          </c:spPr>
          <c:invertIfNegative val="0"/>
          <c:cat>
            <c:strRef>
              <c:f>Dat_01!$C$257:$O$257</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Dat_01!$C$276:$O$276</c:f>
              <c:numCache>
                <c:formatCode>#,##0.0</c:formatCode>
                <c:ptCount val="13"/>
                <c:pt idx="0">
                  <c:v>5419.0249999999996</c:v>
                </c:pt>
                <c:pt idx="1">
                  <c:v>3986.1750000000002</c:v>
                </c:pt>
                <c:pt idx="2">
                  <c:v>5834.9250000000002</c:v>
                </c:pt>
                <c:pt idx="3">
                  <c:v>8104.85</c:v>
                </c:pt>
                <c:pt idx="4">
                  <c:v>5803.45</c:v>
                </c:pt>
                <c:pt idx="5">
                  <c:v>4828.8</c:v>
                </c:pt>
                <c:pt idx="6">
                  <c:v>5984.15</c:v>
                </c:pt>
                <c:pt idx="7">
                  <c:v>6692.5249999999996</c:v>
                </c:pt>
                <c:pt idx="8">
                  <c:v>4274.6750000000002</c:v>
                </c:pt>
                <c:pt idx="9">
                  <c:v>6754.4</c:v>
                </c:pt>
                <c:pt idx="10">
                  <c:v>14755.35</c:v>
                </c:pt>
                <c:pt idx="11">
                  <c:v>7808.2749999999996</c:v>
                </c:pt>
                <c:pt idx="12">
                  <c:v>13868.125</c:v>
                </c:pt>
              </c:numCache>
            </c:numRef>
          </c:val>
          <c:extLst>
            <c:ext xmlns:c16="http://schemas.microsoft.com/office/drawing/2014/chart" uri="{C3380CC4-5D6E-409C-BE32-E72D297353CC}">
              <c16:uniqueId val="{00000005-523E-4381-B453-4598D42EBE55}"/>
            </c:ext>
          </c:extLst>
        </c:ser>
        <c:ser>
          <c:idx val="1"/>
          <c:order val="10"/>
          <c:tx>
            <c:strRef>
              <c:f>Dat_01!$B$277</c:f>
              <c:strCache>
                <c:ptCount val="1"/>
                <c:pt idx="0">
                  <c:v>Solar térmica</c:v>
                </c:pt>
              </c:strCache>
            </c:strRef>
          </c:tx>
          <c:spPr>
            <a:solidFill>
              <a:srgbClr val="FF0000"/>
            </a:solidFill>
            <a:ln>
              <a:noFill/>
            </a:ln>
            <a:effectLst/>
          </c:spPr>
          <c:invertIfNegative val="0"/>
          <c:cat>
            <c:strRef>
              <c:f>Dat_01!$C$257:$O$257</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Dat_01!$C$277:$O$277</c:f>
              <c:numCache>
                <c:formatCode>#,##0.0</c:formatCode>
                <c:ptCount val="13"/>
                <c:pt idx="0">
                  <c:v>129</c:v>
                </c:pt>
                <c:pt idx="1">
                  <c:v>100.75</c:v>
                </c:pt>
                <c:pt idx="2">
                  <c:v>79.5</c:v>
                </c:pt>
                <c:pt idx="3">
                  <c:v>169</c:v>
                </c:pt>
                <c:pt idx="4">
                  <c:v>76.75</c:v>
                </c:pt>
                <c:pt idx="5">
                  <c:v>103.5</c:v>
                </c:pt>
                <c:pt idx="6">
                  <c:v>86</c:v>
                </c:pt>
                <c:pt idx="7">
                  <c:v>265.75</c:v>
                </c:pt>
                <c:pt idx="8">
                  <c:v>984</c:v>
                </c:pt>
                <c:pt idx="9">
                  <c:v>815.25</c:v>
                </c:pt>
                <c:pt idx="10">
                  <c:v>770.25</c:v>
                </c:pt>
                <c:pt idx="11">
                  <c:v>864.57500000000005</c:v>
                </c:pt>
                <c:pt idx="12">
                  <c:v>907.3</c:v>
                </c:pt>
              </c:numCache>
            </c:numRef>
          </c:val>
          <c:extLst>
            <c:ext xmlns:c16="http://schemas.microsoft.com/office/drawing/2014/chart" uri="{C3380CC4-5D6E-409C-BE32-E72D297353CC}">
              <c16:uniqueId val="{00000006-8804-4EE3-B2F3-6DEC3E90E4BD}"/>
            </c:ext>
          </c:extLst>
        </c:ser>
        <c:ser>
          <c:idx val="24"/>
          <c:order val="11"/>
          <c:tx>
            <c:strRef>
              <c:f>Dat_01!$B$278</c:f>
              <c:strCache>
                <c:ptCount val="1"/>
                <c:pt idx="0">
                  <c:v>Turbinación bombeo</c:v>
                </c:pt>
              </c:strCache>
            </c:strRef>
          </c:tx>
          <c:spPr>
            <a:solidFill>
              <a:srgbClr val="95B3D7"/>
            </a:solidFill>
            <a:ln>
              <a:noFill/>
            </a:ln>
            <a:effectLst/>
          </c:spPr>
          <c:invertIfNegative val="0"/>
          <c:cat>
            <c:strRef>
              <c:f>Dat_01!$C$257:$O$257</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Dat_01!$C$278:$O$278</c:f>
              <c:numCache>
                <c:formatCode>#,##0.0</c:formatCode>
                <c:ptCount val="13"/>
                <c:pt idx="0">
                  <c:v>12669</c:v>
                </c:pt>
                <c:pt idx="1">
                  <c:v>25155.45</c:v>
                </c:pt>
                <c:pt idx="2">
                  <c:v>19543.974999999999</c:v>
                </c:pt>
                <c:pt idx="3">
                  <c:v>11408.825000000001</c:v>
                </c:pt>
                <c:pt idx="4">
                  <c:v>14501.075000000001</c:v>
                </c:pt>
                <c:pt idx="5">
                  <c:v>15439.674999999999</c:v>
                </c:pt>
                <c:pt idx="6">
                  <c:v>8457.2749999999996</c:v>
                </c:pt>
                <c:pt idx="7">
                  <c:v>13758.475</c:v>
                </c:pt>
                <c:pt idx="8">
                  <c:v>13137.825000000001</c:v>
                </c:pt>
                <c:pt idx="9">
                  <c:v>16514.55</c:v>
                </c:pt>
                <c:pt idx="10">
                  <c:v>15115.8</c:v>
                </c:pt>
                <c:pt idx="11">
                  <c:v>6738.7</c:v>
                </c:pt>
                <c:pt idx="12">
                  <c:v>19303.125</c:v>
                </c:pt>
              </c:numCache>
            </c:numRef>
          </c:val>
          <c:extLst>
            <c:ext xmlns:c16="http://schemas.microsoft.com/office/drawing/2014/chart" uri="{C3380CC4-5D6E-409C-BE32-E72D297353CC}">
              <c16:uniqueId val="{00000007-FAA4-4CCE-8D4F-74A3A14856A0}"/>
            </c:ext>
          </c:extLst>
        </c:ser>
        <c:ser>
          <c:idx val="6"/>
          <c:order val="12"/>
          <c:tx>
            <c:strRef>
              <c:f>Dat_01!$B$269</c:f>
              <c:strCache>
                <c:ptCount val="1"/>
                <c:pt idx="0">
                  <c:v>Hibridación</c:v>
                </c:pt>
              </c:strCache>
            </c:strRef>
          </c:tx>
          <c:spPr>
            <a:solidFill>
              <a:srgbClr val="28A064"/>
            </a:solidFill>
            <a:ln>
              <a:noFill/>
            </a:ln>
            <a:effectLst/>
          </c:spPr>
          <c:invertIfNegative val="0"/>
          <c:val>
            <c:numRef>
              <c:f>Dat_01!$C$269:$O$269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C7A0-414B-B189-4CEEB41D219B}"/>
            </c:ext>
          </c:extLst>
        </c:ser>
        <c:dLbls>
          <c:showLegendKey val="0"/>
          <c:showVal val="0"/>
          <c:showCatName val="0"/>
          <c:showSerName val="0"/>
          <c:showPercent val="0"/>
          <c:showBubbleSize val="0"/>
        </c:dLbls>
        <c:gapWidth val="150"/>
        <c:overlap val="100"/>
        <c:axId val="531380120"/>
        <c:axId val="531380512"/>
        <c:extLst>
          <c:ext xmlns:c15="http://schemas.microsoft.com/office/drawing/2012/chart" uri="{02D57815-91ED-43cb-92C2-25804820EDAC}">
            <c15:filteredBarSeries>
              <c15:ser>
                <c:idx val="3"/>
                <c:order val="0"/>
                <c:tx>
                  <c:strRef>
                    <c:extLst>
                      <c:ext uri="{02D57815-91ED-43cb-92C2-25804820EDAC}">
                        <c15:formulaRef>
                          <c15:sqref>Dat_01!$B$261</c15:sqref>
                        </c15:formulaRef>
                      </c:ext>
                    </c:extLst>
                    <c:strCache>
                      <c:ptCount val="1"/>
                      <c:pt idx="0">
                        <c:v>Adquisición de Energía</c:v>
                      </c:pt>
                    </c:strCache>
                  </c:strRef>
                </c:tx>
                <c:spPr>
                  <a:solidFill>
                    <a:schemeClr val="accent4"/>
                  </a:solidFill>
                  <a:ln>
                    <a:noFill/>
                  </a:ln>
                  <a:effectLst/>
                </c:spPr>
                <c:invertIfNegative val="0"/>
                <c:cat>
                  <c:strRef>
                    <c:extLst>
                      <c:ext uri="{02D57815-91ED-43cb-92C2-25804820EDAC}">
                        <c15:formulaRef>
                          <c15:sqref>Dat_01!$C$257:$O$257</c15:sqref>
                        </c15:formulaRef>
                      </c:ext>
                    </c:extLst>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extLst>
                      <c:ext uri="{02D57815-91ED-43cb-92C2-25804820EDAC}">
                        <c15:formulaRef>
                          <c15:sqref>Dat_01!$C$261:$O$261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4-523E-4381-B453-4598D42EBE55}"/>
                  </c:ext>
                </c:extLst>
              </c15:ser>
            </c15:filteredBarSeries>
          </c:ext>
        </c:extLst>
      </c:barChart>
      <c:lineChart>
        <c:grouping val="standard"/>
        <c:varyColors val="0"/>
        <c:ser>
          <c:idx val="0"/>
          <c:order val="13"/>
          <c:tx>
            <c:v>Precio ponderado necesidades a subir</c:v>
          </c:tx>
          <c:spPr>
            <a:ln w="28575" cap="rnd">
              <a:solidFill>
                <a:srgbClr val="004563"/>
              </a:solidFill>
              <a:round/>
            </a:ln>
            <a:effectLst/>
          </c:spPr>
          <c:marker>
            <c:symbol val="none"/>
          </c:marker>
          <c:cat>
            <c:numRef>
              <c:f>Dat_01!$C$234:$O$234</c:f>
              <c:numCache>
                <c:formatCode>#,##0.0</c:formatCode>
                <c:ptCount val="13"/>
                <c:pt idx="0">
                  <c:v>8058.9750000000004</c:v>
                </c:pt>
                <c:pt idx="1">
                  <c:v>17383.25</c:v>
                </c:pt>
                <c:pt idx="2">
                  <c:v>19175.525000000001</c:v>
                </c:pt>
                <c:pt idx="3">
                  <c:v>10980.45</c:v>
                </c:pt>
                <c:pt idx="4">
                  <c:v>9205.7000000000007</c:v>
                </c:pt>
                <c:pt idx="5">
                  <c:v>28796.799999999999</c:v>
                </c:pt>
                <c:pt idx="6">
                  <c:v>30971.184000000001</c:v>
                </c:pt>
                <c:pt idx="7">
                  <c:v>23083.05</c:v>
                </c:pt>
                <c:pt idx="8">
                  <c:v>24323</c:v>
                </c:pt>
                <c:pt idx="9">
                  <c:v>15956.517</c:v>
                </c:pt>
                <c:pt idx="10">
                  <c:v>10532.25</c:v>
                </c:pt>
                <c:pt idx="11">
                  <c:v>10383.450000000001</c:v>
                </c:pt>
                <c:pt idx="12">
                  <c:v>10664.65</c:v>
                </c:pt>
              </c:numCache>
            </c:numRef>
          </c:cat>
          <c:val>
            <c:numRef>
              <c:f>Dat_01!$C$415:$O$415</c:f>
              <c:numCache>
                <c:formatCode>#,##0.00</c:formatCode>
                <c:ptCount val="13"/>
                <c:pt idx="0">
                  <c:v>115.105830533025</c:v>
                </c:pt>
                <c:pt idx="1">
                  <c:v>110.715963429957</c:v>
                </c:pt>
                <c:pt idx="2">
                  <c:v>87.959738396162805</c:v>
                </c:pt>
                <c:pt idx="3">
                  <c:v>130.53861334146299</c:v>
                </c:pt>
                <c:pt idx="4">
                  <c:v>147.46420178288</c:v>
                </c:pt>
                <c:pt idx="5">
                  <c:v>132.738858260623</c:v>
                </c:pt>
                <c:pt idx="6">
                  <c:v>118.507930128092</c:v>
                </c:pt>
                <c:pt idx="7">
                  <c:v>85.189289887866806</c:v>
                </c:pt>
                <c:pt idx="8">
                  <c:v>52.314215232632201</c:v>
                </c:pt>
                <c:pt idx="9">
                  <c:v>55.672629718271303</c:v>
                </c:pt>
                <c:pt idx="10">
                  <c:v>95.530108455874696</c:v>
                </c:pt>
                <c:pt idx="11">
                  <c:v>107.602873445448</c:v>
                </c:pt>
                <c:pt idx="12">
                  <c:v>105.480863873232</c:v>
                </c:pt>
              </c:numCache>
            </c:numRef>
          </c:val>
          <c:smooth val="0"/>
          <c:extLst xmlns:c15="http://schemas.microsoft.com/office/drawing/2012/chart">
            <c:ext xmlns:c16="http://schemas.microsoft.com/office/drawing/2014/chart" uri="{C3380CC4-5D6E-409C-BE32-E72D297353CC}">
              <c16:uniqueId val="{00000000-0F8C-48FA-9FE2-300BE1CB04DB}"/>
            </c:ext>
          </c:extLst>
        </c:ser>
        <c:ser>
          <c:idx val="2"/>
          <c:order val="14"/>
          <c:tx>
            <c:v>Precio ponderado necesidades a bajar</c:v>
          </c:tx>
          <c:spPr>
            <a:ln w="28575" cap="rnd">
              <a:solidFill>
                <a:srgbClr val="004563"/>
              </a:solidFill>
              <a:round/>
            </a:ln>
            <a:effectLst/>
          </c:spPr>
          <c:marker>
            <c:symbol val="none"/>
          </c:marker>
          <c:dPt>
            <c:idx val="0"/>
            <c:marker>
              <c:symbol val="circle"/>
              <c:size val="5"/>
              <c:spPr>
                <a:noFill/>
                <a:ln w="9525">
                  <a:noFill/>
                </a:ln>
                <a:effectLst/>
              </c:spPr>
            </c:marker>
            <c:bubble3D val="0"/>
            <c:extLst>
              <c:ext xmlns:c16="http://schemas.microsoft.com/office/drawing/2014/chart" uri="{C3380CC4-5D6E-409C-BE32-E72D297353CC}">
                <c16:uniqueId val="{00000000-13BF-48A8-B69D-B8D5E68BDEFF}"/>
              </c:ext>
            </c:extLst>
          </c:dPt>
          <c:dPt>
            <c:idx val="1"/>
            <c:marker>
              <c:symbol val="none"/>
            </c:marker>
            <c:bubble3D val="0"/>
            <c:extLst>
              <c:ext xmlns:c16="http://schemas.microsoft.com/office/drawing/2014/chart" uri="{C3380CC4-5D6E-409C-BE32-E72D297353CC}">
                <c16:uniqueId val="{00000001-13BF-48A8-B69D-B8D5E68BDEFF}"/>
              </c:ext>
            </c:extLst>
          </c:dPt>
          <c:cat>
            <c:numRef>
              <c:f>Dat_01!$C$234:$O$234</c:f>
              <c:numCache>
                <c:formatCode>#,##0.0</c:formatCode>
                <c:ptCount val="13"/>
                <c:pt idx="0">
                  <c:v>8058.9750000000004</c:v>
                </c:pt>
                <c:pt idx="1">
                  <c:v>17383.25</c:v>
                </c:pt>
                <c:pt idx="2">
                  <c:v>19175.525000000001</c:v>
                </c:pt>
                <c:pt idx="3">
                  <c:v>10980.45</c:v>
                </c:pt>
                <c:pt idx="4">
                  <c:v>9205.7000000000007</c:v>
                </c:pt>
                <c:pt idx="5">
                  <c:v>28796.799999999999</c:v>
                </c:pt>
                <c:pt idx="6">
                  <c:v>30971.184000000001</c:v>
                </c:pt>
                <c:pt idx="7">
                  <c:v>23083.05</c:v>
                </c:pt>
                <c:pt idx="8">
                  <c:v>24323</c:v>
                </c:pt>
                <c:pt idx="9">
                  <c:v>15956.517</c:v>
                </c:pt>
                <c:pt idx="10">
                  <c:v>10532.25</c:v>
                </c:pt>
                <c:pt idx="11">
                  <c:v>10383.450000000001</c:v>
                </c:pt>
                <c:pt idx="12">
                  <c:v>10664.65</c:v>
                </c:pt>
              </c:numCache>
            </c:numRef>
          </c:cat>
          <c:val>
            <c:numRef>
              <c:f>Dat_01!$C$421:$O$421</c:f>
              <c:numCache>
                <c:formatCode>General</c:formatCode>
                <c:ptCount val="13"/>
              </c:numCache>
            </c:numRef>
          </c:val>
          <c:smooth val="0"/>
          <c:extLst>
            <c:ext xmlns:c16="http://schemas.microsoft.com/office/drawing/2014/chart" uri="{C3380CC4-5D6E-409C-BE32-E72D297353CC}">
              <c16:uniqueId val="{00000017-0BB6-437A-8694-744A4374A8C7}"/>
            </c:ext>
          </c:extLst>
        </c:ser>
        <c:dLbls>
          <c:showLegendKey val="0"/>
          <c:showVal val="0"/>
          <c:showCatName val="0"/>
          <c:showSerName val="0"/>
          <c:showPercent val="0"/>
          <c:showBubbleSize val="0"/>
        </c:dLbls>
        <c:marker val="1"/>
        <c:smooth val="0"/>
        <c:axId val="1679778816"/>
        <c:axId val="1358625264"/>
      </c:lineChart>
      <c:catAx>
        <c:axId val="531380120"/>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512"/>
        <c:crosses val="autoZero"/>
        <c:auto val="1"/>
        <c:lblAlgn val="ctr"/>
        <c:lblOffset val="100"/>
        <c:noMultiLvlLbl val="0"/>
      </c:catAx>
      <c:valAx>
        <c:axId val="531380512"/>
        <c:scaling>
          <c:orientation val="minMax"/>
          <c:max val="6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120"/>
        <c:crosses val="autoZero"/>
        <c:crossBetween val="between"/>
        <c:majorUnit val="50000"/>
        <c:dispUnits>
          <c:builtInUnit val="thousands"/>
        </c:dispUnits>
      </c:valAx>
      <c:valAx>
        <c:axId val="1358625264"/>
        <c:scaling>
          <c:orientation val="minMax"/>
          <c:max val="180"/>
          <c:min val="-4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1679778816"/>
        <c:crosses val="max"/>
        <c:crossBetween val="between"/>
        <c:majorUnit val="20"/>
      </c:valAx>
      <c:catAx>
        <c:axId val="1679778816"/>
        <c:scaling>
          <c:orientation val="minMax"/>
        </c:scaling>
        <c:delete val="1"/>
        <c:axPos val="b"/>
        <c:numFmt formatCode="#,##0.0" sourceLinked="1"/>
        <c:majorTickMark val="out"/>
        <c:minorTickMark val="none"/>
        <c:tickLblPos val="nextTo"/>
        <c:crossAx val="1358625264"/>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33550132249E-2"/>
          <c:y val="9.4486306741537782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cat>
            <c:strRef>
              <c:f>Dat_01!$C$257:$O$257</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Dat_01!$C$279:$O$279</c:f>
              <c:numCache>
                <c:formatCode>#,##0.0</c:formatCode>
                <c:ptCount val="13"/>
                <c:pt idx="0">
                  <c:v>223802.25</c:v>
                </c:pt>
                <c:pt idx="1">
                  <c:v>188836.15</c:v>
                </c:pt>
                <c:pt idx="2">
                  <c:v>169949.15</c:v>
                </c:pt>
                <c:pt idx="3">
                  <c:v>264495.95</c:v>
                </c:pt>
                <c:pt idx="4">
                  <c:v>289115.09999999998</c:v>
                </c:pt>
                <c:pt idx="5">
                  <c:v>212742.45</c:v>
                </c:pt>
                <c:pt idx="6">
                  <c:v>177752.55</c:v>
                </c:pt>
                <c:pt idx="7">
                  <c:v>146083.95000000001</c:v>
                </c:pt>
                <c:pt idx="8">
                  <c:v>84725.774999999994</c:v>
                </c:pt>
                <c:pt idx="9">
                  <c:v>96502.45</c:v>
                </c:pt>
                <c:pt idx="10">
                  <c:v>227112.42499999999</c:v>
                </c:pt>
                <c:pt idx="11">
                  <c:v>173241.47500000001</c:v>
                </c:pt>
                <c:pt idx="12">
                  <c:v>241457.35</c:v>
                </c:pt>
              </c:numCache>
            </c:numRef>
          </c:val>
          <c:extLst>
            <c:ext xmlns:c16="http://schemas.microsoft.com/office/drawing/2014/chart" uri="{C3380CC4-5D6E-409C-BE32-E72D297353CC}">
              <c16:uniqueId val="{00000000-DE6D-4CF2-925F-F6AC094EE969}"/>
            </c:ext>
          </c:extLst>
        </c:ser>
        <c:ser>
          <c:idx val="4"/>
          <c:order val="1"/>
          <c:tx>
            <c:v>Asignación Francia</c:v>
          </c:tx>
          <c:spPr>
            <a:solidFill>
              <a:srgbClr val="EE6112"/>
            </a:solidFill>
            <a:ln>
              <a:noFill/>
            </a:ln>
            <a:effectLst/>
          </c:spPr>
          <c:invertIfNegative val="0"/>
          <c:cat>
            <c:strRef>
              <c:f>Dat_01!$C$257:$O$257</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Dat_01!$D$323:$P$323</c:f>
              <c:numCache>
                <c:formatCode>#,##0.0</c:formatCode>
                <c:ptCount val="13"/>
                <c:pt idx="0">
                  <c:v>2420</c:v>
                </c:pt>
                <c:pt idx="1">
                  <c:v>3714</c:v>
                </c:pt>
                <c:pt idx="2">
                  <c:v>6616</c:v>
                </c:pt>
                <c:pt idx="3">
                  <c:v>11168.4</c:v>
                </c:pt>
                <c:pt idx="4">
                  <c:v>9655</c:v>
                </c:pt>
                <c:pt idx="5">
                  <c:v>18787</c:v>
                </c:pt>
                <c:pt idx="6">
                  <c:v>12671</c:v>
                </c:pt>
                <c:pt idx="7">
                  <c:v>13320.25</c:v>
                </c:pt>
                <c:pt idx="8">
                  <c:v>681.75</c:v>
                </c:pt>
                <c:pt idx="9">
                  <c:v>287.25</c:v>
                </c:pt>
                <c:pt idx="10">
                  <c:v>5295.4750000000004</c:v>
                </c:pt>
                <c:pt idx="11">
                  <c:v>2319</c:v>
                </c:pt>
                <c:pt idx="12">
                  <c:v>3809</c:v>
                </c:pt>
              </c:numCache>
            </c:numRef>
          </c:val>
          <c:extLst>
            <c:ext xmlns:c16="http://schemas.microsoft.com/office/drawing/2014/chart" uri="{C3380CC4-5D6E-409C-BE32-E72D297353CC}">
              <c16:uniqueId val="{00000001-DE6D-4CF2-925F-F6AC094EE969}"/>
            </c:ext>
          </c:extLst>
        </c:ser>
        <c:ser>
          <c:idx val="5"/>
          <c:order val="2"/>
          <c:tx>
            <c:v>Asignación Portugal</c:v>
          </c:tx>
          <c:spPr>
            <a:solidFill>
              <a:srgbClr val="92D050"/>
            </a:solidFill>
            <a:ln>
              <a:noFill/>
            </a:ln>
            <a:effectLst/>
          </c:spPr>
          <c:invertIfNegative val="0"/>
          <c:cat>
            <c:strRef>
              <c:f>Dat_01!$C$257:$O$257</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Dat_01!$D$324:$P$324</c:f>
              <c:numCache>
                <c:formatCode>#,##0.0</c:formatCode>
                <c:ptCount val="13"/>
                <c:pt idx="0">
                  <c:v>164237</c:v>
                </c:pt>
                <c:pt idx="1">
                  <c:v>104951</c:v>
                </c:pt>
                <c:pt idx="2">
                  <c:v>134927</c:v>
                </c:pt>
                <c:pt idx="3">
                  <c:v>91782</c:v>
                </c:pt>
                <c:pt idx="4">
                  <c:v>114637.2</c:v>
                </c:pt>
                <c:pt idx="5">
                  <c:v>67725.7</c:v>
                </c:pt>
                <c:pt idx="6">
                  <c:v>37653.699999999997</c:v>
                </c:pt>
                <c:pt idx="7">
                  <c:v>90855.824999999997</c:v>
                </c:pt>
                <c:pt idx="8">
                  <c:v>107349.6</c:v>
                </c:pt>
                <c:pt idx="9">
                  <c:v>45497.95</c:v>
                </c:pt>
                <c:pt idx="10">
                  <c:v>58107.324999999997</c:v>
                </c:pt>
                <c:pt idx="11">
                  <c:v>87431.875</c:v>
                </c:pt>
                <c:pt idx="12">
                  <c:v>151069.52499999999</c:v>
                </c:pt>
              </c:numCache>
            </c:numRef>
          </c:val>
          <c:extLst>
            <c:ext xmlns:c16="http://schemas.microsoft.com/office/drawing/2014/chart" uri="{C3380CC4-5D6E-409C-BE32-E72D297353CC}">
              <c16:uniqueId val="{00000002-DE6D-4CF2-925F-F6AC094EE96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cat>
            <c:multiLvlStrRef>
              <c:f>#REF!</c:f>
            </c:multiLvlStrRef>
          </c:cat>
          <c:val>
            <c:numRef>
              <c:f>Dat_01!$B$316:$N$316</c:f>
              <c:numCache>
                <c:formatCode>#,##0.0</c:formatCode>
                <c:ptCount val="13"/>
                <c:pt idx="0">
                  <c:v>129470.5</c:v>
                </c:pt>
                <c:pt idx="1">
                  <c:v>94718.25</c:v>
                </c:pt>
                <c:pt idx="2">
                  <c:v>109914.5</c:v>
                </c:pt>
                <c:pt idx="3">
                  <c:v>123489</c:v>
                </c:pt>
                <c:pt idx="4">
                  <c:v>186787.25</c:v>
                </c:pt>
                <c:pt idx="5">
                  <c:v>90348.25</c:v>
                </c:pt>
                <c:pt idx="6">
                  <c:v>44962.25</c:v>
                </c:pt>
                <c:pt idx="7">
                  <c:v>68619</c:v>
                </c:pt>
                <c:pt idx="8">
                  <c:v>41863.5</c:v>
                </c:pt>
                <c:pt idx="9">
                  <c:v>74085.75</c:v>
                </c:pt>
                <c:pt idx="10">
                  <c:v>181182</c:v>
                </c:pt>
                <c:pt idx="11">
                  <c:v>130987</c:v>
                </c:pt>
                <c:pt idx="12">
                  <c:v>228947.75</c:v>
                </c:pt>
              </c:numCache>
            </c:numRef>
          </c:val>
          <c:smooth val="0"/>
          <c:extLst>
            <c:ext xmlns:c16="http://schemas.microsoft.com/office/drawing/2014/chart" uri="{C3380CC4-5D6E-409C-BE32-E72D297353CC}">
              <c16:uniqueId val="{00000003-DE6D-4CF2-925F-F6AC094EE96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592"/>
        <c:crosses val="autoZero"/>
        <c:auto val="1"/>
        <c:lblAlgn val="ctr"/>
        <c:lblOffset val="100"/>
        <c:noMultiLvlLbl val="0"/>
      </c:catAx>
      <c:valAx>
        <c:axId val="531376592"/>
        <c:scaling>
          <c:orientation val="minMax"/>
          <c:max val="7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9573578595317727E-2"/>
              <c:y val="1.3117620345140781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100000"/>
        <c:dispUnits>
          <c:builtInUnit val="thousands"/>
        </c:dispUnits>
      </c:val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0292767511E-2"/>
          <c:y val="3.4295879170573376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val>
            <c:numRef>
              <c:f>Dat_01!$C$298:$O$298</c:f>
              <c:numCache>
                <c:formatCode>#,##0.0</c:formatCode>
                <c:ptCount val="13"/>
                <c:pt idx="0">
                  <c:v>336517.5</c:v>
                </c:pt>
                <c:pt idx="1">
                  <c:v>360452.6</c:v>
                </c:pt>
                <c:pt idx="2">
                  <c:v>344476.7</c:v>
                </c:pt>
                <c:pt idx="3">
                  <c:v>262451.25</c:v>
                </c:pt>
                <c:pt idx="4">
                  <c:v>255089.65</c:v>
                </c:pt>
                <c:pt idx="5">
                  <c:v>332759.75</c:v>
                </c:pt>
                <c:pt idx="6">
                  <c:v>413482.3</c:v>
                </c:pt>
                <c:pt idx="7">
                  <c:v>516814.67499999999</c:v>
                </c:pt>
                <c:pt idx="8">
                  <c:v>470764.1</c:v>
                </c:pt>
                <c:pt idx="9">
                  <c:v>223657.05</c:v>
                </c:pt>
                <c:pt idx="10">
                  <c:v>132555.47500000001</c:v>
                </c:pt>
                <c:pt idx="11">
                  <c:v>238342.95</c:v>
                </c:pt>
                <c:pt idx="12">
                  <c:v>278312.125</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4F1F-4CF8-9D95-D539AC569E99}"/>
            </c:ext>
          </c:extLst>
        </c:ser>
        <c:ser>
          <c:idx val="4"/>
          <c:order val="1"/>
          <c:tx>
            <c:v>Asignación Francia</c:v>
          </c:tx>
          <c:spPr>
            <a:solidFill>
              <a:srgbClr val="EE6112"/>
            </a:solidFill>
            <a:ln>
              <a:noFill/>
            </a:ln>
            <a:effectLst/>
          </c:spPr>
          <c:invertIfNegative val="0"/>
          <c:val>
            <c:numRef>
              <c:f>Dat_01!$D$327:$P$327</c:f>
              <c:numCache>
                <c:formatCode>#,##0.0</c:formatCode>
                <c:ptCount val="13"/>
                <c:pt idx="0">
                  <c:v>47585.5</c:v>
                </c:pt>
                <c:pt idx="1">
                  <c:v>30360.7</c:v>
                </c:pt>
                <c:pt idx="2">
                  <c:v>55216.2</c:v>
                </c:pt>
                <c:pt idx="3">
                  <c:v>55068</c:v>
                </c:pt>
                <c:pt idx="4">
                  <c:v>32982.699999999997</c:v>
                </c:pt>
                <c:pt idx="5">
                  <c:v>25033</c:v>
                </c:pt>
                <c:pt idx="6">
                  <c:v>30692</c:v>
                </c:pt>
                <c:pt idx="7">
                  <c:v>11006.25</c:v>
                </c:pt>
                <c:pt idx="8">
                  <c:v>7049</c:v>
                </c:pt>
                <c:pt idx="9">
                  <c:v>2391.75</c:v>
                </c:pt>
                <c:pt idx="10">
                  <c:v>1830.55</c:v>
                </c:pt>
                <c:pt idx="11">
                  <c:v>6831.75</c:v>
                </c:pt>
                <c:pt idx="12">
                  <c:v>22222.5</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4F1F-4CF8-9D95-D539AC569E99}"/>
            </c:ext>
          </c:extLst>
        </c:ser>
        <c:ser>
          <c:idx val="5"/>
          <c:order val="2"/>
          <c:tx>
            <c:v>Asignación Portugal</c:v>
          </c:tx>
          <c:spPr>
            <a:solidFill>
              <a:srgbClr val="92D050"/>
            </a:solidFill>
            <a:ln>
              <a:noFill/>
            </a:ln>
            <a:effectLst/>
          </c:spPr>
          <c:invertIfNegative val="0"/>
          <c:val>
            <c:numRef>
              <c:f>Dat_01!$D$328:$P$328</c:f>
              <c:numCache>
                <c:formatCode>#,##0.0</c:formatCode>
                <c:ptCount val="13"/>
                <c:pt idx="0">
                  <c:v>37214</c:v>
                </c:pt>
                <c:pt idx="1">
                  <c:v>55114.6</c:v>
                </c:pt>
                <c:pt idx="2">
                  <c:v>85933.9</c:v>
                </c:pt>
                <c:pt idx="3">
                  <c:v>85446.1</c:v>
                </c:pt>
                <c:pt idx="4">
                  <c:v>61412.2</c:v>
                </c:pt>
                <c:pt idx="5">
                  <c:v>117100.4</c:v>
                </c:pt>
                <c:pt idx="6">
                  <c:v>135901.20000000001</c:v>
                </c:pt>
                <c:pt idx="7">
                  <c:v>69626.600000000006</c:v>
                </c:pt>
                <c:pt idx="8">
                  <c:v>72019.05</c:v>
                </c:pt>
                <c:pt idx="9">
                  <c:v>38927.1</c:v>
                </c:pt>
                <c:pt idx="10">
                  <c:v>57586.7</c:v>
                </c:pt>
                <c:pt idx="11">
                  <c:v>68132.399999999994</c:v>
                </c:pt>
                <c:pt idx="12">
                  <c:v>35923.474999999999</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4F1F-4CF8-9D95-D539AC569E9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val>
            <c:numRef>
              <c:f>Dat_01!$B$317:$N$317</c:f>
              <c:numCache>
                <c:formatCode>#,##0.0</c:formatCode>
                <c:ptCount val="13"/>
                <c:pt idx="0">
                  <c:v>160328.25</c:v>
                </c:pt>
                <c:pt idx="1">
                  <c:v>243145</c:v>
                </c:pt>
                <c:pt idx="2">
                  <c:v>284049</c:v>
                </c:pt>
                <c:pt idx="3">
                  <c:v>159008</c:v>
                </c:pt>
                <c:pt idx="4">
                  <c:v>122864.5</c:v>
                </c:pt>
                <c:pt idx="5">
                  <c:v>265986.25</c:v>
                </c:pt>
                <c:pt idx="6">
                  <c:v>396960.5</c:v>
                </c:pt>
                <c:pt idx="7">
                  <c:v>417916.5</c:v>
                </c:pt>
                <c:pt idx="8">
                  <c:v>399899.75</c:v>
                </c:pt>
                <c:pt idx="9">
                  <c:v>196774</c:v>
                </c:pt>
                <c:pt idx="10">
                  <c:v>82639.5</c:v>
                </c:pt>
                <c:pt idx="11">
                  <c:v>181301.75</c:v>
                </c:pt>
                <c:pt idx="12">
                  <c:v>169070</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4F1F-4CF8-9D95-D539AC569E9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1"/>
        <c:axPos val="t"/>
        <c:numFmt formatCode="General" sourceLinked="1"/>
        <c:majorTickMark val="out"/>
        <c:minorTickMark val="none"/>
        <c:tickLblPos val="low"/>
        <c:crossAx val="531376592"/>
        <c:crosses val="autoZero"/>
        <c:auto val="1"/>
        <c:lblAlgn val="ctr"/>
        <c:lblOffset val="100"/>
        <c:noMultiLvlLbl val="0"/>
      </c:catAx>
      <c:valAx>
        <c:axId val="531376592"/>
        <c:scaling>
          <c:orientation val="maxMin"/>
          <c:max val="7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100000"/>
        <c:dispUnits>
          <c:builtInUnit val="thousand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00510755159565E-2"/>
          <c:y val="9.4486551258994314E-2"/>
          <c:w val="0.90045357141064819"/>
          <c:h val="0.66833475448334823"/>
        </c:manualLayout>
      </c:layout>
      <c:barChart>
        <c:barDir val="col"/>
        <c:grouping val="stacked"/>
        <c:varyColors val="0"/>
        <c:ser>
          <c:idx val="13"/>
          <c:order val="0"/>
          <c:tx>
            <c:strRef>
              <c:f>Dat_01!$B$360</c:f>
              <c:strCache>
                <c:ptCount val="1"/>
                <c:pt idx="0">
                  <c:v>Carbón</c:v>
                </c:pt>
              </c:strCache>
            </c:strRef>
          </c:tx>
          <c:spPr>
            <a:solidFill>
              <a:srgbClr val="993300"/>
            </a:solidFill>
            <a:ln>
              <a:noFill/>
            </a:ln>
            <a:effectLst/>
          </c:spPr>
          <c:invertIfNegative val="0"/>
          <c:val>
            <c:numRef>
              <c:f>Dat_01!$C$360:$O$360</c:f>
              <c:numCache>
                <c:formatCode>#,##0.0</c:formatCode>
                <c:ptCount val="13"/>
                <c:pt idx="0">
                  <c:v>0</c:v>
                </c:pt>
                <c:pt idx="1">
                  <c:v>0</c:v>
                </c:pt>
                <c:pt idx="2">
                  <c:v>0</c:v>
                </c:pt>
                <c:pt idx="3">
                  <c:v>0</c:v>
                </c:pt>
                <c:pt idx="4">
                  <c:v>0</c:v>
                </c:pt>
                <c:pt idx="5">
                  <c:v>0</c:v>
                </c:pt>
                <c:pt idx="6">
                  <c:v>0</c:v>
                </c:pt>
                <c:pt idx="7">
                  <c:v>120</c:v>
                </c:pt>
                <c:pt idx="8">
                  <c:v>0</c:v>
                </c:pt>
                <c:pt idx="9">
                  <c:v>0</c:v>
                </c:pt>
                <c:pt idx="10">
                  <c:v>0</c:v>
                </c:pt>
                <c:pt idx="11">
                  <c:v>0</c:v>
                </c:pt>
                <c:pt idx="12">
                  <c:v>0</c:v>
                </c:pt>
              </c:numCache>
            </c:numRef>
          </c:val>
          <c:extLst>
            <c:ext xmlns:c16="http://schemas.microsoft.com/office/drawing/2014/chart" uri="{C3380CC4-5D6E-409C-BE32-E72D297353CC}">
              <c16:uniqueId val="{0000000B-7CA2-4EAD-A708-444D1CD632C6}"/>
            </c:ext>
          </c:extLst>
        </c:ser>
        <c:ser>
          <c:idx val="11"/>
          <c:order val="1"/>
          <c:tx>
            <c:strRef>
              <c:f>Dat_01!$B$361</c:f>
              <c:strCache>
                <c:ptCount val="1"/>
                <c:pt idx="0">
                  <c:v>Ciclo Combinado</c:v>
                </c:pt>
              </c:strCache>
            </c:strRef>
          </c:tx>
          <c:spPr>
            <a:solidFill>
              <a:srgbClr val="FFCC66"/>
            </a:solidFill>
            <a:ln>
              <a:noFill/>
            </a:ln>
            <a:effectLst/>
          </c:spPr>
          <c:invertIfNegative val="0"/>
          <c:val>
            <c:numRef>
              <c:f>Dat_01!$C$361:$O$361</c:f>
              <c:numCache>
                <c:formatCode>#,##0.0</c:formatCode>
                <c:ptCount val="13"/>
                <c:pt idx="0">
                  <c:v>3825.5839999999998</c:v>
                </c:pt>
                <c:pt idx="1">
                  <c:v>1455.4469999999999</c:v>
                </c:pt>
                <c:pt idx="2">
                  <c:v>2701.1750000000002</c:v>
                </c:pt>
                <c:pt idx="3">
                  <c:v>217.3</c:v>
                </c:pt>
                <c:pt idx="4">
                  <c:v>8987.6</c:v>
                </c:pt>
                <c:pt idx="5">
                  <c:v>690.8</c:v>
                </c:pt>
                <c:pt idx="6">
                  <c:v>0</c:v>
                </c:pt>
                <c:pt idx="7">
                  <c:v>7.65</c:v>
                </c:pt>
                <c:pt idx="8">
                  <c:v>139.28299999999999</c:v>
                </c:pt>
                <c:pt idx="9">
                  <c:v>2.5000000000000001E-2</c:v>
                </c:pt>
                <c:pt idx="10">
                  <c:v>625.5</c:v>
                </c:pt>
                <c:pt idx="11">
                  <c:v>3000.125</c:v>
                </c:pt>
                <c:pt idx="12">
                  <c:v>1021.775</c:v>
                </c:pt>
              </c:numCache>
            </c:numRef>
          </c:val>
          <c:extLst>
            <c:ext xmlns:c16="http://schemas.microsoft.com/office/drawing/2014/chart" uri="{C3380CC4-5D6E-409C-BE32-E72D297353CC}">
              <c16:uniqueId val="{00000000-7CA2-4EAD-A708-444D1CD632C6}"/>
            </c:ext>
          </c:extLst>
        </c:ser>
        <c:ser>
          <c:idx val="10"/>
          <c:order val="2"/>
          <c:tx>
            <c:strRef>
              <c:f>Dat_01!$B$362</c:f>
              <c:strCache>
                <c:ptCount val="1"/>
                <c:pt idx="0">
                  <c:v>Cogeneración</c:v>
                </c:pt>
              </c:strCache>
            </c:strRef>
          </c:tx>
          <c:spPr>
            <a:solidFill>
              <a:srgbClr val="CFA2CA"/>
            </a:solidFill>
            <a:ln>
              <a:noFill/>
            </a:ln>
            <a:effectLst/>
          </c:spPr>
          <c:invertIfNegative val="0"/>
          <c:val>
            <c:numRef>
              <c:f>Dat_01!$C$362:$O$362</c:f>
              <c:numCache>
                <c:formatCode>#,##0.0</c:formatCode>
                <c:ptCount val="13"/>
                <c:pt idx="0">
                  <c:v>1938.558</c:v>
                </c:pt>
                <c:pt idx="1">
                  <c:v>847.53599999999994</c:v>
                </c:pt>
                <c:pt idx="2">
                  <c:v>1318.671</c:v>
                </c:pt>
                <c:pt idx="3">
                  <c:v>32.625</c:v>
                </c:pt>
                <c:pt idx="4">
                  <c:v>840.12099999999998</c:v>
                </c:pt>
                <c:pt idx="5">
                  <c:v>17.097000000000001</c:v>
                </c:pt>
                <c:pt idx="6">
                  <c:v>18.25</c:v>
                </c:pt>
                <c:pt idx="7">
                  <c:v>352.702</c:v>
                </c:pt>
                <c:pt idx="8">
                  <c:v>1314.1389999999999</c:v>
                </c:pt>
                <c:pt idx="9">
                  <c:v>893.82399999999996</c:v>
                </c:pt>
                <c:pt idx="10">
                  <c:v>2378.8139999999999</c:v>
                </c:pt>
                <c:pt idx="11">
                  <c:v>6273.1949999999997</c:v>
                </c:pt>
                <c:pt idx="12">
                  <c:v>4302.4539999999997</c:v>
                </c:pt>
              </c:numCache>
            </c:numRef>
          </c:val>
          <c:extLst>
            <c:ext xmlns:c16="http://schemas.microsoft.com/office/drawing/2014/chart" uri="{C3380CC4-5D6E-409C-BE32-E72D297353CC}">
              <c16:uniqueId val="{00000001-7CA2-4EAD-A708-444D1CD632C6}"/>
            </c:ext>
          </c:extLst>
        </c:ser>
        <c:ser>
          <c:idx val="3"/>
          <c:order val="3"/>
          <c:tx>
            <c:strRef>
              <c:f>Dat_01!$B$363</c:f>
              <c:strCache>
                <c:ptCount val="1"/>
                <c:pt idx="0">
                  <c:v>Consumo Bombeo</c:v>
                </c:pt>
              </c:strCache>
            </c:strRef>
          </c:tx>
          <c:spPr>
            <a:solidFill>
              <a:srgbClr val="2C4D75"/>
            </a:solidFill>
            <a:ln>
              <a:noFill/>
            </a:ln>
            <a:effectLst/>
          </c:spPr>
          <c:invertIfNegative val="0"/>
          <c:val>
            <c:numRef>
              <c:f>Dat_01!$C$363:$O$363</c:f>
              <c:numCache>
                <c:formatCode>#,##0.0</c:formatCode>
                <c:ptCount val="13"/>
                <c:pt idx="0">
                  <c:v>3493.634</c:v>
                </c:pt>
                <c:pt idx="1">
                  <c:v>2673.65</c:v>
                </c:pt>
                <c:pt idx="2">
                  <c:v>11020.95</c:v>
                </c:pt>
                <c:pt idx="3">
                  <c:v>20239.797999999999</c:v>
                </c:pt>
                <c:pt idx="4">
                  <c:v>13384.6</c:v>
                </c:pt>
                <c:pt idx="5">
                  <c:v>14398.216</c:v>
                </c:pt>
                <c:pt idx="6">
                  <c:v>2875.8339999999998</c:v>
                </c:pt>
                <c:pt idx="7">
                  <c:v>1714.424</c:v>
                </c:pt>
                <c:pt idx="8">
                  <c:v>2159.3330000000001</c:v>
                </c:pt>
                <c:pt idx="9">
                  <c:v>5583.5</c:v>
                </c:pt>
                <c:pt idx="10">
                  <c:v>2946.4760000000001</c:v>
                </c:pt>
                <c:pt idx="11">
                  <c:v>3981.25</c:v>
                </c:pt>
                <c:pt idx="12">
                  <c:v>6001.4319999999998</c:v>
                </c:pt>
              </c:numCache>
            </c:numRef>
          </c:val>
          <c:extLst>
            <c:ext xmlns:c16="http://schemas.microsoft.com/office/drawing/2014/chart" uri="{C3380CC4-5D6E-409C-BE32-E72D297353CC}">
              <c16:uniqueId val="{00000002-7CA2-4EAD-A708-444D1CD632C6}"/>
            </c:ext>
          </c:extLst>
        </c:ser>
        <c:ser>
          <c:idx val="4"/>
          <c:order val="4"/>
          <c:tx>
            <c:strRef>
              <c:f>Dat_01!$B$364</c:f>
              <c:strCache>
                <c:ptCount val="1"/>
                <c:pt idx="0">
                  <c:v>Enlace Península Baleares</c:v>
                </c:pt>
              </c:strCache>
            </c:strRef>
          </c:tx>
          <c:spPr>
            <a:solidFill>
              <a:srgbClr val="A99BBD"/>
            </a:solidFill>
            <a:ln>
              <a:noFill/>
            </a:ln>
            <a:effectLst/>
          </c:spPr>
          <c:invertIfNegative val="0"/>
          <c:val>
            <c:numRef>
              <c:f>Dat_01!$C$364:$O$364</c:f>
              <c:numCache>
                <c:formatCode>#,##0.0</c:formatCode>
                <c:ptCount val="13"/>
                <c:pt idx="0">
                  <c:v>0</c:v>
                </c:pt>
                <c:pt idx="1">
                  <c:v>0</c:v>
                </c:pt>
                <c:pt idx="2">
                  <c:v>0</c:v>
                </c:pt>
                <c:pt idx="3">
                  <c:v>0</c:v>
                </c:pt>
                <c:pt idx="4">
                  <c:v>0</c:v>
                </c:pt>
                <c:pt idx="5">
                  <c:v>0</c:v>
                </c:pt>
                <c:pt idx="6">
                  <c:v>0</c:v>
                </c:pt>
                <c:pt idx="7">
                  <c:v>30.225000000000001</c:v>
                </c:pt>
                <c:pt idx="8">
                  <c:v>42.7</c:v>
                </c:pt>
                <c:pt idx="9">
                  <c:v>0</c:v>
                </c:pt>
                <c:pt idx="10">
                  <c:v>0</c:v>
                </c:pt>
                <c:pt idx="11">
                  <c:v>17.925000000000001</c:v>
                </c:pt>
                <c:pt idx="12">
                  <c:v>13.3</c:v>
                </c:pt>
              </c:numCache>
            </c:numRef>
          </c:val>
          <c:extLst>
            <c:ext xmlns:c16="http://schemas.microsoft.com/office/drawing/2014/chart" uri="{C3380CC4-5D6E-409C-BE32-E72D297353CC}">
              <c16:uniqueId val="{00000000-0A83-4B5E-AA36-7AB943911250}"/>
            </c:ext>
          </c:extLst>
        </c:ser>
        <c:ser>
          <c:idx val="14"/>
          <c:order val="5"/>
          <c:tx>
            <c:strRef>
              <c:f>Dat_01!$B$365</c:f>
              <c:strCache>
                <c:ptCount val="1"/>
                <c:pt idx="0">
                  <c:v>Eólica</c:v>
                </c:pt>
              </c:strCache>
            </c:strRef>
          </c:tx>
          <c:spPr>
            <a:solidFill>
              <a:srgbClr val="70AD47"/>
            </a:solidFill>
            <a:ln>
              <a:noFill/>
            </a:ln>
            <a:effectLst/>
          </c:spPr>
          <c:invertIfNegative val="0"/>
          <c:val>
            <c:numRef>
              <c:f>Dat_01!$C$365:$O$365</c:f>
              <c:numCache>
                <c:formatCode>#,##0.0</c:formatCode>
                <c:ptCount val="13"/>
                <c:pt idx="0">
                  <c:v>57683.41</c:v>
                </c:pt>
                <c:pt idx="1">
                  <c:v>51036.108999999997</c:v>
                </c:pt>
                <c:pt idx="2">
                  <c:v>38607.135999999999</c:v>
                </c:pt>
                <c:pt idx="3">
                  <c:v>17134.645</c:v>
                </c:pt>
                <c:pt idx="4">
                  <c:v>29817.697</c:v>
                </c:pt>
                <c:pt idx="5">
                  <c:v>16272.343999999999</c:v>
                </c:pt>
                <c:pt idx="6">
                  <c:v>5190.7349999999997</c:v>
                </c:pt>
                <c:pt idx="7">
                  <c:v>21109.850999999999</c:v>
                </c:pt>
                <c:pt idx="8">
                  <c:v>10600.206</c:v>
                </c:pt>
                <c:pt idx="9">
                  <c:v>15107.638999999999</c:v>
                </c:pt>
                <c:pt idx="10">
                  <c:v>13379.977999999999</c:v>
                </c:pt>
                <c:pt idx="11">
                  <c:v>131978.226</c:v>
                </c:pt>
                <c:pt idx="12">
                  <c:v>53466.71</c:v>
                </c:pt>
              </c:numCache>
            </c:numRef>
          </c:val>
          <c:extLst>
            <c:ext xmlns:c16="http://schemas.microsoft.com/office/drawing/2014/chart" uri="{C3380CC4-5D6E-409C-BE32-E72D297353CC}">
              <c16:uniqueId val="{00000000-1C5B-4735-838D-9CBE7A91C711}"/>
            </c:ext>
          </c:extLst>
        </c:ser>
        <c:ser>
          <c:idx val="17"/>
          <c:order val="6"/>
          <c:tx>
            <c:strRef>
              <c:f>Dat_01!$B$366</c:f>
              <c:strCache>
                <c:ptCount val="1"/>
                <c:pt idx="0">
                  <c:v>Hibridación</c:v>
                </c:pt>
              </c:strCache>
            </c:strRef>
          </c:tx>
          <c:spPr>
            <a:solidFill>
              <a:srgbClr val="28A064"/>
            </a:solidFill>
            <a:ln>
              <a:noFill/>
            </a:ln>
            <a:effectLst/>
          </c:spPr>
          <c:invertIfNegative val="0"/>
          <c:val>
            <c:numRef>
              <c:f>Dat_01!$C$366:$O$366</c:f>
              <c:numCache>
                <c:formatCode>#,##0.0</c:formatCode>
                <c:ptCount val="13"/>
                <c:pt idx="0">
                  <c:v>21.622</c:v>
                </c:pt>
                <c:pt idx="1">
                  <c:v>0</c:v>
                </c:pt>
                <c:pt idx="2">
                  <c:v>152.154</c:v>
                </c:pt>
                <c:pt idx="3">
                  <c:v>85.46</c:v>
                </c:pt>
                <c:pt idx="4">
                  <c:v>414.49799999999999</c:v>
                </c:pt>
                <c:pt idx="5">
                  <c:v>4.125</c:v>
                </c:pt>
                <c:pt idx="6">
                  <c:v>14.95</c:v>
                </c:pt>
                <c:pt idx="7">
                  <c:v>639.66700000000003</c:v>
                </c:pt>
                <c:pt idx="8">
                  <c:v>1319.4960000000001</c:v>
                </c:pt>
                <c:pt idx="9">
                  <c:v>943.077</c:v>
                </c:pt>
                <c:pt idx="10">
                  <c:v>2505.9189999999999</c:v>
                </c:pt>
                <c:pt idx="11">
                  <c:v>4382.4769999999999</c:v>
                </c:pt>
                <c:pt idx="12">
                  <c:v>1433.252</c:v>
                </c:pt>
              </c:numCache>
            </c:numRef>
          </c:val>
          <c:extLst>
            <c:ext xmlns:c16="http://schemas.microsoft.com/office/drawing/2014/chart" uri="{C3380CC4-5D6E-409C-BE32-E72D297353CC}">
              <c16:uniqueId val="{00000000-3855-4192-9351-8648EF4D0195}"/>
            </c:ext>
          </c:extLst>
        </c:ser>
        <c:ser>
          <c:idx val="5"/>
          <c:order val="7"/>
          <c:tx>
            <c:strRef>
              <c:f>Dat_01!$B$367</c:f>
              <c:strCache>
                <c:ptCount val="1"/>
                <c:pt idx="0">
                  <c:v>Hidráulica</c:v>
                </c:pt>
              </c:strCache>
            </c:strRef>
          </c:tx>
          <c:spPr>
            <a:solidFill>
              <a:srgbClr val="00B0F0"/>
            </a:solidFill>
            <a:ln>
              <a:noFill/>
            </a:ln>
            <a:effectLst/>
          </c:spPr>
          <c:invertIfNegative val="0"/>
          <c:val>
            <c:numRef>
              <c:f>Dat_01!$C$367:$O$367</c:f>
              <c:numCache>
                <c:formatCode>#,##0.0</c:formatCode>
                <c:ptCount val="13"/>
                <c:pt idx="0">
                  <c:v>183.179</c:v>
                </c:pt>
                <c:pt idx="1">
                  <c:v>614.29399999999998</c:v>
                </c:pt>
                <c:pt idx="2">
                  <c:v>562.18100000000004</c:v>
                </c:pt>
                <c:pt idx="3">
                  <c:v>119.363</c:v>
                </c:pt>
                <c:pt idx="4">
                  <c:v>524.98400000000004</c:v>
                </c:pt>
                <c:pt idx="5">
                  <c:v>735.99199999999996</c:v>
                </c:pt>
                <c:pt idx="6">
                  <c:v>42.469000000000001</c:v>
                </c:pt>
                <c:pt idx="7">
                  <c:v>65.772999999999996</c:v>
                </c:pt>
                <c:pt idx="8">
                  <c:v>2249.5949999999998</c:v>
                </c:pt>
                <c:pt idx="9">
                  <c:v>2043.925</c:v>
                </c:pt>
                <c:pt idx="10">
                  <c:v>3560.598</c:v>
                </c:pt>
                <c:pt idx="11">
                  <c:v>5141.28</c:v>
                </c:pt>
                <c:pt idx="12">
                  <c:v>5499.3530000000001</c:v>
                </c:pt>
              </c:numCache>
            </c:numRef>
          </c:val>
          <c:extLst>
            <c:ext xmlns:c16="http://schemas.microsoft.com/office/drawing/2014/chart" uri="{C3380CC4-5D6E-409C-BE32-E72D297353CC}">
              <c16:uniqueId val="{00000004-7CA2-4EAD-A708-444D1CD632C6}"/>
            </c:ext>
          </c:extLst>
        </c:ser>
        <c:ser>
          <c:idx val="15"/>
          <c:order val="8"/>
          <c:tx>
            <c:strRef>
              <c:f>Dat_01!$B$369</c:f>
              <c:strCache>
                <c:ptCount val="1"/>
                <c:pt idx="0">
                  <c:v>Internacionales</c:v>
                </c:pt>
              </c:strCache>
            </c:strRef>
          </c:tx>
          <c:spPr>
            <a:solidFill>
              <a:srgbClr val="E5DDB7"/>
            </a:solidFill>
            <a:ln>
              <a:noFill/>
            </a:ln>
            <a:effectLst/>
          </c:spPr>
          <c:invertIfNegative val="0"/>
          <c:val>
            <c:numRef>
              <c:f>Dat_01!$C$369:$O$369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4068-41C2-BE70-A197ABE4FA63}"/>
            </c:ext>
          </c:extLst>
        </c:ser>
        <c:ser>
          <c:idx val="7"/>
          <c:order val="9"/>
          <c:tx>
            <c:strRef>
              <c:f>Dat_01!$B$370</c:f>
              <c:strCache>
                <c:ptCount val="1"/>
                <c:pt idx="0">
                  <c:v>Nuclear</c:v>
                </c:pt>
              </c:strCache>
            </c:strRef>
          </c:tx>
          <c:spPr>
            <a:solidFill>
              <a:srgbClr val="464394"/>
            </a:solidFill>
            <a:ln>
              <a:noFill/>
            </a:ln>
            <a:effectLst/>
          </c:spPr>
          <c:invertIfNegative val="0"/>
          <c:val>
            <c:numRef>
              <c:f>Dat_01!$C$370:$O$370</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570D-46DA-917D-F6348224334E}"/>
            </c:ext>
          </c:extLst>
        </c:ser>
        <c:ser>
          <c:idx val="6"/>
          <c:order val="10"/>
          <c:tx>
            <c:strRef>
              <c:f>Dat_01!$B$371</c:f>
              <c:strCache>
                <c:ptCount val="1"/>
                <c:pt idx="0">
                  <c:v>Otras Renovables</c:v>
                </c:pt>
              </c:strCache>
            </c:strRef>
          </c:tx>
          <c:spPr>
            <a:solidFill>
              <a:srgbClr val="9A5CBC"/>
            </a:solidFill>
            <a:ln>
              <a:noFill/>
            </a:ln>
            <a:effectLst/>
          </c:spPr>
          <c:invertIfNegative val="0"/>
          <c:val>
            <c:numRef>
              <c:f>Dat_01!$C$371:$O$371</c:f>
              <c:numCache>
                <c:formatCode>#,##0.0</c:formatCode>
                <c:ptCount val="13"/>
                <c:pt idx="0">
                  <c:v>1386.989</c:v>
                </c:pt>
                <c:pt idx="1">
                  <c:v>1121.5920000000001</c:v>
                </c:pt>
                <c:pt idx="2">
                  <c:v>696.14200000000005</c:v>
                </c:pt>
                <c:pt idx="3">
                  <c:v>21.475000000000001</c:v>
                </c:pt>
                <c:pt idx="4">
                  <c:v>673.13300000000004</c:v>
                </c:pt>
                <c:pt idx="5">
                  <c:v>10.464</c:v>
                </c:pt>
                <c:pt idx="6">
                  <c:v>0</c:v>
                </c:pt>
                <c:pt idx="7">
                  <c:v>274.47500000000002</c:v>
                </c:pt>
                <c:pt idx="8">
                  <c:v>1254.827</c:v>
                </c:pt>
                <c:pt idx="9">
                  <c:v>1793.0419999999999</c:v>
                </c:pt>
                <c:pt idx="10">
                  <c:v>2355.221</c:v>
                </c:pt>
                <c:pt idx="11">
                  <c:v>2418.8760000000002</c:v>
                </c:pt>
                <c:pt idx="12">
                  <c:v>1658.9880000000001</c:v>
                </c:pt>
              </c:numCache>
            </c:numRef>
          </c:val>
          <c:extLst>
            <c:ext xmlns:c16="http://schemas.microsoft.com/office/drawing/2014/chart" uri="{C3380CC4-5D6E-409C-BE32-E72D297353CC}">
              <c16:uniqueId val="{00000005-7CA2-4EAD-A708-444D1CD632C6}"/>
            </c:ext>
          </c:extLst>
        </c:ser>
        <c:ser>
          <c:idx val="0"/>
          <c:order val="11"/>
          <c:tx>
            <c:strRef>
              <c:f>Dat_01!$B$372</c:f>
              <c:strCache>
                <c:ptCount val="1"/>
                <c:pt idx="0">
                  <c:v>Residuos no Renovables</c:v>
                </c:pt>
              </c:strCache>
            </c:strRef>
          </c:tx>
          <c:spPr>
            <a:solidFill>
              <a:srgbClr val="7F7F7F"/>
            </a:solidFill>
            <a:ln>
              <a:noFill/>
            </a:ln>
            <a:effectLst/>
          </c:spPr>
          <c:invertIfNegative val="0"/>
          <c:val>
            <c:numRef>
              <c:f>Dat_01!$C$372:$O$372</c:f>
              <c:numCache>
                <c:formatCode>#,##0.0</c:formatCode>
                <c:ptCount val="13"/>
                <c:pt idx="0">
                  <c:v>378.25400000000002</c:v>
                </c:pt>
                <c:pt idx="1">
                  <c:v>0</c:v>
                </c:pt>
                <c:pt idx="2">
                  <c:v>6.06</c:v>
                </c:pt>
                <c:pt idx="3">
                  <c:v>0</c:v>
                </c:pt>
                <c:pt idx="4">
                  <c:v>0</c:v>
                </c:pt>
                <c:pt idx="5">
                  <c:v>0</c:v>
                </c:pt>
                <c:pt idx="6">
                  <c:v>0</c:v>
                </c:pt>
                <c:pt idx="7">
                  <c:v>0</c:v>
                </c:pt>
                <c:pt idx="8">
                  <c:v>0</c:v>
                </c:pt>
                <c:pt idx="9">
                  <c:v>0</c:v>
                </c:pt>
                <c:pt idx="10">
                  <c:v>122.68300000000001</c:v>
                </c:pt>
                <c:pt idx="11">
                  <c:v>1111.912</c:v>
                </c:pt>
                <c:pt idx="12">
                  <c:v>779.20500000000004</c:v>
                </c:pt>
              </c:numCache>
            </c:numRef>
          </c:val>
          <c:extLst>
            <c:ext xmlns:c16="http://schemas.microsoft.com/office/drawing/2014/chart" uri="{C3380CC4-5D6E-409C-BE32-E72D297353CC}">
              <c16:uniqueId val="{00000006-7CA2-4EAD-A708-444D1CD632C6}"/>
            </c:ext>
          </c:extLst>
        </c:ser>
        <c:ser>
          <c:idx val="8"/>
          <c:order val="12"/>
          <c:tx>
            <c:strRef>
              <c:f>Dat_01!$B$373</c:f>
              <c:strCache>
                <c:ptCount val="1"/>
                <c:pt idx="0">
                  <c:v>Solar fotovoltaica</c:v>
                </c:pt>
              </c:strCache>
            </c:strRef>
          </c:tx>
          <c:spPr>
            <a:solidFill>
              <a:srgbClr val="ED7D31"/>
            </a:solidFill>
            <a:ln>
              <a:noFill/>
            </a:ln>
            <a:effectLst/>
          </c:spPr>
          <c:invertIfNegative val="0"/>
          <c:val>
            <c:numRef>
              <c:f>Dat_01!$C$373:$O$373</c:f>
              <c:numCache>
                <c:formatCode>#,##0.0</c:formatCode>
                <c:ptCount val="13"/>
                <c:pt idx="0">
                  <c:v>4597.1080000000002</c:v>
                </c:pt>
                <c:pt idx="1">
                  <c:v>4121.2039999999997</c:v>
                </c:pt>
                <c:pt idx="2">
                  <c:v>6669.0439999999999</c:v>
                </c:pt>
                <c:pt idx="3">
                  <c:v>4289.0709999999999</c:v>
                </c:pt>
                <c:pt idx="4">
                  <c:v>580.30200000000002</c:v>
                </c:pt>
                <c:pt idx="5">
                  <c:v>297.23099999999999</c:v>
                </c:pt>
                <c:pt idx="6">
                  <c:v>1129.2550000000001</c:v>
                </c:pt>
                <c:pt idx="7">
                  <c:v>38619.468999999997</c:v>
                </c:pt>
                <c:pt idx="8">
                  <c:v>36877.692000000003</c:v>
                </c:pt>
                <c:pt idx="9">
                  <c:v>51954.457000000002</c:v>
                </c:pt>
                <c:pt idx="10">
                  <c:v>132286.69099999999</c:v>
                </c:pt>
                <c:pt idx="11">
                  <c:v>222866.54500000001</c:v>
                </c:pt>
                <c:pt idx="12">
                  <c:v>63965.084000000003</c:v>
                </c:pt>
              </c:numCache>
            </c:numRef>
          </c:val>
          <c:extLst>
            <c:ext xmlns:c16="http://schemas.microsoft.com/office/drawing/2014/chart" uri="{C3380CC4-5D6E-409C-BE32-E72D297353CC}">
              <c16:uniqueId val="{00000008-7CA2-4EAD-A708-444D1CD632C6}"/>
            </c:ext>
          </c:extLst>
        </c:ser>
        <c:ser>
          <c:idx val="9"/>
          <c:order val="13"/>
          <c:tx>
            <c:strRef>
              <c:f>Dat_01!$B$374</c:f>
              <c:strCache>
                <c:ptCount val="1"/>
                <c:pt idx="0">
                  <c:v>Solar térmica</c:v>
                </c:pt>
              </c:strCache>
            </c:strRef>
          </c:tx>
          <c:spPr>
            <a:solidFill>
              <a:srgbClr val="FF0000"/>
            </a:solidFill>
            <a:ln>
              <a:noFill/>
            </a:ln>
            <a:effectLst/>
          </c:spPr>
          <c:invertIfNegative val="0"/>
          <c:val>
            <c:numRef>
              <c:f>Dat_01!$C$374:$O$374</c:f>
              <c:numCache>
                <c:formatCode>#,##0.0</c:formatCode>
                <c:ptCount val="13"/>
                <c:pt idx="0">
                  <c:v>13777.802</c:v>
                </c:pt>
                <c:pt idx="1">
                  <c:v>8695.57</c:v>
                </c:pt>
                <c:pt idx="2">
                  <c:v>685.92</c:v>
                </c:pt>
                <c:pt idx="3">
                  <c:v>0</c:v>
                </c:pt>
                <c:pt idx="4">
                  <c:v>12.4</c:v>
                </c:pt>
                <c:pt idx="5">
                  <c:v>102.47499999999999</c:v>
                </c:pt>
                <c:pt idx="6">
                  <c:v>151.67500000000001</c:v>
                </c:pt>
                <c:pt idx="7">
                  <c:v>2600.2660000000001</c:v>
                </c:pt>
                <c:pt idx="8">
                  <c:v>15191.608</c:v>
                </c:pt>
                <c:pt idx="9">
                  <c:v>25605.382000000001</c:v>
                </c:pt>
                <c:pt idx="10">
                  <c:v>37295.190999999999</c:v>
                </c:pt>
                <c:pt idx="11">
                  <c:v>32216.312999999998</c:v>
                </c:pt>
                <c:pt idx="12">
                  <c:v>16218.591</c:v>
                </c:pt>
              </c:numCache>
            </c:numRef>
          </c:val>
          <c:extLst>
            <c:ext xmlns:c16="http://schemas.microsoft.com/office/drawing/2014/chart" uri="{C3380CC4-5D6E-409C-BE32-E72D297353CC}">
              <c16:uniqueId val="{00000009-7CA2-4EAD-A708-444D1CD632C6}"/>
            </c:ext>
          </c:extLst>
        </c:ser>
        <c:ser>
          <c:idx val="12"/>
          <c:order val="14"/>
          <c:tx>
            <c:strRef>
              <c:f>Dat_01!$B$376</c:f>
              <c:strCache>
                <c:ptCount val="1"/>
                <c:pt idx="0">
                  <c:v>Turbinación bombeo</c:v>
                </c:pt>
              </c:strCache>
            </c:strRef>
          </c:tx>
          <c:spPr>
            <a:solidFill>
              <a:srgbClr val="95B3D7"/>
            </a:solidFill>
            <a:ln>
              <a:noFill/>
            </a:ln>
            <a:effectLst/>
          </c:spPr>
          <c:invertIfNegative val="0"/>
          <c:val>
            <c:numRef>
              <c:f>Dat_01!$C$376:$O$376</c:f>
              <c:numCache>
                <c:formatCode>#,##0.0</c:formatCode>
                <c:ptCount val="13"/>
                <c:pt idx="0">
                  <c:v>0</c:v>
                </c:pt>
                <c:pt idx="1">
                  <c:v>996.77499999999998</c:v>
                </c:pt>
                <c:pt idx="2">
                  <c:v>3929.3</c:v>
                </c:pt>
                <c:pt idx="3">
                  <c:v>3606.1</c:v>
                </c:pt>
                <c:pt idx="4">
                  <c:v>4997.3999999999996</c:v>
                </c:pt>
                <c:pt idx="5">
                  <c:v>649.82500000000005</c:v>
                </c:pt>
                <c:pt idx="6">
                  <c:v>0</c:v>
                </c:pt>
                <c:pt idx="7">
                  <c:v>1116.925</c:v>
                </c:pt>
                <c:pt idx="8">
                  <c:v>147.36600000000001</c:v>
                </c:pt>
                <c:pt idx="9">
                  <c:v>3262.7249999999999</c:v>
                </c:pt>
                <c:pt idx="10">
                  <c:v>2493.3420000000001</c:v>
                </c:pt>
                <c:pt idx="11">
                  <c:v>31460.519</c:v>
                </c:pt>
                <c:pt idx="12">
                  <c:v>14627.808000000001</c:v>
                </c:pt>
              </c:numCache>
            </c:numRef>
          </c:val>
          <c:extLst>
            <c:ext xmlns:c16="http://schemas.microsoft.com/office/drawing/2014/chart" uri="{C3380CC4-5D6E-409C-BE32-E72D297353CC}">
              <c16:uniqueId val="{0000000A-7CA2-4EAD-A708-444D1CD632C6}"/>
            </c:ext>
          </c:extLst>
        </c:ser>
        <c:ser>
          <c:idx val="18"/>
          <c:order val="16"/>
          <c:tx>
            <c:strRef>
              <c:f>Dat_01!$B$375</c:f>
              <c:strCache>
                <c:ptCount val="1"/>
                <c:pt idx="0">
                  <c:v>Turbina Vapor, Gas y Fuel</c:v>
                </c:pt>
              </c:strCache>
            </c:strRef>
          </c:tx>
          <c:spPr>
            <a:solidFill>
              <a:srgbClr val="C00000"/>
            </a:solidFill>
            <a:ln>
              <a:noFill/>
            </a:ln>
            <a:effectLst/>
          </c:spPr>
          <c:invertIfNegative val="0"/>
          <c:val>
            <c:numRef>
              <c:f>Dat_01!$C$375:$O$375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F3B6-4706-AEEA-707E451E4293}"/>
            </c:ext>
          </c:extLst>
        </c:ser>
        <c:dLbls>
          <c:showLegendKey val="0"/>
          <c:showVal val="0"/>
          <c:showCatName val="0"/>
          <c:showSerName val="0"/>
          <c:showPercent val="0"/>
          <c:showBubbleSize val="0"/>
        </c:dLbls>
        <c:gapWidth val="150"/>
        <c:overlap val="100"/>
        <c:axId val="531374240"/>
        <c:axId val="531373848"/>
        <c:extLst>
          <c:ext xmlns:c15="http://schemas.microsoft.com/office/drawing/2012/chart" uri="{02D57815-91ED-43cb-92C2-25804820EDAC}">
            <c15:filteredBarSeries>
              <c15:ser>
                <c:idx val="16"/>
                <c:order val="15"/>
                <c:tx>
                  <c:strRef>
                    <c:extLst>
                      <c:ext uri="{02D57815-91ED-43cb-92C2-25804820EDAC}">
                        <c15:formulaRef>
                          <c15:sqref>Dat_01!$B$359</c15:sqref>
                        </c15:formulaRef>
                      </c:ext>
                    </c:extLst>
                    <c:strCache>
                      <c:ptCount val="1"/>
                      <c:pt idx="0">
                        <c:v>Almacenamiento</c:v>
                      </c:pt>
                    </c:strCache>
                  </c:strRef>
                </c:tx>
                <c:spPr>
                  <a:solidFill>
                    <a:schemeClr val="tx1"/>
                  </a:solidFill>
                  <a:ln>
                    <a:noFill/>
                  </a:ln>
                  <a:effectLst/>
                </c:spPr>
                <c:invertIfNegative val="0"/>
                <c:val>
                  <c:numRef>
                    <c:extLst>
                      <c:ext uri="{02D57815-91ED-43cb-92C2-25804820EDAC}">
                        <c15:formulaRef>
                          <c15:sqref>Dat_01!$C$359:$O$359</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23CF-437E-92F0-46CFB2AE8070}"/>
                  </c:ext>
                </c:extLst>
              </c15:ser>
            </c15:filteredBarSeries>
          </c:ext>
        </c:extLst>
      </c:barChart>
      <c:lineChart>
        <c:grouping val="standard"/>
        <c:varyColors val="0"/>
        <c:ser>
          <c:idx val="1"/>
          <c:order val="17"/>
          <c:tx>
            <c:v>Precio medio subir</c:v>
          </c:tx>
          <c:spPr>
            <a:ln w="28575" cap="rnd">
              <a:solidFill>
                <a:srgbClr val="004563"/>
              </a:solidFill>
              <a:round/>
            </a:ln>
            <a:effectLst/>
          </c:spPr>
          <c:marker>
            <c:symbol val="none"/>
          </c:marker>
          <c:val>
            <c:numRef>
              <c:f>Dat_01!$C$409:$O$409</c:f>
              <c:numCache>
                <c:formatCode>General</c:formatCode>
                <c:ptCount val="13"/>
              </c:numCache>
            </c:numRef>
          </c:val>
          <c:smooth val="0"/>
          <c:extLst>
            <c:ext xmlns:c16="http://schemas.microsoft.com/office/drawing/2014/chart" uri="{C3380CC4-5D6E-409C-BE32-E72D297353CC}">
              <c16:uniqueId val="{00000001-474B-48A2-BC99-84CC8D26AF2E}"/>
            </c:ext>
          </c:extLst>
        </c:ser>
        <c:ser>
          <c:idx val="2"/>
          <c:order val="18"/>
          <c:tx>
            <c:v>Precio medio bajar</c:v>
          </c:tx>
          <c:spPr>
            <a:ln w="28575" cap="rnd">
              <a:solidFill>
                <a:srgbClr val="404040"/>
              </a:solidFill>
              <a:round/>
            </a:ln>
            <a:effectLst/>
          </c:spPr>
          <c:marker>
            <c:symbol val="none"/>
          </c:marker>
          <c:val>
            <c:numRef>
              <c:f>Dat_01!$C$406:$O$406</c:f>
              <c:numCache>
                <c:formatCode>#,##0.00</c:formatCode>
                <c:ptCount val="13"/>
                <c:pt idx="0">
                  <c:v>-11.445581946156199</c:v>
                </c:pt>
                <c:pt idx="1">
                  <c:v>-16.474276763016899</c:v>
                </c:pt>
                <c:pt idx="2">
                  <c:v>6.6043489614488999</c:v>
                </c:pt>
                <c:pt idx="3">
                  <c:v>33.4109724621281</c:v>
                </c:pt>
                <c:pt idx="4">
                  <c:v>21.356870173270401</c:v>
                </c:pt>
                <c:pt idx="5">
                  <c:v>34.347338602035499</c:v>
                </c:pt>
                <c:pt idx="6">
                  <c:v>32.386280461199497</c:v>
                </c:pt>
                <c:pt idx="7">
                  <c:v>-105.857374548515</c:v>
                </c:pt>
                <c:pt idx="8">
                  <c:v>-151.95851905293199</c:v>
                </c:pt>
                <c:pt idx="9">
                  <c:v>-136.52684326860901</c:v>
                </c:pt>
                <c:pt idx="10">
                  <c:v>-87.967055702460598</c:v>
                </c:pt>
                <c:pt idx="11">
                  <c:v>-50.667458997607902</c:v>
                </c:pt>
                <c:pt idx="12">
                  <c:v>-36.745907028188597</c:v>
                </c:pt>
              </c:numCache>
            </c:numRef>
          </c:val>
          <c:smooth val="0"/>
          <c:extLst>
            <c:ext xmlns:c16="http://schemas.microsoft.com/office/drawing/2014/chart" uri="{C3380CC4-5D6E-409C-BE32-E72D297353CC}">
              <c16:uniqueId val="{0000000E-7CA2-4EAD-A708-444D1CD632C6}"/>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1"/>
        <c:axPos val="t"/>
        <c:numFmt formatCode="General" sourceLinked="1"/>
        <c:majorTickMark val="none"/>
        <c:minorTickMark val="none"/>
        <c:tickLblPos val="nextTo"/>
        <c:crossAx val="531373848"/>
        <c:crosses val="autoZero"/>
        <c:auto val="1"/>
        <c:lblAlgn val="ctr"/>
        <c:lblOffset val="100"/>
        <c:noMultiLvlLbl val="0"/>
      </c:catAx>
      <c:valAx>
        <c:axId val="531373848"/>
        <c:scaling>
          <c:orientation val="maxMin"/>
          <c:max val="9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dispUnits>
          <c:builtInUnit val="thousands"/>
        </c:dispUnits>
      </c:valAx>
      <c:valAx>
        <c:axId val="531373456"/>
        <c:scaling>
          <c:orientation val="maxMin"/>
          <c:max val="360"/>
          <c:min val="-18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60"/>
      </c:valAx>
      <c:catAx>
        <c:axId val="531373064"/>
        <c:scaling>
          <c:orientation val="minMax"/>
        </c:scaling>
        <c:delete val="1"/>
        <c:axPos val="t"/>
        <c:numFmt formatCode="General" sourceLinked="1"/>
        <c:majorTickMark val="out"/>
        <c:minorTickMark val="none"/>
        <c:tickLblPos val="nextTo"/>
        <c:crossAx val="531373456"/>
        <c:crosses val="autoZero"/>
        <c:auto val="1"/>
        <c:lblAlgn val="ctr"/>
        <c:lblOffset val="100"/>
        <c:noMultiLvlLbl val="0"/>
      </c:catAx>
      <c:spPr>
        <a:noFill/>
        <a:ln>
          <a:noFill/>
        </a:ln>
        <a:effectLst/>
      </c:spPr>
    </c:plotArea>
    <c:legend>
      <c:legendPos val="b"/>
      <c:layout>
        <c:manualLayout>
          <c:xMode val="edge"/>
          <c:yMode val="edge"/>
          <c:x val="5.1875110025633289E-2"/>
          <c:y val="0.79793862450626063"/>
          <c:w val="0.88816895712871868"/>
          <c:h val="0.2020614048870111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13070936983E-2"/>
          <c:y val="0.20901159094243654"/>
          <c:w val="0.87712252783722078"/>
          <c:h val="0.66738592458551371"/>
        </c:manualLayout>
      </c:layout>
      <c:barChart>
        <c:barDir val="col"/>
        <c:grouping val="stacked"/>
        <c:varyColors val="0"/>
        <c:ser>
          <c:idx val="0"/>
          <c:order val="0"/>
          <c:tx>
            <c:strRef>
              <c:f>Dat_01!$C$425</c:f>
              <c:strCache>
                <c:ptCount val="1"/>
                <c:pt idx="0">
                  <c:v>%h con p=&lt;0</c:v>
                </c:pt>
              </c:strCache>
            </c:strRef>
          </c:tx>
          <c:spPr>
            <a:solidFill>
              <a:srgbClr val="0090D1"/>
            </a:solidFill>
            <a:ln>
              <a:noFill/>
            </a:ln>
          </c:spPr>
          <c:invertIfNegative val="0"/>
          <c:cat>
            <c:strRef>
              <c:f>Dat_01!$A$426:$A$438</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Dat_01!$C$426:$C$438</c:f>
              <c:numCache>
                <c:formatCode>#,##0.00</c:formatCode>
                <c:ptCount val="13"/>
                <c:pt idx="0">
                  <c:v>4.704301075268817</c:v>
                </c:pt>
                <c:pt idx="1">
                  <c:v>7.9166666666666661</c:v>
                </c:pt>
                <c:pt idx="2">
                  <c:v>2.0134228187919461</c:v>
                </c:pt>
                <c:pt idx="3">
                  <c:v>0</c:v>
                </c:pt>
                <c:pt idx="4">
                  <c:v>0</c:v>
                </c:pt>
                <c:pt idx="5">
                  <c:v>0.13440860215053765</c:v>
                </c:pt>
                <c:pt idx="6">
                  <c:v>0</c:v>
                </c:pt>
                <c:pt idx="7">
                  <c:v>9.690444145356663</c:v>
                </c:pt>
                <c:pt idx="8">
                  <c:v>24.861111111111111</c:v>
                </c:pt>
                <c:pt idx="9">
                  <c:v>36.155913978494624</c:v>
                </c:pt>
                <c:pt idx="10">
                  <c:v>11.944444444444445</c:v>
                </c:pt>
                <c:pt idx="11">
                  <c:v>4.032258064516129</c:v>
                </c:pt>
                <c:pt idx="12">
                  <c:v>7.661290322580645</c:v>
                </c:pt>
              </c:numCache>
            </c:numRef>
          </c:val>
          <c:extLst>
            <c:ext xmlns:c16="http://schemas.microsoft.com/office/drawing/2014/chart" uri="{C3380CC4-5D6E-409C-BE32-E72D297353CC}">
              <c16:uniqueId val="{00000000-1098-4846-8912-87805C30CFB4}"/>
            </c:ext>
          </c:extLst>
        </c:ser>
        <c:ser>
          <c:idx val="1"/>
          <c:order val="1"/>
          <c:tx>
            <c:strRef>
              <c:f>Dat_01!$D$425</c:f>
              <c:strCache>
                <c:ptCount val="1"/>
                <c:pt idx="0">
                  <c:v>%h con 0&lt;p=&lt;50</c:v>
                </c:pt>
              </c:strCache>
            </c:strRef>
          </c:tx>
          <c:spPr>
            <a:solidFill>
              <a:srgbClr val="00B050"/>
            </a:solidFill>
            <a:ln>
              <a:noFill/>
            </a:ln>
          </c:spPr>
          <c:invertIfNegative val="0"/>
          <c:cat>
            <c:strRef>
              <c:f>Dat_01!$A$426:$A$438</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Dat_01!$D$426:$D$438</c:f>
              <c:numCache>
                <c:formatCode>#,##0.00</c:formatCode>
                <c:ptCount val="13"/>
                <c:pt idx="0">
                  <c:v>7.795698924731183</c:v>
                </c:pt>
                <c:pt idx="1">
                  <c:v>20.833333333333336</c:v>
                </c:pt>
                <c:pt idx="2">
                  <c:v>25.906040268456376</c:v>
                </c:pt>
                <c:pt idx="3">
                  <c:v>10.138888888888889</c:v>
                </c:pt>
                <c:pt idx="4">
                  <c:v>11.155913978494624</c:v>
                </c:pt>
                <c:pt idx="5">
                  <c:v>22.58064516129032</c:v>
                </c:pt>
                <c:pt idx="6">
                  <c:v>9.2261904761904763</c:v>
                </c:pt>
                <c:pt idx="7">
                  <c:v>40.107671601615074</c:v>
                </c:pt>
                <c:pt idx="8">
                  <c:v>55.000000000000007</c:v>
                </c:pt>
                <c:pt idx="9">
                  <c:v>54.166666666666664</c:v>
                </c:pt>
                <c:pt idx="10">
                  <c:v>24.305555555555554</c:v>
                </c:pt>
                <c:pt idx="11">
                  <c:v>29.838709677419356</c:v>
                </c:pt>
                <c:pt idx="12">
                  <c:v>25.537634408602152</c:v>
                </c:pt>
              </c:numCache>
            </c:numRef>
          </c:val>
          <c:extLst>
            <c:ext xmlns:c16="http://schemas.microsoft.com/office/drawing/2014/chart" uri="{C3380CC4-5D6E-409C-BE32-E72D297353CC}">
              <c16:uniqueId val="{00000001-1098-4846-8912-87805C30CFB4}"/>
            </c:ext>
          </c:extLst>
        </c:ser>
        <c:ser>
          <c:idx val="2"/>
          <c:order val="2"/>
          <c:tx>
            <c:strRef>
              <c:f>Dat_01!$E$425</c:f>
              <c:strCache>
                <c:ptCount val="1"/>
                <c:pt idx="0">
                  <c:v>%h con 50&lt;p=&lt;100</c:v>
                </c:pt>
              </c:strCache>
            </c:strRef>
          </c:tx>
          <c:spPr>
            <a:solidFill>
              <a:srgbClr val="FF9900"/>
            </a:solidFill>
            <a:ln>
              <a:noFill/>
            </a:ln>
          </c:spPr>
          <c:invertIfNegative val="0"/>
          <c:cat>
            <c:strRef>
              <c:f>Dat_01!$A$426:$A$438</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Dat_01!$E$426:$E$438</c:f>
              <c:numCache>
                <c:formatCode>#,##0.00</c:formatCode>
                <c:ptCount val="13"/>
                <c:pt idx="0">
                  <c:v>34.543010752688176</c:v>
                </c:pt>
                <c:pt idx="1">
                  <c:v>37.777777777777779</c:v>
                </c:pt>
                <c:pt idx="2">
                  <c:v>55.302013422818796</c:v>
                </c:pt>
                <c:pt idx="3">
                  <c:v>27.222222222222221</c:v>
                </c:pt>
                <c:pt idx="4">
                  <c:v>16.532258064516128</c:v>
                </c:pt>
                <c:pt idx="5">
                  <c:v>19.489247311827956</c:v>
                </c:pt>
                <c:pt idx="6">
                  <c:v>28.125</c:v>
                </c:pt>
                <c:pt idx="7">
                  <c:v>33.109017496635261</c:v>
                </c:pt>
                <c:pt idx="8">
                  <c:v>15.416666666666668</c:v>
                </c:pt>
                <c:pt idx="9">
                  <c:v>7.795698924731183</c:v>
                </c:pt>
                <c:pt idx="10">
                  <c:v>20.138888888888889</c:v>
                </c:pt>
                <c:pt idx="11">
                  <c:v>30.376344086021508</c:v>
                </c:pt>
                <c:pt idx="12">
                  <c:v>37.365591397849464</c:v>
                </c:pt>
              </c:numCache>
            </c:numRef>
          </c:val>
          <c:extLst>
            <c:ext xmlns:c16="http://schemas.microsoft.com/office/drawing/2014/chart" uri="{C3380CC4-5D6E-409C-BE32-E72D297353CC}">
              <c16:uniqueId val="{00000002-1098-4846-8912-87805C30CFB4}"/>
            </c:ext>
          </c:extLst>
        </c:ser>
        <c:ser>
          <c:idx val="4"/>
          <c:order val="3"/>
          <c:tx>
            <c:strRef>
              <c:f>Dat_01!$F$425</c:f>
              <c:strCache>
                <c:ptCount val="1"/>
                <c:pt idx="0">
                  <c:v>%h con 100&lt;p=&lt;150</c:v>
                </c:pt>
              </c:strCache>
            </c:strRef>
          </c:tx>
          <c:spPr>
            <a:solidFill>
              <a:srgbClr val="9999FF"/>
            </a:solidFill>
            <a:ln>
              <a:noFill/>
            </a:ln>
          </c:spPr>
          <c:invertIfNegative val="0"/>
          <c:cat>
            <c:strRef>
              <c:f>Dat_01!$A$426:$A$438</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Dat_01!$F$426:$F$438</c:f>
              <c:numCache>
                <c:formatCode>#,##0.00</c:formatCode>
                <c:ptCount val="13"/>
                <c:pt idx="0">
                  <c:v>51.881720430107528</c:v>
                </c:pt>
                <c:pt idx="1">
                  <c:v>32.638888888888893</c:v>
                </c:pt>
                <c:pt idx="2">
                  <c:v>15.302013422818792</c:v>
                </c:pt>
                <c:pt idx="3">
                  <c:v>57.222222222222221</c:v>
                </c:pt>
                <c:pt idx="4">
                  <c:v>59.005376344086024</c:v>
                </c:pt>
                <c:pt idx="5">
                  <c:v>45.833333333333329</c:v>
                </c:pt>
                <c:pt idx="6">
                  <c:v>47.916666666666671</c:v>
                </c:pt>
                <c:pt idx="7">
                  <c:v>15.343203230148047</c:v>
                </c:pt>
                <c:pt idx="8">
                  <c:v>3.8888888888888888</c:v>
                </c:pt>
                <c:pt idx="9">
                  <c:v>1.881720430107527</c:v>
                </c:pt>
                <c:pt idx="10">
                  <c:v>40.972222222222221</c:v>
                </c:pt>
                <c:pt idx="11">
                  <c:v>34.543010752688176</c:v>
                </c:pt>
                <c:pt idx="12">
                  <c:v>28.62903225806452</c:v>
                </c:pt>
              </c:numCache>
            </c:numRef>
          </c:val>
          <c:extLst>
            <c:ext xmlns:c16="http://schemas.microsoft.com/office/drawing/2014/chart" uri="{C3380CC4-5D6E-409C-BE32-E72D297353CC}">
              <c16:uniqueId val="{00000003-1098-4846-8912-87805C30CFB4}"/>
            </c:ext>
          </c:extLst>
        </c:ser>
        <c:ser>
          <c:idx val="3"/>
          <c:order val="4"/>
          <c:tx>
            <c:strRef>
              <c:f>Dat_01!$G$425</c:f>
              <c:strCache>
                <c:ptCount val="1"/>
                <c:pt idx="0">
                  <c:v>%h con p&gt;150</c:v>
                </c:pt>
              </c:strCache>
            </c:strRef>
          </c:tx>
          <c:spPr>
            <a:solidFill>
              <a:srgbClr val="FF0000"/>
            </a:solidFill>
            <a:ln w="25400">
              <a:noFill/>
            </a:ln>
          </c:spPr>
          <c:invertIfNegative val="0"/>
          <c:cat>
            <c:strRef>
              <c:f>Dat_01!$A$426:$A$438</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Dat_01!$G$426:$G$438</c:f>
              <c:numCache>
                <c:formatCode>#,##0.00</c:formatCode>
                <c:ptCount val="13"/>
                <c:pt idx="0">
                  <c:v>1.0752688172043012</c:v>
                </c:pt>
                <c:pt idx="1">
                  <c:v>0.83333333333333337</c:v>
                </c:pt>
                <c:pt idx="2">
                  <c:v>1.476510067114094</c:v>
                </c:pt>
                <c:pt idx="3">
                  <c:v>5.416666666666667</c:v>
                </c:pt>
                <c:pt idx="4">
                  <c:v>13.306451612903224</c:v>
                </c:pt>
                <c:pt idx="5">
                  <c:v>11.96236559139785</c:v>
                </c:pt>
                <c:pt idx="6">
                  <c:v>14.732142857142858</c:v>
                </c:pt>
                <c:pt idx="7">
                  <c:v>1.7496635262449527</c:v>
                </c:pt>
                <c:pt idx="8">
                  <c:v>0.83333333333333337</c:v>
                </c:pt>
                <c:pt idx="9">
                  <c:v>0</c:v>
                </c:pt>
                <c:pt idx="10">
                  <c:v>2.6388888888888888</c:v>
                </c:pt>
                <c:pt idx="11">
                  <c:v>1.2096774193548387</c:v>
                </c:pt>
                <c:pt idx="12">
                  <c:v>0.80645161290322576</c:v>
                </c:pt>
              </c:numCache>
            </c:numRef>
          </c:val>
          <c:extLst>
            <c:ext xmlns:c16="http://schemas.microsoft.com/office/drawing/2014/chart" uri="{C3380CC4-5D6E-409C-BE32-E72D297353CC}">
              <c16:uniqueId val="{00000004-1098-4846-8912-87805C30CFB4}"/>
            </c:ext>
          </c:extLst>
        </c:ser>
        <c:dLbls>
          <c:showLegendKey val="0"/>
          <c:showVal val="0"/>
          <c:showCatName val="0"/>
          <c:showSerName val="0"/>
          <c:showPercent val="0"/>
          <c:showBubbleSize val="0"/>
        </c:dLbls>
        <c:gapWidth val="80"/>
        <c:overlap val="100"/>
        <c:axId val="404552248"/>
        <c:axId val="404552640"/>
      </c:barChart>
      <c:catAx>
        <c:axId val="404552248"/>
        <c:scaling>
          <c:orientation val="minMax"/>
        </c:scaling>
        <c:delete val="0"/>
        <c:axPos val="b"/>
        <c:numFmt formatCode="General" sourceLinked="1"/>
        <c:majorTickMark val="out"/>
        <c:minorTickMark val="none"/>
        <c:tickLblPos val="nextTo"/>
        <c:spPr>
          <a:ln w="3175">
            <a:solidFill>
              <a:schemeClr val="bg1">
                <a:lumMod val="65000"/>
              </a:schemeClr>
            </a:solidFill>
          </a:ln>
        </c:spPr>
        <c:txPr>
          <a:bodyPr rot="0" vert="horz"/>
          <a:lstStyle/>
          <a:p>
            <a:pPr>
              <a:defRPr/>
            </a:pPr>
            <a:endParaRPr lang="es-ES"/>
          </a:p>
        </c:txPr>
        <c:crossAx val="404552640"/>
        <c:crosses val="autoZero"/>
        <c:auto val="1"/>
        <c:lblAlgn val="ctr"/>
        <c:lblOffset val="100"/>
        <c:noMultiLvlLbl val="0"/>
      </c:catAx>
      <c:valAx>
        <c:axId val="404552640"/>
        <c:scaling>
          <c:orientation val="minMax"/>
          <c:max val="100"/>
        </c:scaling>
        <c:delete val="0"/>
        <c:axPos val="l"/>
        <c:majorGridlines>
          <c:spPr>
            <a:ln w="3175">
              <a:solidFill>
                <a:schemeClr val="bg1">
                  <a:lumMod val="75000"/>
                </a:schemeClr>
              </a:solidFill>
              <a:prstDash val="sysDot"/>
            </a:ln>
          </c:spPr>
        </c:majorGridlines>
        <c:numFmt formatCode="General" sourceLinked="0"/>
        <c:majorTickMark val="out"/>
        <c:minorTickMark val="none"/>
        <c:tickLblPos val="nextTo"/>
        <c:spPr>
          <a:ln>
            <a:noFill/>
          </a:ln>
        </c:spPr>
        <c:txPr>
          <a:bodyPr rot="0" vert="horz"/>
          <a:lstStyle/>
          <a:p>
            <a:pPr>
              <a:defRPr/>
            </a:pPr>
            <a:endParaRPr lang="es-ES"/>
          </a:p>
        </c:txPr>
        <c:crossAx val="404552248"/>
        <c:crosses val="autoZero"/>
        <c:crossBetween val="between"/>
        <c:majorUnit val="20"/>
      </c:valAx>
      <c:spPr>
        <a:noFill/>
        <a:ln w="25400">
          <a:noFill/>
        </a:ln>
      </c:spPr>
    </c:plotArea>
    <c:legend>
      <c:legendPos val="t"/>
      <c:layout>
        <c:manualLayout>
          <c:xMode val="edge"/>
          <c:yMode val="edge"/>
          <c:x val="3.8673141565806292E-2"/>
          <c:y val="2.5990903183885639E-2"/>
          <c:w val="0.93344979650823001"/>
          <c:h val="0.15543583367868491"/>
        </c:manualLayout>
      </c:layout>
      <c:overlay val="0"/>
    </c:legend>
    <c:plotVisOnly val="1"/>
    <c:dispBlanksAs val="gap"/>
    <c:showDLblsOverMax val="0"/>
  </c:chart>
  <c:spPr>
    <a:solidFill>
      <a:schemeClr val="bg1">
        <a:lumMod val="95000"/>
      </a:schemeClr>
    </a:solid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94610413657E-2"/>
          <c:y val="0.18299605926359569"/>
          <c:w val="0.90045357141064819"/>
          <c:h val="0.66833475448334823"/>
        </c:manualLayout>
      </c:layout>
      <c:barChart>
        <c:barDir val="col"/>
        <c:grouping val="stacked"/>
        <c:varyColors val="0"/>
        <c:ser>
          <c:idx val="13"/>
          <c:order val="0"/>
          <c:tx>
            <c:strRef>
              <c:f>Dat_01!$B$341</c:f>
              <c:strCache>
                <c:ptCount val="1"/>
                <c:pt idx="0">
                  <c:v>Carbón</c:v>
                </c:pt>
              </c:strCache>
            </c:strRef>
          </c:tx>
          <c:spPr>
            <a:solidFill>
              <a:srgbClr val="993300"/>
            </a:solidFill>
            <a:ln>
              <a:noFill/>
            </a:ln>
            <a:effectLst/>
          </c:spPr>
          <c:invertIfNegative val="0"/>
          <c:cat>
            <c:strRef>
              <c:f>Dat_01!$C$336:$O$336</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Dat_01!$C$341:$O$341</c:f>
              <c:numCache>
                <c:formatCode>#,##0.0</c:formatCode>
                <c:ptCount val="13"/>
                <c:pt idx="0">
                  <c:v>3159</c:v>
                </c:pt>
                <c:pt idx="1">
                  <c:v>6921</c:v>
                </c:pt>
                <c:pt idx="2">
                  <c:v>28142.167000000001</c:v>
                </c:pt>
                <c:pt idx="3">
                  <c:v>22436</c:v>
                </c:pt>
                <c:pt idx="4">
                  <c:v>15140</c:v>
                </c:pt>
                <c:pt idx="5">
                  <c:v>14285</c:v>
                </c:pt>
                <c:pt idx="6">
                  <c:v>20485</c:v>
                </c:pt>
                <c:pt idx="7">
                  <c:v>7623.75</c:v>
                </c:pt>
                <c:pt idx="8">
                  <c:v>3547.56</c:v>
                </c:pt>
                <c:pt idx="9">
                  <c:v>0</c:v>
                </c:pt>
                <c:pt idx="10">
                  <c:v>9705</c:v>
                </c:pt>
                <c:pt idx="11">
                  <c:v>3130</c:v>
                </c:pt>
                <c:pt idx="12">
                  <c:v>0</c:v>
                </c:pt>
              </c:numCache>
            </c:numRef>
          </c:val>
          <c:extLst>
            <c:ext xmlns:c16="http://schemas.microsoft.com/office/drawing/2014/chart" uri="{C3380CC4-5D6E-409C-BE32-E72D297353CC}">
              <c16:uniqueId val="{0000005E-05DA-4902-9FAE-7020D488BF82}"/>
            </c:ext>
          </c:extLst>
        </c:ser>
        <c:ser>
          <c:idx val="11"/>
          <c:order val="1"/>
          <c:tx>
            <c:strRef>
              <c:f>Dat_01!$B$342</c:f>
              <c:strCache>
                <c:ptCount val="1"/>
                <c:pt idx="0">
                  <c:v>Ciclo Combinado</c:v>
                </c:pt>
              </c:strCache>
            </c:strRef>
          </c:tx>
          <c:spPr>
            <a:solidFill>
              <a:srgbClr val="FFCC66"/>
            </a:solidFill>
            <a:ln>
              <a:noFill/>
            </a:ln>
            <a:effectLst/>
          </c:spPr>
          <c:invertIfNegative val="0"/>
          <c:cat>
            <c:strRef>
              <c:f>Dat_01!$C$336:$O$336</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Dat_01!$C$342:$O$342</c:f>
              <c:numCache>
                <c:formatCode>#,##0.0</c:formatCode>
                <c:ptCount val="13"/>
                <c:pt idx="0">
                  <c:v>452723.04200000002</c:v>
                </c:pt>
                <c:pt idx="1">
                  <c:v>430782.21600000001</c:v>
                </c:pt>
                <c:pt idx="2">
                  <c:v>609242.973</c:v>
                </c:pt>
                <c:pt idx="3">
                  <c:v>435419.359</c:v>
                </c:pt>
                <c:pt idx="4">
                  <c:v>394503.52399999998</c:v>
                </c:pt>
                <c:pt idx="5">
                  <c:v>451588.02500000002</c:v>
                </c:pt>
                <c:pt idx="6">
                  <c:v>797594.67099999997</c:v>
                </c:pt>
                <c:pt idx="7">
                  <c:v>640773.63699999999</c:v>
                </c:pt>
                <c:pt idx="8">
                  <c:v>339272.77500000002</c:v>
                </c:pt>
                <c:pt idx="9">
                  <c:v>190030.19</c:v>
                </c:pt>
                <c:pt idx="10">
                  <c:v>486259.94</c:v>
                </c:pt>
                <c:pt idx="11">
                  <c:v>438078.424</c:v>
                </c:pt>
                <c:pt idx="12">
                  <c:v>365275.30099999998</c:v>
                </c:pt>
              </c:numCache>
            </c:numRef>
          </c:val>
          <c:extLst>
            <c:ext xmlns:c16="http://schemas.microsoft.com/office/drawing/2014/chart" uri="{C3380CC4-5D6E-409C-BE32-E72D297353CC}">
              <c16:uniqueId val="{00000060-05DA-4902-9FAE-7020D488BF82}"/>
            </c:ext>
          </c:extLst>
        </c:ser>
        <c:ser>
          <c:idx val="10"/>
          <c:order val="2"/>
          <c:tx>
            <c:strRef>
              <c:f>Dat_01!$B$343</c:f>
              <c:strCache>
                <c:ptCount val="1"/>
                <c:pt idx="0">
                  <c:v>Cogeneración</c:v>
                </c:pt>
              </c:strCache>
            </c:strRef>
          </c:tx>
          <c:spPr>
            <a:solidFill>
              <a:srgbClr val="CFA2CA"/>
            </a:solidFill>
            <a:ln>
              <a:noFill/>
            </a:ln>
            <a:effectLst/>
          </c:spPr>
          <c:invertIfNegative val="0"/>
          <c:cat>
            <c:strRef>
              <c:f>Dat_01!$C$336:$O$336</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Dat_01!$C$343:$O$343</c:f>
              <c:numCache>
                <c:formatCode>#,##0.0</c:formatCode>
                <c:ptCount val="13"/>
                <c:pt idx="0">
                  <c:v>0</c:v>
                </c:pt>
                <c:pt idx="1">
                  <c:v>0</c:v>
                </c:pt>
                <c:pt idx="2">
                  <c:v>1.546</c:v>
                </c:pt>
                <c:pt idx="3">
                  <c:v>0</c:v>
                </c:pt>
                <c:pt idx="4">
                  <c:v>0</c:v>
                </c:pt>
                <c:pt idx="5">
                  <c:v>0</c:v>
                </c:pt>
                <c:pt idx="6">
                  <c:v>0</c:v>
                </c:pt>
                <c:pt idx="7">
                  <c:v>0</c:v>
                </c:pt>
                <c:pt idx="8">
                  <c:v>0</c:v>
                </c:pt>
                <c:pt idx="9">
                  <c:v>48.424999999999997</c:v>
                </c:pt>
                <c:pt idx="10">
                  <c:v>0</c:v>
                </c:pt>
                <c:pt idx="11">
                  <c:v>0</c:v>
                </c:pt>
                <c:pt idx="12">
                  <c:v>0</c:v>
                </c:pt>
              </c:numCache>
            </c:numRef>
          </c:val>
          <c:extLst>
            <c:ext xmlns:c16="http://schemas.microsoft.com/office/drawing/2014/chart" uri="{C3380CC4-5D6E-409C-BE32-E72D297353CC}">
              <c16:uniqueId val="{00000062-05DA-4902-9FAE-7020D488BF82}"/>
            </c:ext>
          </c:extLst>
        </c:ser>
        <c:ser>
          <c:idx val="3"/>
          <c:order val="3"/>
          <c:tx>
            <c:strRef>
              <c:f>Dat_01!$B$344</c:f>
              <c:strCache>
                <c:ptCount val="1"/>
                <c:pt idx="0">
                  <c:v>Consumo Bombeo</c:v>
                </c:pt>
              </c:strCache>
            </c:strRef>
          </c:tx>
          <c:spPr>
            <a:solidFill>
              <a:srgbClr val="2C4D75"/>
            </a:solidFill>
            <a:ln>
              <a:noFill/>
            </a:ln>
            <a:effectLst/>
          </c:spPr>
          <c:invertIfNegative val="0"/>
          <c:cat>
            <c:strRef>
              <c:f>Dat_01!$C$336:$O$336</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Dat_01!$C$344:$O$344</c:f>
              <c:numCache>
                <c:formatCode>#,##0.0</c:formatCode>
                <c:ptCount val="13"/>
                <c:pt idx="0">
                  <c:v>9876.75</c:v>
                </c:pt>
                <c:pt idx="1">
                  <c:v>408.33300000000003</c:v>
                </c:pt>
                <c:pt idx="2">
                  <c:v>583</c:v>
                </c:pt>
                <c:pt idx="3">
                  <c:v>5128.25</c:v>
                </c:pt>
                <c:pt idx="4">
                  <c:v>267.5</c:v>
                </c:pt>
                <c:pt idx="5">
                  <c:v>1875</c:v>
                </c:pt>
                <c:pt idx="6">
                  <c:v>2238.683</c:v>
                </c:pt>
                <c:pt idx="7">
                  <c:v>5818.2749999999996</c:v>
                </c:pt>
                <c:pt idx="8">
                  <c:v>2631.1329999999998</c:v>
                </c:pt>
                <c:pt idx="9">
                  <c:v>948.5</c:v>
                </c:pt>
                <c:pt idx="10">
                  <c:v>12797.075000000001</c:v>
                </c:pt>
                <c:pt idx="11">
                  <c:v>12438.968000000001</c:v>
                </c:pt>
                <c:pt idx="12">
                  <c:v>7902.0079999999998</c:v>
                </c:pt>
              </c:numCache>
            </c:numRef>
          </c:val>
          <c:extLst>
            <c:ext xmlns:c16="http://schemas.microsoft.com/office/drawing/2014/chart" uri="{C3380CC4-5D6E-409C-BE32-E72D297353CC}">
              <c16:uniqueId val="{00000064-05DA-4902-9FAE-7020D488BF82}"/>
            </c:ext>
          </c:extLst>
        </c:ser>
        <c:ser>
          <c:idx val="4"/>
          <c:order val="4"/>
          <c:tx>
            <c:strRef>
              <c:f>Dat_01!$B$345</c:f>
              <c:strCache>
                <c:ptCount val="1"/>
                <c:pt idx="0">
                  <c:v>Enlace Península Baleares</c:v>
                </c:pt>
              </c:strCache>
            </c:strRef>
          </c:tx>
          <c:spPr>
            <a:solidFill>
              <a:srgbClr val="A99BBD"/>
            </a:solidFill>
            <a:ln>
              <a:noFill/>
            </a:ln>
            <a:effectLst/>
          </c:spPr>
          <c:invertIfNegative val="0"/>
          <c:cat>
            <c:strRef>
              <c:f>Dat_01!$C$336:$O$336</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Dat_01!$C$345:$O$345</c:f>
              <c:numCache>
                <c:formatCode>#,##0.0</c:formatCode>
                <c:ptCount val="13"/>
                <c:pt idx="0">
                  <c:v>2741.6</c:v>
                </c:pt>
                <c:pt idx="1">
                  <c:v>372</c:v>
                </c:pt>
                <c:pt idx="2">
                  <c:v>1567.5</c:v>
                </c:pt>
                <c:pt idx="3">
                  <c:v>190</c:v>
                </c:pt>
                <c:pt idx="4">
                  <c:v>102</c:v>
                </c:pt>
                <c:pt idx="5">
                  <c:v>40</c:v>
                </c:pt>
                <c:pt idx="6">
                  <c:v>1099.2</c:v>
                </c:pt>
                <c:pt idx="7">
                  <c:v>729.7</c:v>
                </c:pt>
                <c:pt idx="8">
                  <c:v>554.1</c:v>
                </c:pt>
                <c:pt idx="9">
                  <c:v>910.22500000000002</c:v>
                </c:pt>
                <c:pt idx="10">
                  <c:v>984</c:v>
                </c:pt>
                <c:pt idx="11">
                  <c:v>2865.4</c:v>
                </c:pt>
                <c:pt idx="12">
                  <c:v>1132.875</c:v>
                </c:pt>
              </c:numCache>
            </c:numRef>
          </c:val>
          <c:extLst>
            <c:ext xmlns:c16="http://schemas.microsoft.com/office/drawing/2014/chart" uri="{C3380CC4-5D6E-409C-BE32-E72D297353CC}">
              <c16:uniqueId val="{00000066-05DA-4902-9FAE-7020D488BF82}"/>
            </c:ext>
          </c:extLst>
        </c:ser>
        <c:ser>
          <c:idx val="14"/>
          <c:order val="5"/>
          <c:tx>
            <c:strRef>
              <c:f>Dat_01!$B$346</c:f>
              <c:strCache>
                <c:ptCount val="1"/>
                <c:pt idx="0">
                  <c:v>Eólica</c:v>
                </c:pt>
              </c:strCache>
            </c:strRef>
          </c:tx>
          <c:spPr>
            <a:solidFill>
              <a:srgbClr val="70AD47"/>
            </a:solidFill>
            <a:ln>
              <a:noFill/>
            </a:ln>
            <a:effectLst/>
          </c:spPr>
          <c:invertIfNegative val="0"/>
          <c:cat>
            <c:strRef>
              <c:f>Dat_01!$C$336:$O$336</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Dat_01!$C$346:$O$346</c:f>
              <c:numCache>
                <c:formatCode>#,##0.0</c:formatCode>
                <c:ptCount val="13"/>
                <c:pt idx="0">
                  <c:v>0</c:v>
                </c:pt>
                <c:pt idx="1">
                  <c:v>116.667</c:v>
                </c:pt>
                <c:pt idx="2">
                  <c:v>0.17299999999999999</c:v>
                </c:pt>
                <c:pt idx="3">
                  <c:v>0</c:v>
                </c:pt>
                <c:pt idx="4">
                  <c:v>0</c:v>
                </c:pt>
                <c:pt idx="5">
                  <c:v>0</c:v>
                </c:pt>
                <c:pt idx="6">
                  <c:v>0</c:v>
                </c:pt>
                <c:pt idx="7">
                  <c:v>0</c:v>
                </c:pt>
                <c:pt idx="8">
                  <c:v>0</c:v>
                </c:pt>
                <c:pt idx="9">
                  <c:v>5.8</c:v>
                </c:pt>
                <c:pt idx="10">
                  <c:v>0</c:v>
                </c:pt>
                <c:pt idx="11">
                  <c:v>54.15</c:v>
                </c:pt>
                <c:pt idx="12">
                  <c:v>137.5</c:v>
                </c:pt>
              </c:numCache>
            </c:numRef>
          </c:val>
          <c:extLst>
            <c:ext xmlns:c16="http://schemas.microsoft.com/office/drawing/2014/chart" uri="{C3380CC4-5D6E-409C-BE32-E72D297353CC}">
              <c16:uniqueId val="{00000068-05DA-4902-9FAE-7020D488BF82}"/>
            </c:ext>
          </c:extLst>
        </c:ser>
        <c:ser>
          <c:idx val="5"/>
          <c:order val="6"/>
          <c:tx>
            <c:strRef>
              <c:f>Dat_01!$B$348</c:f>
              <c:strCache>
                <c:ptCount val="1"/>
                <c:pt idx="0">
                  <c:v>Hidráulica</c:v>
                </c:pt>
              </c:strCache>
            </c:strRef>
          </c:tx>
          <c:spPr>
            <a:solidFill>
              <a:srgbClr val="00B0F0"/>
            </a:solidFill>
            <a:ln>
              <a:noFill/>
            </a:ln>
            <a:effectLst/>
          </c:spPr>
          <c:invertIfNegative val="0"/>
          <c:cat>
            <c:strRef>
              <c:f>Dat_01!$C$336:$O$336</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Dat_01!$C$348:$O$348</c:f>
              <c:numCache>
                <c:formatCode>#,##0.0</c:formatCode>
                <c:ptCount val="13"/>
                <c:pt idx="0">
                  <c:v>0</c:v>
                </c:pt>
                <c:pt idx="1">
                  <c:v>0</c:v>
                </c:pt>
                <c:pt idx="2">
                  <c:v>51.587000000000003</c:v>
                </c:pt>
                <c:pt idx="3">
                  <c:v>0</c:v>
                </c:pt>
                <c:pt idx="4">
                  <c:v>138</c:v>
                </c:pt>
                <c:pt idx="5">
                  <c:v>0</c:v>
                </c:pt>
                <c:pt idx="6">
                  <c:v>2</c:v>
                </c:pt>
                <c:pt idx="7">
                  <c:v>481.66699999999997</c:v>
                </c:pt>
                <c:pt idx="8">
                  <c:v>5753.75</c:v>
                </c:pt>
                <c:pt idx="9">
                  <c:v>7951.9669999999996</c:v>
                </c:pt>
                <c:pt idx="10">
                  <c:v>7231.6369999999997</c:v>
                </c:pt>
                <c:pt idx="11">
                  <c:v>502</c:v>
                </c:pt>
                <c:pt idx="12">
                  <c:v>455</c:v>
                </c:pt>
              </c:numCache>
            </c:numRef>
          </c:val>
          <c:extLst>
            <c:ext xmlns:c16="http://schemas.microsoft.com/office/drawing/2014/chart" uri="{C3380CC4-5D6E-409C-BE32-E72D297353CC}">
              <c16:uniqueId val="{0000006A-05DA-4902-9FAE-7020D488BF82}"/>
            </c:ext>
          </c:extLst>
        </c:ser>
        <c:ser>
          <c:idx val="15"/>
          <c:order val="7"/>
          <c:tx>
            <c:strRef>
              <c:f>Dat_01!$B$350</c:f>
              <c:strCache>
                <c:ptCount val="1"/>
                <c:pt idx="0">
                  <c:v>Internacionales</c:v>
                </c:pt>
              </c:strCache>
            </c:strRef>
          </c:tx>
          <c:spPr>
            <a:solidFill>
              <a:schemeClr val="accent5">
                <a:lumMod val="60000"/>
                <a:lumOff val="40000"/>
              </a:schemeClr>
            </a:solidFill>
            <a:ln>
              <a:noFill/>
            </a:ln>
            <a:effectLst/>
          </c:spPr>
          <c:invertIfNegative val="0"/>
          <c:cat>
            <c:strRef>
              <c:f>Dat_01!$C$336:$O$336</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Dat_01!$C$350:$O$350</c:f>
              <c:numCache>
                <c:formatCode>#,##0.0</c:formatCode>
                <c:ptCount val="13"/>
                <c:pt idx="0">
                  <c:v>0</c:v>
                </c:pt>
                <c:pt idx="1">
                  <c:v>18.332999999999998</c:v>
                </c:pt>
                <c:pt idx="2">
                  <c:v>0</c:v>
                </c:pt>
                <c:pt idx="3">
                  <c:v>0</c:v>
                </c:pt>
                <c:pt idx="4">
                  <c:v>6190</c:v>
                </c:pt>
                <c:pt idx="5">
                  <c:v>0</c:v>
                </c:pt>
                <c:pt idx="6">
                  <c:v>0</c:v>
                </c:pt>
                <c:pt idx="7">
                  <c:v>0</c:v>
                </c:pt>
                <c:pt idx="8">
                  <c:v>0</c:v>
                </c:pt>
                <c:pt idx="9">
                  <c:v>0</c:v>
                </c:pt>
                <c:pt idx="10">
                  <c:v>801.6</c:v>
                </c:pt>
                <c:pt idx="11">
                  <c:v>0</c:v>
                </c:pt>
                <c:pt idx="12">
                  <c:v>471.21699999999998</c:v>
                </c:pt>
              </c:numCache>
            </c:numRef>
          </c:val>
          <c:extLst>
            <c:ext xmlns:c16="http://schemas.microsoft.com/office/drawing/2014/chart" uri="{C3380CC4-5D6E-409C-BE32-E72D297353CC}">
              <c16:uniqueId val="{0000006C-05DA-4902-9FAE-7020D488BF82}"/>
            </c:ext>
          </c:extLst>
        </c:ser>
        <c:ser>
          <c:idx val="6"/>
          <c:order val="8"/>
          <c:tx>
            <c:strRef>
              <c:f>Dat_01!$B$351</c:f>
              <c:strCache>
                <c:ptCount val="1"/>
                <c:pt idx="0">
                  <c:v>Nuclear</c:v>
                </c:pt>
              </c:strCache>
            </c:strRef>
          </c:tx>
          <c:spPr>
            <a:solidFill>
              <a:srgbClr val="9A5CBC"/>
            </a:solidFill>
            <a:ln>
              <a:noFill/>
            </a:ln>
            <a:effectLst/>
          </c:spPr>
          <c:invertIfNegative val="0"/>
          <c:cat>
            <c:strRef>
              <c:f>Dat_01!$C$336:$O$336</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Dat_01!$C$351:$O$351</c:f>
              <c:numCache>
                <c:formatCode>#,##0.0</c:formatCode>
                <c:ptCount val="13"/>
                <c:pt idx="0">
                  <c:v>0</c:v>
                </c:pt>
                <c:pt idx="1">
                  <c:v>0</c:v>
                </c:pt>
                <c:pt idx="2">
                  <c:v>4.1210000000000004</c:v>
                </c:pt>
                <c:pt idx="3">
                  <c:v>0</c:v>
                </c:pt>
                <c:pt idx="4">
                  <c:v>0</c:v>
                </c:pt>
                <c:pt idx="5">
                  <c:v>0</c:v>
                </c:pt>
                <c:pt idx="6">
                  <c:v>0</c:v>
                </c:pt>
                <c:pt idx="7">
                  <c:v>0</c:v>
                </c:pt>
                <c:pt idx="8">
                  <c:v>4387.5</c:v>
                </c:pt>
                <c:pt idx="9">
                  <c:v>0</c:v>
                </c:pt>
                <c:pt idx="10">
                  <c:v>0</c:v>
                </c:pt>
                <c:pt idx="11">
                  <c:v>0</c:v>
                </c:pt>
                <c:pt idx="12">
                  <c:v>0</c:v>
                </c:pt>
              </c:numCache>
            </c:numRef>
          </c:val>
          <c:extLst>
            <c:ext xmlns:c16="http://schemas.microsoft.com/office/drawing/2014/chart" uri="{C3380CC4-5D6E-409C-BE32-E72D297353CC}">
              <c16:uniqueId val="{0000006E-05DA-4902-9FAE-7020D488BF82}"/>
            </c:ext>
          </c:extLst>
        </c:ser>
        <c:ser>
          <c:idx val="0"/>
          <c:order val="9"/>
          <c:tx>
            <c:strRef>
              <c:f>Dat_01!$B$352</c:f>
              <c:strCache>
                <c:ptCount val="1"/>
                <c:pt idx="0">
                  <c:v>Otras Renovables</c:v>
                </c:pt>
              </c:strCache>
            </c:strRef>
          </c:tx>
          <c:spPr>
            <a:solidFill>
              <a:srgbClr val="7F7F7F"/>
            </a:solidFill>
            <a:ln>
              <a:noFill/>
            </a:ln>
            <a:effectLst/>
          </c:spPr>
          <c:invertIfNegative val="0"/>
          <c:cat>
            <c:strRef>
              <c:f>Dat_01!$C$336:$O$336</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Dat_01!$C$352:$O$352</c:f>
              <c:numCache>
                <c:formatCode>#,##0.0</c:formatCode>
                <c:ptCount val="13"/>
                <c:pt idx="0">
                  <c:v>0</c:v>
                </c:pt>
                <c:pt idx="1">
                  <c:v>0</c:v>
                </c:pt>
                <c:pt idx="2">
                  <c:v>17.093</c:v>
                </c:pt>
                <c:pt idx="3">
                  <c:v>0</c:v>
                </c:pt>
                <c:pt idx="4">
                  <c:v>0</c:v>
                </c:pt>
                <c:pt idx="5">
                  <c:v>0</c:v>
                </c:pt>
                <c:pt idx="6">
                  <c:v>0</c:v>
                </c:pt>
                <c:pt idx="7">
                  <c:v>6</c:v>
                </c:pt>
                <c:pt idx="8">
                  <c:v>0</c:v>
                </c:pt>
                <c:pt idx="9">
                  <c:v>5.5</c:v>
                </c:pt>
                <c:pt idx="10">
                  <c:v>0</c:v>
                </c:pt>
                <c:pt idx="11">
                  <c:v>0</c:v>
                </c:pt>
                <c:pt idx="12">
                  <c:v>0</c:v>
                </c:pt>
              </c:numCache>
            </c:numRef>
          </c:val>
          <c:extLst>
            <c:ext xmlns:c16="http://schemas.microsoft.com/office/drawing/2014/chart" uri="{C3380CC4-5D6E-409C-BE32-E72D297353CC}">
              <c16:uniqueId val="{00000070-05DA-4902-9FAE-7020D488BF82}"/>
            </c:ext>
          </c:extLst>
        </c:ser>
        <c:ser>
          <c:idx val="8"/>
          <c:order val="10"/>
          <c:tx>
            <c:strRef>
              <c:f>Dat_01!$B$353</c:f>
              <c:strCache>
                <c:ptCount val="1"/>
                <c:pt idx="0">
                  <c:v>Residuos no Renovables</c:v>
                </c:pt>
              </c:strCache>
            </c:strRef>
          </c:tx>
          <c:spPr>
            <a:solidFill>
              <a:srgbClr val="ED7D31"/>
            </a:solidFill>
            <a:ln>
              <a:noFill/>
            </a:ln>
            <a:effectLst/>
          </c:spPr>
          <c:invertIfNegative val="0"/>
          <c:cat>
            <c:strRef>
              <c:f>Dat_01!$C$336:$O$336</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Dat_01!$C$353:$O$353</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2-05DA-4902-9FAE-7020D488BF82}"/>
            </c:ext>
          </c:extLst>
        </c:ser>
        <c:ser>
          <c:idx val="9"/>
          <c:order val="11"/>
          <c:tx>
            <c:strRef>
              <c:f>Dat_01!$B$354</c:f>
              <c:strCache>
                <c:ptCount val="1"/>
                <c:pt idx="0">
                  <c:v>Solar fotovoltaica</c:v>
                </c:pt>
              </c:strCache>
            </c:strRef>
          </c:tx>
          <c:spPr>
            <a:solidFill>
              <a:srgbClr val="FF0000"/>
            </a:solidFill>
            <a:ln>
              <a:noFill/>
            </a:ln>
            <a:effectLst/>
          </c:spPr>
          <c:invertIfNegative val="0"/>
          <c:cat>
            <c:strRef>
              <c:f>Dat_01!$C$336:$O$336</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Dat_01!$C$354:$O$354</c:f>
              <c:numCache>
                <c:formatCode>#,##0.0</c:formatCode>
                <c:ptCount val="13"/>
                <c:pt idx="0">
                  <c:v>0</c:v>
                </c:pt>
                <c:pt idx="1">
                  <c:v>0</c:v>
                </c:pt>
                <c:pt idx="2">
                  <c:v>0.44</c:v>
                </c:pt>
                <c:pt idx="3">
                  <c:v>0</c:v>
                </c:pt>
                <c:pt idx="4">
                  <c:v>0</c:v>
                </c:pt>
                <c:pt idx="5">
                  <c:v>0.27500000000000002</c:v>
                </c:pt>
                <c:pt idx="6">
                  <c:v>0</c:v>
                </c:pt>
                <c:pt idx="7">
                  <c:v>0.17499999999999999</c:v>
                </c:pt>
                <c:pt idx="8">
                  <c:v>0</c:v>
                </c:pt>
                <c:pt idx="9">
                  <c:v>3.5</c:v>
                </c:pt>
                <c:pt idx="10">
                  <c:v>1.425</c:v>
                </c:pt>
                <c:pt idx="11">
                  <c:v>0.75</c:v>
                </c:pt>
                <c:pt idx="12">
                  <c:v>3.6749999999999998</c:v>
                </c:pt>
              </c:numCache>
            </c:numRef>
          </c:val>
          <c:extLst>
            <c:ext xmlns:c16="http://schemas.microsoft.com/office/drawing/2014/chart" uri="{C3380CC4-5D6E-409C-BE32-E72D297353CC}">
              <c16:uniqueId val="{00000074-05DA-4902-9FAE-7020D488BF82}"/>
            </c:ext>
          </c:extLst>
        </c:ser>
        <c:ser>
          <c:idx val="12"/>
          <c:order val="12"/>
          <c:tx>
            <c:strRef>
              <c:f>Dat_01!$B$355</c:f>
              <c:strCache>
                <c:ptCount val="1"/>
                <c:pt idx="0">
                  <c:v>Solar térmica</c:v>
                </c:pt>
              </c:strCache>
            </c:strRef>
          </c:tx>
          <c:spPr>
            <a:solidFill>
              <a:srgbClr val="95B3D7"/>
            </a:solidFill>
            <a:ln>
              <a:noFill/>
            </a:ln>
            <a:effectLst/>
          </c:spPr>
          <c:invertIfNegative val="0"/>
          <c:cat>
            <c:strRef>
              <c:f>Dat_01!$C$336:$O$336</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Dat_01!$C$355:$O$355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6-05DA-4902-9FAE-7020D488BF82}"/>
            </c:ext>
          </c:extLst>
        </c:ser>
        <c:ser>
          <c:idx val="7"/>
          <c:order val="13"/>
          <c:tx>
            <c:strRef>
              <c:f>Dat_01!$B$357</c:f>
              <c:strCache>
                <c:ptCount val="1"/>
                <c:pt idx="0">
                  <c:v>Turbinación bombeo</c:v>
                </c:pt>
              </c:strCache>
            </c:strRef>
          </c:tx>
          <c:spPr>
            <a:solidFill>
              <a:schemeClr val="accent1">
                <a:lumMod val="60000"/>
                <a:lumOff val="40000"/>
              </a:schemeClr>
            </a:solidFill>
          </c:spPr>
          <c:invertIfNegative val="0"/>
          <c:val>
            <c:numRef>
              <c:f>Dat_01!$C$357:$O$357</c:f>
              <c:numCache>
                <c:formatCode>#,##0.0</c:formatCode>
                <c:ptCount val="13"/>
                <c:pt idx="0">
                  <c:v>24880.207999999999</c:v>
                </c:pt>
                <c:pt idx="1">
                  <c:v>110</c:v>
                </c:pt>
                <c:pt idx="2">
                  <c:v>458.57299999999998</c:v>
                </c:pt>
                <c:pt idx="3">
                  <c:v>850</c:v>
                </c:pt>
                <c:pt idx="4">
                  <c:v>540.75</c:v>
                </c:pt>
                <c:pt idx="5">
                  <c:v>66.5</c:v>
                </c:pt>
                <c:pt idx="6">
                  <c:v>1200</c:v>
                </c:pt>
                <c:pt idx="7">
                  <c:v>1179.3330000000001</c:v>
                </c:pt>
                <c:pt idx="8">
                  <c:v>497.25</c:v>
                </c:pt>
                <c:pt idx="9">
                  <c:v>325</c:v>
                </c:pt>
                <c:pt idx="10">
                  <c:v>860</c:v>
                </c:pt>
                <c:pt idx="11">
                  <c:v>2186.4</c:v>
                </c:pt>
                <c:pt idx="12">
                  <c:v>4850.1750000000002</c:v>
                </c:pt>
              </c:numCache>
            </c:numRef>
          </c:val>
          <c:extLst>
            <c:ext xmlns:c16="http://schemas.microsoft.com/office/drawing/2014/chart" uri="{C3380CC4-5D6E-409C-BE32-E72D297353CC}">
              <c16:uniqueId val="{00000000-7E6A-4DA1-8B41-9F54BBC1A5D8}"/>
            </c:ext>
          </c:extLst>
        </c:ser>
        <c:ser>
          <c:idx val="16"/>
          <c:order val="14"/>
          <c:tx>
            <c:strRef>
              <c:f>Dat_01!$B$347</c:f>
              <c:strCache>
                <c:ptCount val="1"/>
                <c:pt idx="0">
                  <c:v>Hibridación</c:v>
                </c:pt>
              </c:strCache>
            </c:strRef>
          </c:tx>
          <c:spPr>
            <a:solidFill>
              <a:srgbClr val="28A064"/>
            </a:solidFill>
            <a:ln>
              <a:noFill/>
            </a:ln>
          </c:spPr>
          <c:invertIfNegative val="0"/>
          <c:val>
            <c:numRef>
              <c:f>Dat_01!$C$347:$O$347</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34-C350-4BF4-A327-BEF16DBD47D3}"/>
            </c:ext>
          </c:extLst>
        </c:ser>
        <c:ser>
          <c:idx val="17"/>
          <c:order val="15"/>
          <c:tx>
            <c:strRef>
              <c:f>Dat_01!$B$356</c:f>
              <c:strCache>
                <c:ptCount val="1"/>
                <c:pt idx="0">
                  <c:v>Turbina Vapor, Gas y Fuel</c:v>
                </c:pt>
              </c:strCache>
            </c:strRef>
          </c:tx>
          <c:spPr>
            <a:solidFill>
              <a:srgbClr val="C00000"/>
            </a:solidFill>
          </c:spPr>
          <c:invertIfNegative val="0"/>
          <c:val>
            <c:numRef>
              <c:f>Dat_01!$C$356:$O$356</c:f>
              <c:numCache>
                <c:formatCode>#,##0.0</c:formatCode>
                <c:ptCount val="13"/>
                <c:pt idx="0">
                  <c:v>0</c:v>
                </c:pt>
                <c:pt idx="1">
                  <c:v>0</c:v>
                </c:pt>
                <c:pt idx="2">
                  <c:v>0</c:v>
                </c:pt>
                <c:pt idx="3">
                  <c:v>0</c:v>
                </c:pt>
                <c:pt idx="4">
                  <c:v>0</c:v>
                </c:pt>
                <c:pt idx="5">
                  <c:v>0</c:v>
                </c:pt>
                <c:pt idx="6">
                  <c:v>0</c:v>
                </c:pt>
                <c:pt idx="7">
                  <c:v>0</c:v>
                </c:pt>
                <c:pt idx="8">
                  <c:v>0</c:v>
                </c:pt>
                <c:pt idx="9">
                  <c:v>0</c:v>
                </c:pt>
                <c:pt idx="10">
                  <c:v>0</c:v>
                </c:pt>
                <c:pt idx="11">
                  <c:v>22</c:v>
                </c:pt>
                <c:pt idx="12">
                  <c:v>0</c:v>
                </c:pt>
              </c:numCache>
            </c:numRef>
          </c:val>
          <c:extLst>
            <c:ext xmlns:c16="http://schemas.microsoft.com/office/drawing/2014/chart" uri="{C3380CC4-5D6E-409C-BE32-E72D297353CC}">
              <c16:uniqueId val="{00000001-2D03-4243-8359-67B7EC5AE60B}"/>
            </c:ext>
          </c:extLst>
        </c:ser>
        <c:dLbls>
          <c:showLegendKey val="0"/>
          <c:showVal val="0"/>
          <c:showCatName val="0"/>
          <c:showSerName val="0"/>
          <c:showPercent val="0"/>
          <c:showBubbleSize val="0"/>
        </c:dLbls>
        <c:gapWidth val="150"/>
        <c:overlap val="100"/>
        <c:axId val="531374240"/>
        <c:axId val="531373848"/>
      </c:barChart>
      <c:lineChart>
        <c:grouping val="standard"/>
        <c:varyColors val="0"/>
        <c:ser>
          <c:idx val="1"/>
          <c:order val="16"/>
          <c:tx>
            <c:v>Precio medio subir</c:v>
          </c:tx>
          <c:spPr>
            <a:ln w="28575" cap="rnd">
              <a:solidFill>
                <a:srgbClr val="004563"/>
              </a:solidFill>
              <a:round/>
            </a:ln>
            <a:effectLst/>
          </c:spPr>
          <c:marker>
            <c:symbol val="none"/>
          </c:marker>
          <c:cat>
            <c:numRef>
              <c:f>Dat_01!$C$312:$O$312</c:f>
              <c:numCache>
                <c:formatCode>General</c:formatCode>
                <c:ptCount val="13"/>
              </c:numCache>
            </c:numRef>
          </c:cat>
          <c:val>
            <c:numRef>
              <c:f>Dat_01!$C$404:$O$404</c:f>
              <c:numCache>
                <c:formatCode>#,##0.00</c:formatCode>
                <c:ptCount val="13"/>
                <c:pt idx="0">
                  <c:v>235.40917235091899</c:v>
                </c:pt>
                <c:pt idx="1">
                  <c:v>250.485841143654</c:v>
                </c:pt>
                <c:pt idx="2">
                  <c:v>255.80172168360301</c:v>
                </c:pt>
                <c:pt idx="3">
                  <c:v>282.72443626893102</c:v>
                </c:pt>
                <c:pt idx="4">
                  <c:v>303.92478247469302</c:v>
                </c:pt>
                <c:pt idx="5">
                  <c:v>295.70636464561198</c:v>
                </c:pt>
                <c:pt idx="6">
                  <c:v>305.10105866022201</c:v>
                </c:pt>
                <c:pt idx="7">
                  <c:v>264.47613594682201</c:v>
                </c:pt>
                <c:pt idx="8">
                  <c:v>244.684313493194</c:v>
                </c:pt>
                <c:pt idx="9">
                  <c:v>220.956766740212</c:v>
                </c:pt>
                <c:pt idx="10">
                  <c:v>219.04360320250899</c:v>
                </c:pt>
                <c:pt idx="11">
                  <c:v>200.37973579197001</c:v>
                </c:pt>
                <c:pt idx="12">
                  <c:v>209.217893514564</c:v>
                </c:pt>
              </c:numCache>
            </c:numRef>
          </c:val>
          <c:smooth val="0"/>
          <c:extLst>
            <c:ext xmlns:c16="http://schemas.microsoft.com/office/drawing/2014/chart" uri="{C3380CC4-5D6E-409C-BE32-E72D297353CC}">
              <c16:uniqueId val="{00000078-05DA-4902-9FAE-7020D488BF82}"/>
            </c:ext>
          </c:extLst>
        </c:ser>
        <c:ser>
          <c:idx val="2"/>
          <c:order val="17"/>
          <c:tx>
            <c:v>Precio medio a bajar</c:v>
          </c:tx>
          <c:spPr>
            <a:ln w="28575" cap="rnd">
              <a:solidFill>
                <a:srgbClr val="404040"/>
              </a:solidFill>
              <a:round/>
            </a:ln>
            <a:effectLst/>
          </c:spPr>
          <c:marker>
            <c:symbol val="none"/>
          </c:marker>
          <c:val>
            <c:numRef>
              <c:f>Dat_01!$C$409:$O$409</c:f>
              <c:numCache>
                <c:formatCode>General</c:formatCode>
                <c:ptCount val="13"/>
              </c:numCache>
            </c:numRef>
          </c:val>
          <c:smooth val="0"/>
          <c:extLst>
            <c:ext xmlns:c16="http://schemas.microsoft.com/office/drawing/2014/chart" uri="{C3380CC4-5D6E-409C-BE32-E72D297353CC}">
              <c16:uniqueId val="{0000007A-05DA-4902-9FAE-7020D488BF82}"/>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0"/>
        <c:axPos val="b"/>
        <c:numFmt formatCode="General" sourceLinked="1"/>
        <c:majorTickMark val="out"/>
        <c:minorTickMark val="none"/>
        <c:tickLblPos val="nextTo"/>
        <c:crossAx val="531373848"/>
        <c:crosses val="autoZero"/>
        <c:auto val="1"/>
        <c:lblAlgn val="ctr"/>
        <c:lblOffset val="100"/>
        <c:noMultiLvlLbl val="0"/>
      </c:catAx>
      <c:valAx>
        <c:axId val="531373848"/>
        <c:scaling>
          <c:orientation val="minMax"/>
        </c:scaling>
        <c:delete val="0"/>
        <c:axPos val="l"/>
        <c:majorGridlines>
          <c:spPr>
            <a:ln w="3175" cap="flat" cmpd="sng" algn="ctr">
              <a:solidFill>
                <a:srgbClr val="004563"/>
              </a:solidFill>
              <a:prstDash val="sysDot"/>
              <a:round/>
            </a:ln>
            <a:effectLst/>
          </c:spPr>
        </c:majorGridlines>
        <c:title>
          <c:tx>
            <c:rich>
              <a:bodyPr rot="0" vert="horz"/>
              <a:lstStyle/>
              <a:p>
                <a:pPr>
                  <a:defRPr/>
                </a:pPr>
                <a:r>
                  <a:rPr lang="es-ES" b="0"/>
                  <a:t>GWh</a:t>
                </a:r>
              </a:p>
            </c:rich>
          </c:tx>
          <c:layout>
            <c:manualLayout>
              <c:xMode val="edge"/>
              <c:yMode val="edge"/>
              <c:x val="1.7026379089783182E-2"/>
              <c:y val="6.7816441752756543E-2"/>
            </c:manualLayout>
          </c:layout>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dispUnits>
          <c:builtInUnit val="thousands"/>
        </c:dispUnits>
      </c:valAx>
      <c:valAx>
        <c:axId val="531373456"/>
        <c:scaling>
          <c:orientation val="minMax"/>
          <c:max val="360"/>
          <c:min val="-180"/>
        </c:scaling>
        <c:delete val="0"/>
        <c:axPos val="r"/>
        <c:title>
          <c:tx>
            <c:rich>
              <a:bodyPr rot="0" vert="horz"/>
              <a:lstStyle/>
              <a:p>
                <a:pPr>
                  <a:defRPr/>
                </a:pPr>
                <a:r>
                  <a:rPr lang="es-ES" b="0"/>
                  <a:t>€/MWh</a:t>
                </a:r>
              </a:p>
            </c:rich>
          </c:tx>
          <c:layout>
            <c:manualLayout>
              <c:xMode val="edge"/>
              <c:yMode val="edge"/>
              <c:x val="0.93655971151146789"/>
              <c:y val="6.7816441752756543E-2"/>
            </c:manualLayout>
          </c:layout>
          <c:overlay val="0"/>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60"/>
      </c:valAx>
      <c:catAx>
        <c:axId val="531373064"/>
        <c:scaling>
          <c:orientation val="minMax"/>
        </c:scaling>
        <c:delete val="1"/>
        <c:axPos val="b"/>
        <c:numFmt formatCode="General" sourceLinked="1"/>
        <c:majorTickMark val="out"/>
        <c:minorTickMark val="none"/>
        <c:tickLblPos val="nextTo"/>
        <c:crossAx val="531373456"/>
        <c:crosses val="autoZero"/>
        <c:auto val="1"/>
        <c:lblAlgn val="ctr"/>
        <c:lblOffset val="100"/>
        <c:noMultiLvlLbl val="0"/>
      </c:catAx>
      <c:spPr>
        <a:noFill/>
        <a:ln w="25400">
          <a:noFill/>
        </a:ln>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27752118601E-2"/>
          <c:y val="0.16078849518810151"/>
          <c:w val="0.87712252783722078"/>
          <c:h val="0.6880898676727909"/>
        </c:manualLayout>
      </c:layout>
      <c:barChart>
        <c:barDir val="col"/>
        <c:grouping val="stacked"/>
        <c:varyColors val="0"/>
        <c:ser>
          <c:idx val="0"/>
          <c:order val="0"/>
          <c:tx>
            <c:strRef>
              <c:f>Dat_01!$D$452</c:f>
              <c:strCache>
                <c:ptCount val="1"/>
                <c:pt idx="0">
                  <c:v>Mercados Diario e Intradiario </c:v>
                </c:pt>
              </c:strCache>
            </c:strRef>
          </c:tx>
          <c:spPr>
            <a:solidFill>
              <a:srgbClr val="00B0F0"/>
            </a:solidFill>
            <a:ln>
              <a:noFill/>
            </a:ln>
          </c:spPr>
          <c:invertIfNegative val="0"/>
          <c:val>
            <c:numRef>
              <c:f>Dat_01!$D$454:$D$466</c:f>
              <c:numCache>
                <c:formatCode>0.00</c:formatCode>
                <c:ptCount val="13"/>
                <c:pt idx="0">
                  <c:v>91.17</c:v>
                </c:pt>
                <c:pt idx="1">
                  <c:v>72.78</c:v>
                </c:pt>
                <c:pt idx="2">
                  <c:v>70.040000000000006</c:v>
                </c:pt>
                <c:pt idx="3">
                  <c:v>106.63</c:v>
                </c:pt>
                <c:pt idx="4">
                  <c:v>113.89</c:v>
                </c:pt>
                <c:pt idx="5">
                  <c:v>100.2</c:v>
                </c:pt>
                <c:pt idx="6">
                  <c:v>110.66000000000001</c:v>
                </c:pt>
                <c:pt idx="7">
                  <c:v>55.46</c:v>
                </c:pt>
                <c:pt idx="8">
                  <c:v>27.65</c:v>
                </c:pt>
                <c:pt idx="9">
                  <c:v>17.37</c:v>
                </c:pt>
                <c:pt idx="10">
                  <c:v>72.34</c:v>
                </c:pt>
                <c:pt idx="11">
                  <c:v>70.91</c:v>
                </c:pt>
                <c:pt idx="12">
                  <c:v>68.599999999999994</c:v>
                </c:pt>
              </c:numCache>
            </c:numRef>
          </c:val>
          <c:extLst>
            <c:ext xmlns:c15="http://schemas.microsoft.com/office/drawing/2012/chart" uri="{02D57815-91ED-43cb-92C2-25804820EDAC}">
              <c15:filteredCategoryTitle>
                <c15:cat>
                  <c:strRef>
                    <c:extLst>
                      <c:ext uri="{02D57815-91ED-43cb-92C2-25804820EDAC}">
                        <c15:formulaRef>
                          <c15:sqref>Dat_01!$J$454:$J$466</c15:sqref>
                        </c15:formulaRef>
                      </c:ext>
                    </c:extLst>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15:cat>
              </c15:filteredCategoryTitle>
            </c:ext>
            <c:ext xmlns:c16="http://schemas.microsoft.com/office/drawing/2014/chart" uri="{C3380CC4-5D6E-409C-BE32-E72D297353CC}">
              <c16:uniqueId val="{00000000-84BE-4212-B443-BEBAB3D3ACF8}"/>
            </c:ext>
          </c:extLst>
        </c:ser>
        <c:ser>
          <c:idx val="1"/>
          <c:order val="1"/>
          <c:tx>
            <c:strRef>
              <c:f>Dat_01!$E$452</c:f>
              <c:strCache>
                <c:ptCount val="1"/>
                <c:pt idx="0">
                  <c:v>Servicios de ajuste</c:v>
                </c:pt>
              </c:strCache>
            </c:strRef>
          </c:tx>
          <c:spPr>
            <a:solidFill>
              <a:srgbClr val="FFC000"/>
            </a:solidFill>
            <a:ln>
              <a:noFill/>
            </a:ln>
          </c:spPr>
          <c:invertIfNegative val="0"/>
          <c:val>
            <c:numRef>
              <c:f>Dat_01!$E$454:$E$466</c:f>
              <c:numCache>
                <c:formatCode>0.00</c:formatCode>
                <c:ptCount val="13"/>
                <c:pt idx="0">
                  <c:v>8.7100000000000009</c:v>
                </c:pt>
                <c:pt idx="1">
                  <c:v>10.820000000000002</c:v>
                </c:pt>
                <c:pt idx="2">
                  <c:v>14.280000000000001</c:v>
                </c:pt>
                <c:pt idx="3">
                  <c:v>11.990000000000002</c:v>
                </c:pt>
                <c:pt idx="4">
                  <c:v>10.53</c:v>
                </c:pt>
                <c:pt idx="5">
                  <c:v>10.889999999999999</c:v>
                </c:pt>
                <c:pt idx="6">
                  <c:v>15.880000000000003</c:v>
                </c:pt>
                <c:pt idx="7">
                  <c:v>15.400000000000002</c:v>
                </c:pt>
                <c:pt idx="8">
                  <c:v>17.102</c:v>
                </c:pt>
                <c:pt idx="9">
                  <c:v>25.259999999999994</c:v>
                </c:pt>
                <c:pt idx="10">
                  <c:v>14.790000000000006</c:v>
                </c:pt>
                <c:pt idx="11">
                  <c:v>14.996</c:v>
                </c:pt>
                <c:pt idx="12">
                  <c:v>13.6</c:v>
                </c:pt>
              </c:numCache>
            </c:numRef>
          </c:val>
          <c:extLst>
            <c:ext xmlns:c15="http://schemas.microsoft.com/office/drawing/2012/chart" uri="{02D57815-91ED-43cb-92C2-25804820EDAC}">
              <c15:filteredCategoryTitle>
                <c15:cat>
                  <c:strRef>
                    <c:extLst>
                      <c:ext uri="{02D57815-91ED-43cb-92C2-25804820EDAC}">
                        <c15:formulaRef>
                          <c15:sqref>Dat_01!$J$454:$J$466</c15:sqref>
                        </c15:formulaRef>
                      </c:ext>
                    </c:extLst>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15:cat>
              </c15:filteredCategoryTitle>
            </c:ext>
            <c:ext xmlns:c16="http://schemas.microsoft.com/office/drawing/2014/chart" uri="{C3380CC4-5D6E-409C-BE32-E72D297353CC}">
              <c16:uniqueId val="{00000001-84BE-4212-B443-BEBAB3D3ACF8}"/>
            </c:ext>
          </c:extLst>
        </c:ser>
        <c:ser>
          <c:idx val="2"/>
          <c:order val="2"/>
          <c:tx>
            <c:strRef>
              <c:f>Dat_01!$F$452</c:f>
              <c:strCache>
                <c:ptCount val="1"/>
                <c:pt idx="0">
                  <c:v>Pagos por capacidad</c:v>
                </c:pt>
              </c:strCache>
            </c:strRef>
          </c:tx>
          <c:spPr>
            <a:solidFill>
              <a:srgbClr val="92D050"/>
            </a:solidFill>
            <a:ln>
              <a:noFill/>
            </a:ln>
          </c:spPr>
          <c:invertIfNegative val="0"/>
          <c:val>
            <c:numRef>
              <c:f>Dat_01!$F$454:$F$466</c:f>
              <c:numCache>
                <c:formatCode>0.00</c:formatCode>
                <c:ptCount val="13"/>
                <c:pt idx="0">
                  <c:v>0.16</c:v>
                </c:pt>
                <c:pt idx="1">
                  <c:v>0.16</c:v>
                </c:pt>
                <c:pt idx="2">
                  <c:v>0.16</c:v>
                </c:pt>
                <c:pt idx="3">
                  <c:v>0.19</c:v>
                </c:pt>
                <c:pt idx="4">
                  <c:v>0.28000000000000003</c:v>
                </c:pt>
                <c:pt idx="5">
                  <c:v>0.27</c:v>
                </c:pt>
                <c:pt idx="6">
                  <c:v>0.27</c:v>
                </c:pt>
                <c:pt idx="7">
                  <c:v>0.18</c:v>
                </c:pt>
                <c:pt idx="8">
                  <c:v>0.14000000000000001</c:v>
                </c:pt>
                <c:pt idx="9">
                  <c:v>0.13</c:v>
                </c:pt>
                <c:pt idx="10">
                  <c:v>0.15</c:v>
                </c:pt>
                <c:pt idx="11">
                  <c:v>0.27</c:v>
                </c:pt>
                <c:pt idx="12">
                  <c:v>0.14000000000000001</c:v>
                </c:pt>
              </c:numCache>
            </c:numRef>
          </c:val>
          <c:extLst>
            <c:ext xmlns:c15="http://schemas.microsoft.com/office/drawing/2012/chart" uri="{02D57815-91ED-43cb-92C2-25804820EDAC}">
              <c15:filteredCategoryTitle>
                <c15:cat>
                  <c:strRef>
                    <c:extLst>
                      <c:ext uri="{02D57815-91ED-43cb-92C2-25804820EDAC}">
                        <c15:formulaRef>
                          <c15:sqref>Dat_01!$J$454:$J$466</c15:sqref>
                        </c15:formulaRef>
                      </c:ext>
                    </c:extLst>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15:cat>
              </c15:filteredCategoryTitle>
            </c:ext>
            <c:ext xmlns:c16="http://schemas.microsoft.com/office/drawing/2014/chart" uri="{C3380CC4-5D6E-409C-BE32-E72D297353CC}">
              <c16:uniqueId val="{00000002-84BE-4212-B443-BEBAB3D3ACF8}"/>
            </c:ext>
          </c:extLst>
        </c:ser>
        <c:ser>
          <c:idx val="4"/>
          <c:order val="3"/>
          <c:tx>
            <c:strRef>
              <c:f>Dat_01!$G$452</c:f>
              <c:strCache>
                <c:ptCount val="1"/>
                <c:pt idx="0">
                  <c:v>Mecanismo ajuste RD-L 10/2022</c:v>
                </c:pt>
              </c:strCache>
              <c:extLst xmlns:c15="http://schemas.microsoft.com/office/drawing/2012/chart"/>
            </c:strRef>
          </c:tx>
          <c:spPr>
            <a:solidFill>
              <a:srgbClr val="9999FF"/>
            </a:solidFill>
            <a:ln>
              <a:noFill/>
            </a:ln>
          </c:spPr>
          <c:invertIfNegative val="0"/>
          <c:val>
            <c:numRef>
              <c:f>Dat_01!$G$454:$G$466</c:f>
              <c:numCache>
                <c:formatCode>0.00</c:formatCode>
                <c:ptCount val="13"/>
                <c:pt idx="0">
                  <c:v>0</c:v>
                </c:pt>
                <c:pt idx="1">
                  <c:v>0</c:v>
                </c:pt>
                <c:pt idx="2">
                  <c:v>0</c:v>
                </c:pt>
                <c:pt idx="3">
                  <c:v>0</c:v>
                </c:pt>
                <c:pt idx="4">
                  <c:v>0</c:v>
                </c:pt>
                <c:pt idx="5">
                  <c:v>0</c:v>
                </c:pt>
                <c:pt idx="6">
                  <c:v>0</c:v>
                </c:pt>
                <c:pt idx="7">
                  <c:v>0</c:v>
                </c:pt>
                <c:pt idx="8">
                  <c:v>0</c:v>
                </c:pt>
                <c:pt idx="9">
                  <c:v>0</c:v>
                </c:pt>
                <c:pt idx="10">
                  <c:v>0</c:v>
                </c:pt>
              </c:numCache>
              <c:extLst xmlns:c15="http://schemas.microsoft.com/office/drawing/2012/chart"/>
            </c:numRef>
          </c:val>
          <c:extLst xmlns:c15="http://schemas.microsoft.com/office/drawing/2012/chart">
            <c:ext xmlns:c15="http://schemas.microsoft.com/office/drawing/2012/chart" uri="{02D57815-91ED-43cb-92C2-25804820EDAC}">
              <c15:filteredCategoryTitle>
                <c15:cat>
                  <c:strRef>
                    <c:extLst>
                      <c:ext uri="{02D57815-91ED-43cb-92C2-25804820EDAC}">
                        <c15:formulaRef>
                          <c15:sqref>Dat_01!$J$454:$J$466</c15:sqref>
                        </c15:formulaRef>
                      </c:ext>
                    </c:extLst>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15:cat>
              </c15:filteredCategoryTitle>
            </c:ext>
            <c:ext xmlns:c16="http://schemas.microsoft.com/office/drawing/2014/chart" uri="{C3380CC4-5D6E-409C-BE32-E72D297353CC}">
              <c16:uniqueId val="{00000003-84BE-4212-B443-BEBAB3D3ACF8}"/>
            </c:ext>
          </c:extLst>
        </c:ser>
        <c:dLbls>
          <c:showLegendKey val="0"/>
          <c:showVal val="0"/>
          <c:showCatName val="0"/>
          <c:showSerName val="0"/>
          <c:showPercent val="0"/>
          <c:showBubbleSize val="0"/>
        </c:dLbls>
        <c:gapWidth val="50"/>
        <c:overlap val="100"/>
        <c:axId val="403133952"/>
        <c:axId val="403134344"/>
        <c:extLst/>
      </c:barChart>
      <c:catAx>
        <c:axId val="403133952"/>
        <c:scaling>
          <c:orientation val="minMax"/>
        </c:scaling>
        <c:delete val="0"/>
        <c:axPos val="b"/>
        <c:numFmt formatCode="General" sourceLinked="1"/>
        <c:majorTickMark val="out"/>
        <c:minorTickMark val="none"/>
        <c:tickLblPos val="low"/>
        <c:spPr>
          <a:ln w="3175">
            <a:solidFill>
              <a:schemeClr val="bg1">
                <a:lumMod val="65000"/>
              </a:schemeClr>
            </a:solidFill>
          </a:ln>
        </c:spPr>
        <c:txPr>
          <a:bodyPr rot="0" vert="horz"/>
          <a:lstStyle/>
          <a:p>
            <a:pPr>
              <a:defRPr/>
            </a:pPr>
            <a:endParaRPr lang="es-ES"/>
          </a:p>
        </c:txPr>
        <c:crossAx val="403134344"/>
        <c:crosses val="autoZero"/>
        <c:auto val="1"/>
        <c:lblAlgn val="ctr"/>
        <c:lblOffset val="100"/>
        <c:noMultiLvlLbl val="0"/>
      </c:catAx>
      <c:valAx>
        <c:axId val="403134344"/>
        <c:scaling>
          <c:orientation val="minMax"/>
          <c:min val="-20"/>
        </c:scaling>
        <c:delete val="0"/>
        <c:axPos val="l"/>
        <c:majorGridlines>
          <c:spPr>
            <a:ln w="3175">
              <a:solidFill>
                <a:schemeClr val="bg1">
                  <a:lumMod val="75000"/>
                </a:schemeClr>
              </a:solidFill>
              <a:prstDash val="sysDot"/>
            </a:ln>
          </c:spPr>
        </c:majorGridlines>
        <c:numFmt formatCode="0" sourceLinked="0"/>
        <c:majorTickMark val="out"/>
        <c:minorTickMark val="none"/>
        <c:tickLblPos val="nextTo"/>
        <c:spPr>
          <a:ln>
            <a:noFill/>
          </a:ln>
        </c:spPr>
        <c:txPr>
          <a:bodyPr rot="0" vert="horz"/>
          <a:lstStyle/>
          <a:p>
            <a:pPr>
              <a:defRPr/>
            </a:pPr>
            <a:endParaRPr lang="es-ES"/>
          </a:p>
        </c:txPr>
        <c:crossAx val="403133952"/>
        <c:crosses val="autoZero"/>
        <c:crossBetween val="between"/>
        <c:minorUnit val="2"/>
      </c:valAx>
      <c:spPr>
        <a:noFill/>
        <a:ln w="25400">
          <a:noFill/>
        </a:ln>
      </c:spPr>
    </c:plotArea>
    <c:legend>
      <c:legendPos val="b"/>
      <c:layout>
        <c:manualLayout>
          <c:xMode val="edge"/>
          <c:yMode val="edge"/>
          <c:x val="0.11373867458450214"/>
          <c:y val="4.1666693738641951E-2"/>
          <c:w val="0.81427070604028751"/>
          <c:h val="6.2878401318005511E-2"/>
        </c:manualLayout>
      </c:layout>
      <c:overlay val="0"/>
    </c:legend>
    <c:plotVisOnly val="1"/>
    <c:dispBlanksAs val="gap"/>
    <c:showDLblsOverMax val="0"/>
  </c:chart>
  <c:spPr>
    <a:no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978568794603154"/>
          <c:y val="0.18243889337663954"/>
          <c:w val="0.47563523567818483"/>
          <c:h val="0.64574311408405372"/>
        </c:manualLayout>
      </c:layout>
      <c:doughnutChart>
        <c:varyColors val="1"/>
        <c:ser>
          <c:idx val="0"/>
          <c:order val="0"/>
          <c:spPr>
            <a:ln>
              <a:noFill/>
            </a:ln>
          </c:spPr>
          <c:explosion val="4"/>
          <c:dPt>
            <c:idx val="0"/>
            <c:bubble3D val="0"/>
            <c:explosion val="0"/>
            <c:spPr>
              <a:solidFill>
                <a:schemeClr val="accent1"/>
              </a:solidFill>
              <a:ln w="19050">
                <a:noFill/>
              </a:ln>
              <a:effectLst/>
            </c:spPr>
            <c:extLst>
              <c:ext xmlns:c16="http://schemas.microsoft.com/office/drawing/2014/chart" uri="{C3380CC4-5D6E-409C-BE32-E72D297353CC}">
                <c16:uniqueId val="{00000001-DA56-4F53-B839-2C55EC8A8294}"/>
              </c:ext>
            </c:extLst>
          </c:dPt>
          <c:dPt>
            <c:idx val="1"/>
            <c:bubble3D val="0"/>
            <c:explosion val="0"/>
            <c:spPr>
              <a:solidFill>
                <a:srgbClr val="C00000"/>
              </a:solidFill>
              <a:ln w="19050">
                <a:noFill/>
              </a:ln>
              <a:effectLst/>
            </c:spPr>
            <c:extLst>
              <c:ext xmlns:c16="http://schemas.microsoft.com/office/drawing/2014/chart" uri="{C3380CC4-5D6E-409C-BE32-E72D297353CC}">
                <c16:uniqueId val="{00000003-DA56-4F53-B839-2C55EC8A8294}"/>
              </c:ext>
            </c:extLst>
          </c:dPt>
          <c:dPt>
            <c:idx val="2"/>
            <c:bubble3D val="0"/>
            <c:explosion val="0"/>
            <c:spPr>
              <a:solidFill>
                <a:srgbClr val="9999FF"/>
              </a:solidFill>
              <a:ln w="19050">
                <a:noFill/>
              </a:ln>
              <a:effectLst/>
            </c:spPr>
            <c:extLst>
              <c:ext xmlns:c16="http://schemas.microsoft.com/office/drawing/2014/chart" uri="{C3380CC4-5D6E-409C-BE32-E72D297353CC}">
                <c16:uniqueId val="{00000005-DA56-4F53-B839-2C55EC8A8294}"/>
              </c:ext>
            </c:extLst>
          </c:dPt>
          <c:dPt>
            <c:idx val="3"/>
            <c:bubble3D val="0"/>
            <c:explosion val="0"/>
            <c:spPr>
              <a:solidFill>
                <a:srgbClr val="FFC000"/>
              </a:solidFill>
              <a:ln w="19050">
                <a:noFill/>
              </a:ln>
              <a:effectLst/>
            </c:spPr>
            <c:extLst>
              <c:ext xmlns:c16="http://schemas.microsoft.com/office/drawing/2014/chart" uri="{C3380CC4-5D6E-409C-BE32-E72D297353CC}">
                <c16:uniqueId val="{00000007-DA56-4F53-B839-2C55EC8A8294}"/>
              </c:ext>
            </c:extLst>
          </c:dPt>
          <c:dLbls>
            <c:dLbl>
              <c:idx val="0"/>
              <c:layout>
                <c:manualLayout>
                  <c:x val="-0.13991588649843967"/>
                  <c:y val="-0.22471036681833656"/>
                </c:manualLayout>
              </c:layout>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DA56-4F53-B839-2C55EC8A8294}"/>
                </c:ext>
              </c:extLst>
            </c:dLbl>
            <c:dLbl>
              <c:idx val="1"/>
              <c:layout>
                <c:manualLayout>
                  <c:x val="0.15837942009217351"/>
                  <c:y val="-7.8699240434451229E-2"/>
                </c:manualLayout>
              </c:layout>
              <c:numFmt formatCode="0.00%" sourceLinked="0"/>
              <c:spPr>
                <a:noFill/>
                <a:ln>
                  <a:noFill/>
                </a:ln>
                <a:effectLst/>
              </c:spPr>
              <c:txPr>
                <a:bodyPr rot="0" spcFirstLastPara="1" vertOverflow="ellipsis" vert="horz" wrap="square" lIns="38100" tIns="19050" rIns="38100" bIns="19050" anchor="ctr" anchorCtr="0">
                  <a:no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extLst>
                <c:ext xmlns:c15="http://schemas.microsoft.com/office/drawing/2012/chart" uri="{CE6537A1-D6FC-4f65-9D91-7224C49458BB}">
                  <c15:layout>
                    <c:manualLayout>
                      <c:w val="0.21317467699429629"/>
                      <c:h val="0.15533608606036584"/>
                    </c:manualLayout>
                  </c15:layout>
                </c:ext>
                <c:ext xmlns:c16="http://schemas.microsoft.com/office/drawing/2014/chart" uri="{C3380CC4-5D6E-409C-BE32-E72D297353CC}">
                  <c16:uniqueId val="{00000003-DA56-4F53-B839-2C55EC8A8294}"/>
                </c:ext>
              </c:extLst>
            </c:dLbl>
            <c:dLbl>
              <c:idx val="2"/>
              <c:delete val="1"/>
              <c:extLst>
                <c:ext xmlns:c15="http://schemas.microsoft.com/office/drawing/2012/chart" uri="{CE6537A1-D6FC-4f65-9D91-7224C49458BB}"/>
                <c:ext xmlns:c16="http://schemas.microsoft.com/office/drawing/2014/chart" uri="{C3380CC4-5D6E-409C-BE32-E72D297353CC}">
                  <c16:uniqueId val="{00000005-DA56-4F53-B839-2C55EC8A8294}"/>
                </c:ext>
              </c:extLst>
            </c:dLbl>
            <c:dLbl>
              <c:idx val="3"/>
              <c:layout>
                <c:manualLayout>
                  <c:x val="0.1674579170475381"/>
                  <c:y val="-1.3254259919196928E-2"/>
                </c:manualLayout>
              </c:layout>
              <c:numFmt formatCode="0.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DA56-4F53-B839-2C55EC8A8294}"/>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showLeaderLines val="0"/>
            <c:extLst>
              <c:ext xmlns:c15="http://schemas.microsoft.com/office/drawing/2012/chart" uri="{CE6537A1-D6FC-4f65-9D91-7224C49458BB}"/>
            </c:extLst>
          </c:dLbls>
          <c:cat>
            <c:strRef>
              <c:f>Dat_01!$D$93:$G$93</c:f>
              <c:strCache>
                <c:ptCount val="4"/>
                <c:pt idx="0">
                  <c:v>Mercado diario e intradiario</c:v>
                </c:pt>
                <c:pt idx="1">
                  <c:v>Pagos  por capacidad</c:v>
                </c:pt>
                <c:pt idx="2">
                  <c:v>Mecanismo ajuste RD-L 10/2022</c:v>
                </c:pt>
                <c:pt idx="3">
                  <c:v>Servicios de ajuste</c:v>
                </c:pt>
              </c:strCache>
            </c:strRef>
          </c:cat>
          <c:val>
            <c:numRef>
              <c:f>Dat_01!$D$94:$G$94</c:f>
              <c:numCache>
                <c:formatCode>0.00</c:formatCode>
                <c:ptCount val="4"/>
                <c:pt idx="0">
                  <c:v>68.599999999999994</c:v>
                </c:pt>
                <c:pt idx="1">
                  <c:v>0.14000000000000001</c:v>
                </c:pt>
                <c:pt idx="2">
                  <c:v>0</c:v>
                </c:pt>
                <c:pt idx="3">
                  <c:v>13.6</c:v>
                </c:pt>
              </c:numCache>
            </c:numRef>
          </c:val>
          <c:extLst>
            <c:ext xmlns:c16="http://schemas.microsoft.com/office/drawing/2014/chart" uri="{C3380CC4-5D6E-409C-BE32-E72D297353CC}">
              <c16:uniqueId val="{00000008-DA56-4F53-B839-2C55EC8A8294}"/>
            </c:ext>
          </c:extLst>
        </c:ser>
        <c:dLbls>
          <c:showLegendKey val="0"/>
          <c:showVal val="0"/>
          <c:showCatName val="0"/>
          <c:showSerName val="0"/>
          <c:showPercent val="0"/>
          <c:showBubbleSize val="0"/>
          <c:showLeaderLines val="0"/>
        </c:dLbls>
        <c:firstSliceAng val="124"/>
        <c:holeSize val="59"/>
      </c:doughnutChart>
      <c:spPr>
        <a:noFill/>
        <a:ln>
          <a:noFill/>
        </a:ln>
        <a:effectLst/>
      </c:spPr>
    </c:plotArea>
    <c:plotVisOnly val="1"/>
    <c:dispBlanksAs val="gap"/>
    <c:showDLblsOverMax val="0"/>
  </c:chart>
  <c:spPr>
    <a:solidFill>
      <a:srgbClr val="F5F5F5"/>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55371026226564E-2"/>
          <c:y val="0.22047244094488189"/>
          <c:w val="0.89127868066858906"/>
          <c:h val="0.64960629921259883"/>
        </c:manualLayout>
      </c:layout>
      <c:barChart>
        <c:barDir val="col"/>
        <c:grouping val="stacked"/>
        <c:varyColors val="0"/>
        <c:ser>
          <c:idx val="0"/>
          <c:order val="0"/>
          <c:tx>
            <c:strRef>
              <c:f>Dat_01!$A$82</c:f>
              <c:strCache>
                <c:ptCount val="1"/>
                <c:pt idx="0">
                  <c:v>Restricciones técnicas PDBF</c:v>
                </c:pt>
              </c:strCache>
            </c:strRef>
          </c:tx>
          <c:spPr>
            <a:solidFill>
              <a:srgbClr val="0070C0"/>
            </a:solidFill>
            <a:ln w="25400">
              <a:noFill/>
            </a:ln>
          </c:spPr>
          <c:invertIfNegative val="0"/>
          <c:cat>
            <c:strRef>
              <c:f>Dat_01!$B$81:$N$81</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Dat_01!$B$82:$N$82</c:f>
              <c:numCache>
                <c:formatCode>#,##0.00</c:formatCode>
                <c:ptCount val="13"/>
                <c:pt idx="0">
                  <c:v>3.4</c:v>
                </c:pt>
                <c:pt idx="1">
                  <c:v>4.46</c:v>
                </c:pt>
                <c:pt idx="2">
                  <c:v>4.8499999999999996</c:v>
                </c:pt>
                <c:pt idx="3">
                  <c:v>4.97</c:v>
                </c:pt>
                <c:pt idx="4">
                  <c:v>4.0999999999999996</c:v>
                </c:pt>
                <c:pt idx="5">
                  <c:v>4.21</c:v>
                </c:pt>
                <c:pt idx="6">
                  <c:v>4.08</c:v>
                </c:pt>
                <c:pt idx="7">
                  <c:v>6.62</c:v>
                </c:pt>
                <c:pt idx="8">
                  <c:v>11.07</c:v>
                </c:pt>
                <c:pt idx="9">
                  <c:v>21.45</c:v>
                </c:pt>
                <c:pt idx="10">
                  <c:v>9.7100000000000009</c:v>
                </c:pt>
                <c:pt idx="11">
                  <c:v>8.58</c:v>
                </c:pt>
                <c:pt idx="12">
                  <c:v>8.4600000000000009</c:v>
                </c:pt>
              </c:numCache>
            </c:numRef>
          </c:val>
          <c:extLst>
            <c:ext xmlns:c16="http://schemas.microsoft.com/office/drawing/2014/chart" uri="{C3380CC4-5D6E-409C-BE32-E72D297353CC}">
              <c16:uniqueId val="{00000000-0217-4434-B940-F43E72455419}"/>
            </c:ext>
          </c:extLst>
        </c:ser>
        <c:ser>
          <c:idx val="6"/>
          <c:order val="1"/>
          <c:tx>
            <c:strRef>
              <c:f>Dat_01!$A$83</c:f>
              <c:strCache>
                <c:ptCount val="1"/>
                <c:pt idx="0">
                  <c:v>Restricciones técnicas en tiempo real</c:v>
                </c:pt>
              </c:strCache>
            </c:strRef>
          </c:tx>
          <c:spPr>
            <a:solidFill>
              <a:srgbClr val="CC6600"/>
            </a:solidFill>
          </c:spPr>
          <c:invertIfNegative val="0"/>
          <c:cat>
            <c:strRef>
              <c:f>Dat_01!$B$81:$N$81</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Dat_01!$B$83:$N$83</c:f>
              <c:numCache>
                <c:formatCode>#,##0.00</c:formatCode>
                <c:ptCount val="13"/>
                <c:pt idx="0">
                  <c:v>3.17</c:v>
                </c:pt>
                <c:pt idx="1">
                  <c:v>3.61</c:v>
                </c:pt>
                <c:pt idx="2">
                  <c:v>5.5</c:v>
                </c:pt>
                <c:pt idx="3">
                  <c:v>4.03</c:v>
                </c:pt>
                <c:pt idx="4">
                  <c:v>3.59</c:v>
                </c:pt>
                <c:pt idx="5">
                  <c:v>3.57</c:v>
                </c:pt>
                <c:pt idx="6">
                  <c:v>7.11</c:v>
                </c:pt>
                <c:pt idx="7">
                  <c:v>5.86</c:v>
                </c:pt>
                <c:pt idx="8">
                  <c:v>4.26</c:v>
                </c:pt>
                <c:pt idx="9">
                  <c:v>2.86</c:v>
                </c:pt>
                <c:pt idx="10">
                  <c:v>4.58</c:v>
                </c:pt>
                <c:pt idx="11">
                  <c:v>4.93</c:v>
                </c:pt>
                <c:pt idx="12">
                  <c:v>3.16</c:v>
                </c:pt>
              </c:numCache>
            </c:numRef>
          </c:val>
          <c:extLst>
            <c:ext xmlns:c16="http://schemas.microsoft.com/office/drawing/2014/chart" uri="{C3380CC4-5D6E-409C-BE32-E72D297353CC}">
              <c16:uniqueId val="{00000001-0217-4434-B940-F43E72455419}"/>
            </c:ext>
          </c:extLst>
        </c:ser>
        <c:ser>
          <c:idx val="2"/>
          <c:order val="2"/>
          <c:tx>
            <c:strRef>
              <c:f>Dat_01!$A$84</c:f>
              <c:strCache>
                <c:ptCount val="1"/>
                <c:pt idx="0">
                  <c:v>Banda de regulación secundaria y RAD</c:v>
                </c:pt>
              </c:strCache>
            </c:strRef>
          </c:tx>
          <c:spPr>
            <a:solidFill>
              <a:srgbClr val="92D050"/>
            </a:solidFill>
            <a:ln w="25400">
              <a:noFill/>
            </a:ln>
          </c:spPr>
          <c:invertIfNegative val="0"/>
          <c:cat>
            <c:strRef>
              <c:f>Dat_01!$B$81:$N$81</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Dat_01!$B$84:$N$84</c:f>
              <c:numCache>
                <c:formatCode>#,##0.00</c:formatCode>
                <c:ptCount val="13"/>
                <c:pt idx="0">
                  <c:v>2.17</c:v>
                </c:pt>
                <c:pt idx="1">
                  <c:v>2.6799999999999997</c:v>
                </c:pt>
                <c:pt idx="2">
                  <c:v>3.6799999999999993</c:v>
                </c:pt>
                <c:pt idx="3">
                  <c:v>3.79</c:v>
                </c:pt>
                <c:pt idx="4">
                  <c:v>4.16</c:v>
                </c:pt>
                <c:pt idx="5">
                  <c:v>4.3</c:v>
                </c:pt>
                <c:pt idx="6">
                  <c:v>4.6400000000000006</c:v>
                </c:pt>
                <c:pt idx="7">
                  <c:v>3.6139999999999999</c:v>
                </c:pt>
                <c:pt idx="8">
                  <c:v>2.8119999999999998</c:v>
                </c:pt>
                <c:pt idx="9">
                  <c:v>2.4700000000000002</c:v>
                </c:pt>
                <c:pt idx="10">
                  <c:v>2.34</c:v>
                </c:pt>
                <c:pt idx="11">
                  <c:v>2.9430000000000001</c:v>
                </c:pt>
                <c:pt idx="12">
                  <c:v>3.1999999999999997</c:v>
                </c:pt>
              </c:numCache>
            </c:numRef>
          </c:val>
          <c:extLst>
            <c:ext xmlns:c16="http://schemas.microsoft.com/office/drawing/2014/chart" uri="{C3380CC4-5D6E-409C-BE32-E72D297353CC}">
              <c16:uniqueId val="{00000002-0217-4434-B940-F43E72455419}"/>
            </c:ext>
          </c:extLst>
        </c:ser>
        <c:ser>
          <c:idx val="1"/>
          <c:order val="3"/>
          <c:tx>
            <c:strRef>
              <c:f>Dat_01!$A$85</c:f>
              <c:strCache>
                <c:ptCount val="1"/>
                <c:pt idx="0">
                  <c:v>Incumplimiento energía balance</c:v>
                </c:pt>
              </c:strCache>
            </c:strRef>
          </c:tx>
          <c:spPr>
            <a:solidFill>
              <a:srgbClr val="FFFF99"/>
            </a:solidFill>
            <a:ln w="25400">
              <a:noFill/>
            </a:ln>
          </c:spPr>
          <c:invertIfNegative val="0"/>
          <c:cat>
            <c:strRef>
              <c:f>Dat_01!$B$81:$N$81</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Dat_01!$B$85:$N$85</c:f>
              <c:numCache>
                <c:formatCode>#,##0.00</c:formatCode>
                <c:ptCount val="13"/>
                <c:pt idx="0">
                  <c:v>-0.08</c:v>
                </c:pt>
                <c:pt idx="1">
                  <c:v>-0.1</c:v>
                </c:pt>
                <c:pt idx="2">
                  <c:v>-0.12</c:v>
                </c:pt>
                <c:pt idx="3">
                  <c:v>-0.52</c:v>
                </c:pt>
                <c:pt idx="4">
                  <c:v>-0.99</c:v>
                </c:pt>
                <c:pt idx="5">
                  <c:v>-0.73</c:v>
                </c:pt>
                <c:pt idx="6">
                  <c:v>-0.81</c:v>
                </c:pt>
                <c:pt idx="7">
                  <c:v>-0.6</c:v>
                </c:pt>
                <c:pt idx="8">
                  <c:v>-0.41</c:v>
                </c:pt>
                <c:pt idx="9">
                  <c:v>-0.19</c:v>
                </c:pt>
                <c:pt idx="10">
                  <c:v>-0.49</c:v>
                </c:pt>
                <c:pt idx="11">
                  <c:v>-0.4</c:v>
                </c:pt>
                <c:pt idx="12">
                  <c:v>-0.41</c:v>
                </c:pt>
              </c:numCache>
            </c:numRef>
          </c:val>
          <c:extLst>
            <c:ext xmlns:c16="http://schemas.microsoft.com/office/drawing/2014/chart" uri="{C3380CC4-5D6E-409C-BE32-E72D297353CC}">
              <c16:uniqueId val="{00000003-0217-4434-B940-F43E72455419}"/>
            </c:ext>
          </c:extLst>
        </c:ser>
        <c:ser>
          <c:idx val="3"/>
          <c:order val="4"/>
          <c:tx>
            <c:strRef>
              <c:f>Dat_01!$A$86</c:f>
              <c:strCache>
                <c:ptCount val="1"/>
                <c:pt idx="0">
                  <c:v>Coste desvíos</c:v>
                </c:pt>
              </c:strCache>
            </c:strRef>
          </c:tx>
          <c:spPr>
            <a:solidFill>
              <a:srgbClr val="7030A0"/>
            </a:solidFill>
            <a:ln w="25400">
              <a:noFill/>
            </a:ln>
          </c:spPr>
          <c:invertIfNegative val="0"/>
          <c:cat>
            <c:strRef>
              <c:f>Dat_01!$B$81:$N$81</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Dat_01!$B$86:$N$86</c:f>
              <c:numCache>
                <c:formatCode>#,##0.00</c:formatCode>
                <c:ptCount val="13"/>
                <c:pt idx="0">
                  <c:v>0.42</c:v>
                </c:pt>
                <c:pt idx="1">
                  <c:v>0.4</c:v>
                </c:pt>
                <c:pt idx="2">
                  <c:v>0.42</c:v>
                </c:pt>
                <c:pt idx="3">
                  <c:v>0.3</c:v>
                </c:pt>
                <c:pt idx="4">
                  <c:v>0.35</c:v>
                </c:pt>
                <c:pt idx="5">
                  <c:v>0.59</c:v>
                </c:pt>
                <c:pt idx="6">
                  <c:v>0.51</c:v>
                </c:pt>
                <c:pt idx="7">
                  <c:v>0.5</c:v>
                </c:pt>
                <c:pt idx="8">
                  <c:v>0.53</c:v>
                </c:pt>
                <c:pt idx="9">
                  <c:v>0.28999999999999998</c:v>
                </c:pt>
                <c:pt idx="10">
                  <c:v>0.39</c:v>
                </c:pt>
                <c:pt idx="11">
                  <c:v>0.51300000000000001</c:v>
                </c:pt>
                <c:pt idx="12">
                  <c:v>0.23</c:v>
                </c:pt>
              </c:numCache>
            </c:numRef>
          </c:val>
          <c:extLst>
            <c:ext xmlns:c16="http://schemas.microsoft.com/office/drawing/2014/chart" uri="{C3380CC4-5D6E-409C-BE32-E72D297353CC}">
              <c16:uniqueId val="{00000004-0217-4434-B940-F43E72455419}"/>
            </c:ext>
          </c:extLst>
        </c:ser>
        <c:ser>
          <c:idx val="5"/>
          <c:order val="5"/>
          <c:tx>
            <c:strRef>
              <c:f>Dat_01!$A$87</c:f>
              <c:strCache>
                <c:ptCount val="1"/>
                <c:pt idx="0">
                  <c:v>Saldo desvíos</c:v>
                </c:pt>
              </c:strCache>
            </c:strRef>
          </c:tx>
          <c:spPr>
            <a:solidFill>
              <a:srgbClr val="99CCFF"/>
            </a:solidFill>
            <a:ln w="25400">
              <a:noFill/>
            </a:ln>
          </c:spPr>
          <c:invertIfNegative val="0"/>
          <c:cat>
            <c:strRef>
              <c:f>Dat_01!$B$81:$N$81</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Dat_01!$B$87:$N$87</c:f>
              <c:numCache>
                <c:formatCode>#,##0.00</c:formatCode>
                <c:ptCount val="13"/>
                <c:pt idx="0">
                  <c:v>0.23</c:v>
                </c:pt>
                <c:pt idx="1">
                  <c:v>0.47</c:v>
                </c:pt>
                <c:pt idx="2">
                  <c:v>0.66</c:v>
                </c:pt>
                <c:pt idx="3">
                  <c:v>0.08</c:v>
                </c:pt>
                <c:pt idx="4">
                  <c:v>-0.08</c:v>
                </c:pt>
                <c:pt idx="5">
                  <c:v>0.1</c:v>
                </c:pt>
                <c:pt idx="6">
                  <c:v>1.55</c:v>
                </c:pt>
                <c:pt idx="7">
                  <c:v>0.59</c:v>
                </c:pt>
                <c:pt idx="8">
                  <c:v>0.1</c:v>
                </c:pt>
                <c:pt idx="9">
                  <c:v>-0.27</c:v>
                </c:pt>
                <c:pt idx="10">
                  <c:v>-0.6</c:v>
                </c:pt>
                <c:pt idx="11">
                  <c:v>-0.39</c:v>
                </c:pt>
                <c:pt idx="12">
                  <c:v>0.08</c:v>
                </c:pt>
              </c:numCache>
            </c:numRef>
          </c:val>
          <c:extLst>
            <c:ext xmlns:c16="http://schemas.microsoft.com/office/drawing/2014/chart" uri="{C3380CC4-5D6E-409C-BE32-E72D297353CC}">
              <c16:uniqueId val="{00000005-0217-4434-B940-F43E72455419}"/>
            </c:ext>
          </c:extLst>
        </c:ser>
        <c:ser>
          <c:idx val="7"/>
          <c:order val="6"/>
          <c:tx>
            <c:strRef>
              <c:f>Dat_01!$A$88</c:f>
              <c:strCache>
                <c:ptCount val="1"/>
                <c:pt idx="0">
                  <c:v>Control del factor de potencia</c:v>
                </c:pt>
              </c:strCache>
            </c:strRef>
          </c:tx>
          <c:spPr>
            <a:solidFill>
              <a:srgbClr val="D39695"/>
            </a:solidFill>
            <a:ln>
              <a:noFill/>
            </a:ln>
          </c:spPr>
          <c:invertIfNegative val="0"/>
          <c:cat>
            <c:strRef>
              <c:f>Dat_01!$B$81:$N$81</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Dat_01!$B$88:$N$88</c:f>
              <c:numCache>
                <c:formatCode>#,##0.00</c:formatCode>
                <c:ptCount val="13"/>
                <c:pt idx="0">
                  <c:v>-0.1</c:v>
                </c:pt>
                <c:pt idx="1">
                  <c:v>-0.12</c:v>
                </c:pt>
                <c:pt idx="2">
                  <c:v>-0.11</c:v>
                </c:pt>
                <c:pt idx="3">
                  <c:v>-0.12</c:v>
                </c:pt>
                <c:pt idx="4">
                  <c:v>-0.11</c:v>
                </c:pt>
                <c:pt idx="5">
                  <c:v>-0.12</c:v>
                </c:pt>
                <c:pt idx="6">
                  <c:v>-0.09</c:v>
                </c:pt>
                <c:pt idx="7">
                  <c:v>-0.1</c:v>
                </c:pt>
                <c:pt idx="8">
                  <c:v>-0.11</c:v>
                </c:pt>
                <c:pt idx="9">
                  <c:v>-0.11</c:v>
                </c:pt>
                <c:pt idx="10">
                  <c:v>-0.09</c:v>
                </c:pt>
                <c:pt idx="11">
                  <c:v>-0.1</c:v>
                </c:pt>
                <c:pt idx="12">
                  <c:v>-0.09</c:v>
                </c:pt>
              </c:numCache>
            </c:numRef>
          </c:val>
          <c:extLst>
            <c:ext xmlns:c16="http://schemas.microsoft.com/office/drawing/2014/chart" uri="{C3380CC4-5D6E-409C-BE32-E72D297353CC}">
              <c16:uniqueId val="{00000006-0217-4434-B940-F43E72455419}"/>
            </c:ext>
          </c:extLst>
        </c:ser>
        <c:ser>
          <c:idx val="8"/>
          <c:order val="7"/>
          <c:tx>
            <c:strRef>
              <c:f>Dat_01!$A$89</c:f>
              <c:strCache>
                <c:ptCount val="1"/>
                <c:pt idx="0">
                  <c:v>Servicio RAD e ingreso control de tensión</c:v>
                </c:pt>
              </c:strCache>
            </c:strRef>
          </c:tx>
          <c:spPr>
            <a:solidFill>
              <a:srgbClr val="FF99CC"/>
            </a:solidFill>
          </c:spPr>
          <c:invertIfNegative val="0"/>
          <c:val>
            <c:numRef>
              <c:f>Dat_01!$B$89:$N$89</c:f>
              <c:numCache>
                <c:formatCode>#,##0.00</c:formatCode>
                <c:ptCount val="13"/>
                <c:pt idx="0">
                  <c:v>-0.53999999999999992</c:v>
                </c:pt>
                <c:pt idx="1">
                  <c:v>-0.62</c:v>
                </c:pt>
                <c:pt idx="2">
                  <c:v>-0.66</c:v>
                </c:pt>
                <c:pt idx="3">
                  <c:v>-0.6</c:v>
                </c:pt>
                <c:pt idx="4">
                  <c:v>-0.51</c:v>
                </c:pt>
                <c:pt idx="5">
                  <c:v>-1.08</c:v>
                </c:pt>
                <c:pt idx="6">
                  <c:v>-1.1599999999999999</c:v>
                </c:pt>
                <c:pt idx="7">
                  <c:v>-1.1339999999999999</c:v>
                </c:pt>
                <c:pt idx="8">
                  <c:v>-1.19</c:v>
                </c:pt>
                <c:pt idx="9">
                  <c:v>-1.28</c:v>
                </c:pt>
                <c:pt idx="10">
                  <c:v>-1.0999999999999999</c:v>
                </c:pt>
                <c:pt idx="11">
                  <c:v>-1.1099999999999999</c:v>
                </c:pt>
                <c:pt idx="12">
                  <c:v>-1.06</c:v>
                </c:pt>
              </c:numCache>
            </c:numRef>
          </c:val>
          <c:extLst>
            <c:ext xmlns:c16="http://schemas.microsoft.com/office/drawing/2014/chart" uri="{C3380CC4-5D6E-409C-BE32-E72D297353CC}">
              <c16:uniqueId val="{00000000-8A38-49BA-9780-24CD76831033}"/>
            </c:ext>
          </c:extLst>
        </c:ser>
        <c:ser>
          <c:idx val="4"/>
          <c:order val="8"/>
          <c:tx>
            <c:strRef>
              <c:f>Dat_01!$A$90</c:f>
              <c:strCache>
                <c:ptCount val="1"/>
                <c:pt idx="0">
                  <c:v>Saldo PO 14.6</c:v>
                </c:pt>
              </c:strCache>
            </c:strRef>
          </c:tx>
          <c:invertIfNegative val="0"/>
          <c:cat>
            <c:strRef>
              <c:f>Dat_01!$B$81:$N$81</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Dat_01!$B$90:$N$90</c:f>
              <c:numCache>
                <c:formatCode>0.00</c:formatCode>
                <c:ptCount val="13"/>
                <c:pt idx="0">
                  <c:v>0.04</c:v>
                </c:pt>
                <c:pt idx="1">
                  <c:v>0.04</c:v>
                </c:pt>
                <c:pt idx="2">
                  <c:v>0.06</c:v>
                </c:pt>
                <c:pt idx="3">
                  <c:v>0.06</c:v>
                </c:pt>
                <c:pt idx="4">
                  <c:v>0.02</c:v>
                </c:pt>
                <c:pt idx="5">
                  <c:v>0.05</c:v>
                </c:pt>
                <c:pt idx="6">
                  <c:v>0.05</c:v>
                </c:pt>
                <c:pt idx="7">
                  <c:v>0.05</c:v>
                </c:pt>
                <c:pt idx="8">
                  <c:v>0.04</c:v>
                </c:pt>
                <c:pt idx="9">
                  <c:v>0.04</c:v>
                </c:pt>
                <c:pt idx="10">
                  <c:v>0.05</c:v>
                </c:pt>
                <c:pt idx="11">
                  <c:v>0.03</c:v>
                </c:pt>
                <c:pt idx="12">
                  <c:v>0.03</c:v>
                </c:pt>
              </c:numCache>
            </c:numRef>
          </c:val>
          <c:extLst>
            <c:ext xmlns:c16="http://schemas.microsoft.com/office/drawing/2014/chart" uri="{C3380CC4-5D6E-409C-BE32-E72D297353CC}">
              <c16:uniqueId val="{00000001-F091-40D9-83C6-6A44B088ED6F}"/>
            </c:ext>
          </c:extLst>
        </c:ser>
        <c:dLbls>
          <c:showLegendKey val="0"/>
          <c:showVal val="0"/>
          <c:showCatName val="0"/>
          <c:showSerName val="0"/>
          <c:showPercent val="0"/>
          <c:showBubbleSize val="0"/>
        </c:dLbls>
        <c:gapWidth val="150"/>
        <c:overlap val="100"/>
        <c:axId val="403135520"/>
        <c:axId val="403135912"/>
      </c:barChart>
      <c:catAx>
        <c:axId val="403135520"/>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5912"/>
        <c:crosses val="autoZero"/>
        <c:auto val="1"/>
        <c:lblAlgn val="ctr"/>
        <c:lblOffset val="100"/>
        <c:tickLblSkip val="1"/>
        <c:tickMarkSkip val="1"/>
        <c:noMultiLvlLbl val="0"/>
      </c:catAx>
      <c:valAx>
        <c:axId val="403135912"/>
        <c:scaling>
          <c:orientation val="minMax"/>
          <c:min val="-4"/>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5520"/>
        <c:crosses val="autoZero"/>
        <c:crossBetween val="between"/>
        <c:majorUnit val="2"/>
        <c:minorUnit val="2.8000000000000001E-2"/>
      </c:valAx>
      <c:spPr>
        <a:noFill/>
        <a:ln w="25400">
          <a:noFill/>
        </a:ln>
      </c:spPr>
    </c:plotArea>
    <c:legend>
      <c:legendPos val="t"/>
      <c:layout>
        <c:manualLayout>
          <c:xMode val="edge"/>
          <c:yMode val="edge"/>
          <c:x val="9.5509470649946776E-2"/>
          <c:y val="2.2163120567375887E-2"/>
          <c:w val="0.85940101370728716"/>
          <c:h val="0.16043935332551515"/>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555123172815E-2"/>
          <c:y val="0.21625836593434669"/>
          <c:w val="0.89127868066858906"/>
          <c:h val="0.64960629921259883"/>
        </c:manualLayout>
      </c:layout>
      <c:barChart>
        <c:barDir val="col"/>
        <c:grouping val="clustered"/>
        <c:varyColors val="0"/>
        <c:ser>
          <c:idx val="6"/>
          <c:order val="0"/>
          <c:tx>
            <c:strRef>
              <c:f>Dat_01!$C$119</c:f>
              <c:strCache>
                <c:ptCount val="1"/>
                <c:pt idx="0">
                  <c:v>2025 Agosto</c:v>
                </c:pt>
              </c:strCache>
            </c:strRef>
          </c:tx>
          <c:spPr>
            <a:solidFill>
              <a:srgbClr val="C00000"/>
            </a:solidFill>
          </c:spPr>
          <c:invertIfNegative val="0"/>
          <c:val>
            <c:numRef>
              <c:f>Dat_01!$C$121:$C$126</c:f>
              <c:numCache>
                <c:formatCode>#,##0</c:formatCode>
                <c:ptCount val="6"/>
                <c:pt idx="0">
                  <c:v>2436.9612999999999</c:v>
                </c:pt>
                <c:pt idx="1">
                  <c:v>548.06952799999999</c:v>
                </c:pt>
                <c:pt idx="2">
                  <c:v>142.87462500000001</c:v>
                </c:pt>
                <c:pt idx="3">
                  <c:v>503.98356799999999</c:v>
                </c:pt>
                <c:pt idx="4">
                  <c:v>398.01774999999998</c:v>
                </c:pt>
                <c:pt idx="5">
                  <c:v>61.406220000000005</c:v>
                </c:pt>
              </c:numCache>
            </c:numRef>
          </c:val>
          <c:extLst>
            <c:ext xmlns:c15="http://schemas.microsoft.com/office/drawing/2012/chart" uri="{02D57815-91ED-43cb-92C2-25804820EDAC}">
              <c15:filteredCategoryTitle>
                <c15:cat>
                  <c:strRef>
                    <c:extLst>
                      <c:ext uri="{02D57815-91ED-43cb-92C2-25804820EDAC}">
                        <c15:formulaRef>
                          <c15:sqref>Dat_01!$D$121:$D$126</c15:sqref>
                        </c15:formulaRef>
                      </c:ext>
                    </c:extLst>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15:cat>
              </c15:filteredCategoryTitle>
            </c:ext>
            <c:ext xmlns:c16="http://schemas.microsoft.com/office/drawing/2014/chart" uri="{C3380CC4-5D6E-409C-BE32-E72D297353CC}">
              <c16:uniqueId val="{00000000-E8EA-4B0B-A5ED-FE7311A08AD7}"/>
            </c:ext>
          </c:extLst>
        </c:ser>
        <c:ser>
          <c:idx val="0"/>
          <c:order val="1"/>
          <c:tx>
            <c:strRef>
              <c:f>Dat_01!$B$119</c:f>
              <c:strCache>
                <c:ptCount val="1"/>
                <c:pt idx="0">
                  <c:v>2024 Agosto</c:v>
                </c:pt>
              </c:strCache>
            </c:strRef>
          </c:tx>
          <c:spPr>
            <a:solidFill>
              <a:srgbClr val="0070C0"/>
            </a:solidFill>
            <a:ln w="25400">
              <a:noFill/>
            </a:ln>
          </c:spPr>
          <c:invertIfNegative val="0"/>
          <c:val>
            <c:numRef>
              <c:f>Dat_01!$B$121:$B$126</c:f>
              <c:numCache>
                <c:formatCode>#,##0</c:formatCode>
                <c:ptCount val="6"/>
                <c:pt idx="0">
                  <c:v>997.79470000000003</c:v>
                </c:pt>
                <c:pt idx="1">
                  <c:v>577.92514000000006</c:v>
                </c:pt>
                <c:pt idx="2">
                  <c:v>354.59065299999997</c:v>
                </c:pt>
                <c:pt idx="3">
                  <c:v>379.55103400000002</c:v>
                </c:pt>
                <c:pt idx="4">
                  <c:v>289.79874999999998</c:v>
                </c:pt>
                <c:pt idx="5">
                  <c:v>73.617947999999998</c:v>
                </c:pt>
              </c:numCache>
            </c:numRef>
          </c:val>
          <c:extLst>
            <c:ext xmlns:c15="http://schemas.microsoft.com/office/drawing/2012/chart" uri="{02D57815-91ED-43cb-92C2-25804820EDAC}">
              <c15:filteredCategoryTitle>
                <c15:cat>
                  <c:strRef>
                    <c:extLst>
                      <c:ext uri="{02D57815-91ED-43cb-92C2-25804820EDAC}">
                        <c15:formulaRef>
                          <c15:sqref>Dat_01!$D$121:$D$126</c15:sqref>
                        </c15:formulaRef>
                      </c:ext>
                    </c:extLst>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15:cat>
              </c15:filteredCategoryTitle>
            </c:ext>
            <c:ext xmlns:c16="http://schemas.microsoft.com/office/drawing/2014/chart" uri="{C3380CC4-5D6E-409C-BE32-E72D297353CC}">
              <c16:uniqueId val="{00000001-E8EA-4B0B-A5ED-FE7311A08AD7}"/>
            </c:ext>
          </c:extLst>
        </c:ser>
        <c:dLbls>
          <c:showLegendKey val="0"/>
          <c:showVal val="0"/>
          <c:showCatName val="0"/>
          <c:showSerName val="0"/>
          <c:showPercent val="0"/>
          <c:showBubbleSize val="0"/>
        </c:dLbls>
        <c:gapWidth val="150"/>
        <c:axId val="403136696"/>
        <c:axId val="403137088"/>
      </c:barChart>
      <c:catAx>
        <c:axId val="403136696"/>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7088"/>
        <c:crosses val="autoZero"/>
        <c:auto val="1"/>
        <c:lblAlgn val="ctr"/>
        <c:lblOffset val="100"/>
        <c:noMultiLvlLbl val="0"/>
      </c:catAx>
      <c:valAx>
        <c:axId val="403137088"/>
        <c:scaling>
          <c:orientation val="minMax"/>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6696"/>
        <c:crosses val="autoZero"/>
        <c:crossBetween val="between"/>
      </c:valAx>
      <c:spPr>
        <a:noFill/>
        <a:ln w="25400">
          <a:noFill/>
        </a:ln>
      </c:spPr>
    </c:plotArea>
    <c:legend>
      <c:legendPos val="b"/>
      <c:layout>
        <c:manualLayout>
          <c:xMode val="edge"/>
          <c:yMode val="edge"/>
          <c:x val="0.30721512037715931"/>
          <c:y val="4.4451402505586414E-2"/>
          <c:w val="0.37876728971631585"/>
          <c:h val="6.1396156125645585E-2"/>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021105344387E-2"/>
          <c:y val="0.14692676063694354"/>
          <c:w val="0.90234727490582289"/>
          <c:h val="0.69719731509625127"/>
        </c:manualLayout>
      </c:layout>
      <c:barChart>
        <c:barDir val="col"/>
        <c:grouping val="stacked"/>
        <c:varyColors val="0"/>
        <c:ser>
          <c:idx val="6"/>
          <c:order val="0"/>
          <c:tx>
            <c:strRef>
              <c:f>Dat_01!$B$137</c:f>
              <c:strCache>
                <c:ptCount val="1"/>
                <c:pt idx="0">
                  <c:v>Carbón</c:v>
                </c:pt>
              </c:strCache>
            </c:strRef>
          </c:tx>
          <c:spPr>
            <a:solidFill>
              <a:srgbClr val="70303C"/>
            </a:solidFill>
            <a:ln>
              <a:noFill/>
            </a:ln>
          </c:spPr>
          <c:invertIfNegative val="0"/>
          <c:cat>
            <c:strRef>
              <c:f>Dat_01!$C$130:$O$130</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Dat_01!$C$137:$O$137</c:f>
              <c:numCache>
                <c:formatCode>#,##0_);\(#,##0\)</c:formatCode>
                <c:ptCount val="13"/>
                <c:pt idx="0">
                  <c:v>161811</c:v>
                </c:pt>
                <c:pt idx="1">
                  <c:v>252325.6</c:v>
                </c:pt>
                <c:pt idx="2">
                  <c:v>216291.20000000001</c:v>
                </c:pt>
                <c:pt idx="3">
                  <c:v>128228.3</c:v>
                </c:pt>
                <c:pt idx="4">
                  <c:v>113359.5</c:v>
                </c:pt>
                <c:pt idx="5">
                  <c:v>136200</c:v>
                </c:pt>
                <c:pt idx="6">
                  <c:v>176818</c:v>
                </c:pt>
                <c:pt idx="7">
                  <c:v>161347</c:v>
                </c:pt>
                <c:pt idx="8">
                  <c:v>128080</c:v>
                </c:pt>
                <c:pt idx="9">
                  <c:v>122215</c:v>
                </c:pt>
                <c:pt idx="10">
                  <c:v>110098</c:v>
                </c:pt>
                <c:pt idx="11">
                  <c:v>71343</c:v>
                </c:pt>
                <c:pt idx="12">
                  <c:v>0</c:v>
                </c:pt>
              </c:numCache>
            </c:numRef>
          </c:val>
          <c:extLst>
            <c:ext xmlns:c16="http://schemas.microsoft.com/office/drawing/2014/chart" uri="{C3380CC4-5D6E-409C-BE32-E72D297353CC}">
              <c16:uniqueId val="{00000000-1378-47D2-8FF6-0E8BEBA67686}"/>
            </c:ext>
          </c:extLst>
        </c:ser>
        <c:ser>
          <c:idx val="3"/>
          <c:order val="1"/>
          <c:tx>
            <c:strRef>
              <c:f>Dat_01!$B$139</c:f>
              <c:strCache>
                <c:ptCount val="1"/>
                <c:pt idx="0">
                  <c:v>Ciclo Combinado</c:v>
                </c:pt>
              </c:strCache>
            </c:strRef>
          </c:tx>
          <c:spPr>
            <a:solidFill>
              <a:srgbClr val="FFCC66"/>
            </a:solidFill>
            <a:ln>
              <a:noFill/>
            </a:ln>
          </c:spPr>
          <c:invertIfNegative val="0"/>
          <c:cat>
            <c:strRef>
              <c:f>Dat_01!$C$130:$O$130</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Dat_01!$C$139:$O$139</c:f>
              <c:numCache>
                <c:formatCode>#,##0_);\(#,##0\)</c:formatCode>
                <c:ptCount val="13"/>
                <c:pt idx="0">
                  <c:v>699616.5</c:v>
                </c:pt>
                <c:pt idx="1">
                  <c:v>690114.2</c:v>
                </c:pt>
                <c:pt idx="2">
                  <c:v>768114.9</c:v>
                </c:pt>
                <c:pt idx="3">
                  <c:v>887929.3</c:v>
                </c:pt>
                <c:pt idx="4">
                  <c:v>742981.5</c:v>
                </c:pt>
                <c:pt idx="5">
                  <c:v>683064</c:v>
                </c:pt>
                <c:pt idx="6">
                  <c:v>653295.19999999995</c:v>
                </c:pt>
                <c:pt idx="7">
                  <c:v>793527.4</c:v>
                </c:pt>
                <c:pt idx="8">
                  <c:v>1154419.5</c:v>
                </c:pt>
                <c:pt idx="9">
                  <c:v>2188300.1</c:v>
                </c:pt>
                <c:pt idx="10">
                  <c:v>1759263.5</c:v>
                </c:pt>
                <c:pt idx="11">
                  <c:v>1466909.1</c:v>
                </c:pt>
                <c:pt idx="12">
                  <c:v>1579291.4</c:v>
                </c:pt>
              </c:numCache>
            </c:numRef>
          </c:val>
          <c:extLst>
            <c:ext xmlns:c16="http://schemas.microsoft.com/office/drawing/2014/chart" uri="{C3380CC4-5D6E-409C-BE32-E72D297353CC}">
              <c16:uniqueId val="{00000001-1378-47D2-8FF6-0E8BEBA67686}"/>
            </c:ext>
          </c:extLst>
        </c:ser>
        <c:ser>
          <c:idx val="10"/>
          <c:order val="2"/>
          <c:tx>
            <c:strRef>
              <c:f>Dat_01!$B$143</c:f>
              <c:strCache>
                <c:ptCount val="1"/>
                <c:pt idx="0">
                  <c:v>Cogeneración</c:v>
                </c:pt>
              </c:strCache>
            </c:strRef>
          </c:tx>
          <c:spPr>
            <a:solidFill>
              <a:srgbClr val="CFA2CA"/>
            </a:solidFill>
          </c:spPr>
          <c:invertIfNegative val="0"/>
          <c:cat>
            <c:strRef>
              <c:f>Dat_01!$C$130:$O$130</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Dat_01!$C$143:$O$143</c:f>
              <c:numCache>
                <c:formatCode>#,##0_);\(#,##0\)</c:formatCode>
                <c:ptCount val="13"/>
                <c:pt idx="0">
                  <c:v>0</c:v>
                </c:pt>
                <c:pt idx="1">
                  <c:v>0</c:v>
                </c:pt>
                <c:pt idx="2">
                  <c:v>3132.9</c:v>
                </c:pt>
                <c:pt idx="3">
                  <c:v>987.5</c:v>
                </c:pt>
                <c:pt idx="4">
                  <c:v>0</c:v>
                </c:pt>
                <c:pt idx="5">
                  <c:v>0</c:v>
                </c:pt>
                <c:pt idx="6">
                  <c:v>0</c:v>
                </c:pt>
                <c:pt idx="7">
                  <c:v>18750.8</c:v>
                </c:pt>
                <c:pt idx="8">
                  <c:v>10370.9</c:v>
                </c:pt>
                <c:pt idx="9">
                  <c:v>17487.5</c:v>
                </c:pt>
                <c:pt idx="10">
                  <c:v>20621.599999999999</c:v>
                </c:pt>
                <c:pt idx="11">
                  <c:v>1904.1</c:v>
                </c:pt>
                <c:pt idx="12">
                  <c:v>0</c:v>
                </c:pt>
              </c:numCache>
            </c:numRef>
          </c:val>
          <c:extLst>
            <c:ext xmlns:c16="http://schemas.microsoft.com/office/drawing/2014/chart" uri="{C3380CC4-5D6E-409C-BE32-E72D297353CC}">
              <c16:uniqueId val="{00000002-1378-47D2-8FF6-0E8BEBA67686}"/>
            </c:ext>
          </c:extLst>
        </c:ser>
        <c:ser>
          <c:idx val="8"/>
          <c:order val="3"/>
          <c:tx>
            <c:strRef>
              <c:f>Dat_01!$B$146</c:f>
              <c:strCache>
                <c:ptCount val="1"/>
                <c:pt idx="0">
                  <c:v>Consumo Bombeo</c:v>
                </c:pt>
              </c:strCache>
            </c:strRef>
          </c:tx>
          <c:spPr>
            <a:solidFill>
              <a:srgbClr val="2C4D75"/>
            </a:solidFill>
            <a:ln>
              <a:noFill/>
            </a:ln>
          </c:spPr>
          <c:invertIfNegative val="0"/>
          <c:cat>
            <c:strRef>
              <c:f>Dat_01!$C$130:$O$130</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Dat_01!$C$146:$O$146</c:f>
              <c:numCache>
                <c:formatCode>#,##0_);\(#,##0\)</c:formatCode>
                <c:ptCount val="13"/>
                <c:pt idx="0">
                  <c:v>0</c:v>
                </c:pt>
                <c:pt idx="1">
                  <c:v>184</c:v>
                </c:pt>
                <c:pt idx="2">
                  <c:v>230</c:v>
                </c:pt>
                <c:pt idx="3">
                  <c:v>6140.4</c:v>
                </c:pt>
                <c:pt idx="4">
                  <c:v>918</c:v>
                </c:pt>
                <c:pt idx="5">
                  <c:v>0</c:v>
                </c:pt>
                <c:pt idx="6">
                  <c:v>189</c:v>
                </c:pt>
                <c:pt idx="7">
                  <c:v>146</c:v>
                </c:pt>
                <c:pt idx="8">
                  <c:v>1600</c:v>
                </c:pt>
                <c:pt idx="9">
                  <c:v>1600</c:v>
                </c:pt>
                <c:pt idx="10">
                  <c:v>936</c:v>
                </c:pt>
                <c:pt idx="11">
                  <c:v>2587.5</c:v>
                </c:pt>
                <c:pt idx="12">
                  <c:v>6601</c:v>
                </c:pt>
              </c:numCache>
            </c:numRef>
          </c:val>
          <c:extLst>
            <c:ext xmlns:c16="http://schemas.microsoft.com/office/drawing/2014/chart" uri="{C3380CC4-5D6E-409C-BE32-E72D297353CC}">
              <c16:uniqueId val="{00000003-1378-47D2-8FF6-0E8BEBA67686}"/>
            </c:ext>
          </c:extLst>
        </c:ser>
        <c:ser>
          <c:idx val="4"/>
          <c:order val="4"/>
          <c:tx>
            <c:strRef>
              <c:f>Dat_01!$B$140</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4-1378-47D2-8FF6-0E8BEBA67686}"/>
              </c:ext>
            </c:extLst>
          </c:dPt>
          <c:cat>
            <c:strRef>
              <c:f>Dat_01!$C$130:$O$130</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Dat_01!$C$140:$O$140</c:f>
              <c:numCache>
                <c:formatCode>#,##0_);\(#,##0\)</c:formatCode>
                <c:ptCount val="13"/>
                <c:pt idx="0">
                  <c:v>0</c:v>
                </c:pt>
                <c:pt idx="1">
                  <c:v>0</c:v>
                </c:pt>
                <c:pt idx="2">
                  <c:v>0</c:v>
                </c:pt>
                <c:pt idx="3">
                  <c:v>0</c:v>
                </c:pt>
                <c:pt idx="4">
                  <c:v>0</c:v>
                </c:pt>
                <c:pt idx="5">
                  <c:v>0</c:v>
                </c:pt>
                <c:pt idx="6">
                  <c:v>0</c:v>
                </c:pt>
                <c:pt idx="7">
                  <c:v>31.6</c:v>
                </c:pt>
                <c:pt idx="8">
                  <c:v>1.3</c:v>
                </c:pt>
                <c:pt idx="9">
                  <c:v>0</c:v>
                </c:pt>
                <c:pt idx="10">
                  <c:v>0</c:v>
                </c:pt>
                <c:pt idx="11">
                  <c:v>0</c:v>
                </c:pt>
                <c:pt idx="12">
                  <c:v>0</c:v>
                </c:pt>
              </c:numCache>
            </c:numRef>
          </c:val>
          <c:extLst>
            <c:ext xmlns:c16="http://schemas.microsoft.com/office/drawing/2014/chart" uri="{C3380CC4-5D6E-409C-BE32-E72D297353CC}">
              <c16:uniqueId val="{00000005-1378-47D2-8FF6-0E8BEBA67686}"/>
            </c:ext>
          </c:extLst>
        </c:ser>
        <c:ser>
          <c:idx val="0"/>
          <c:order val="5"/>
          <c:tx>
            <c:strRef>
              <c:f>Dat_01!$B$134</c:f>
              <c:strCache>
                <c:ptCount val="1"/>
                <c:pt idx="0">
                  <c:v>Hidráulica</c:v>
                </c:pt>
              </c:strCache>
            </c:strRef>
          </c:tx>
          <c:spPr>
            <a:solidFill>
              <a:srgbClr val="0090D1"/>
            </a:solidFill>
            <a:ln w="25400">
              <a:noFill/>
            </a:ln>
          </c:spPr>
          <c:invertIfNegative val="0"/>
          <c:cat>
            <c:strRef>
              <c:f>Dat_01!$C$130:$O$130</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Dat_01!$C$134:$O$134</c:f>
              <c:numCache>
                <c:formatCode>#,##0_);\(#,##0\)</c:formatCode>
                <c:ptCount val="13"/>
                <c:pt idx="0">
                  <c:v>0</c:v>
                </c:pt>
                <c:pt idx="1">
                  <c:v>0</c:v>
                </c:pt>
                <c:pt idx="2">
                  <c:v>0</c:v>
                </c:pt>
                <c:pt idx="3">
                  <c:v>0</c:v>
                </c:pt>
                <c:pt idx="4">
                  <c:v>0</c:v>
                </c:pt>
                <c:pt idx="5">
                  <c:v>58.4</c:v>
                </c:pt>
                <c:pt idx="6">
                  <c:v>0</c:v>
                </c:pt>
                <c:pt idx="7">
                  <c:v>0</c:v>
                </c:pt>
                <c:pt idx="8">
                  <c:v>20382.3</c:v>
                </c:pt>
                <c:pt idx="9">
                  <c:v>0</c:v>
                </c:pt>
                <c:pt idx="10">
                  <c:v>150</c:v>
                </c:pt>
                <c:pt idx="11">
                  <c:v>3396</c:v>
                </c:pt>
                <c:pt idx="12">
                  <c:v>6200</c:v>
                </c:pt>
              </c:numCache>
            </c:numRef>
          </c:val>
          <c:extLst>
            <c:ext xmlns:c16="http://schemas.microsoft.com/office/drawing/2014/chart" uri="{C3380CC4-5D6E-409C-BE32-E72D297353CC}">
              <c16:uniqueId val="{00000006-1378-47D2-8FF6-0E8BEBA67686}"/>
            </c:ext>
          </c:extLst>
        </c:ser>
        <c:ser>
          <c:idx val="11"/>
          <c:order val="6"/>
          <c:tx>
            <c:strRef>
              <c:f>Dat_01!$B$144</c:f>
              <c:strCache>
                <c:ptCount val="1"/>
                <c:pt idx="0">
                  <c:v>Otras Renovables</c:v>
                </c:pt>
              </c:strCache>
            </c:strRef>
          </c:tx>
          <c:spPr>
            <a:solidFill>
              <a:srgbClr val="9A5CBC"/>
            </a:solidFill>
          </c:spPr>
          <c:invertIfNegative val="0"/>
          <c:cat>
            <c:strRef>
              <c:f>Dat_01!$C$130:$O$130</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Dat_01!$C$144:$O$144</c:f>
              <c:numCache>
                <c:formatCode>#,##0_);\(#,##0\)</c:formatCode>
                <c:ptCount val="13"/>
                <c:pt idx="0">
                  <c:v>0</c:v>
                </c:pt>
                <c:pt idx="1">
                  <c:v>0</c:v>
                </c:pt>
                <c:pt idx="2">
                  <c:v>767.5</c:v>
                </c:pt>
                <c:pt idx="3">
                  <c:v>0</c:v>
                </c:pt>
                <c:pt idx="4">
                  <c:v>0</c:v>
                </c:pt>
                <c:pt idx="5">
                  <c:v>0</c:v>
                </c:pt>
                <c:pt idx="6">
                  <c:v>0</c:v>
                </c:pt>
                <c:pt idx="7">
                  <c:v>1176.5999999999999</c:v>
                </c:pt>
                <c:pt idx="8">
                  <c:v>2988</c:v>
                </c:pt>
                <c:pt idx="9">
                  <c:v>3603.7</c:v>
                </c:pt>
                <c:pt idx="10">
                  <c:v>1579.6</c:v>
                </c:pt>
                <c:pt idx="11">
                  <c:v>198.7</c:v>
                </c:pt>
                <c:pt idx="12">
                  <c:v>0</c:v>
                </c:pt>
              </c:numCache>
            </c:numRef>
          </c:val>
          <c:extLst>
            <c:ext xmlns:c16="http://schemas.microsoft.com/office/drawing/2014/chart" uri="{C3380CC4-5D6E-409C-BE32-E72D297353CC}">
              <c16:uniqueId val="{00000007-1378-47D2-8FF6-0E8BEBA67686}"/>
            </c:ext>
          </c:extLst>
        </c:ser>
        <c:ser>
          <c:idx val="5"/>
          <c:order val="7"/>
          <c:tx>
            <c:strRef>
              <c:f>Dat_01!$B$141</c:f>
              <c:strCache>
                <c:ptCount val="1"/>
                <c:pt idx="0">
                  <c:v>Solar fotovoltaica</c:v>
                </c:pt>
              </c:strCache>
            </c:strRef>
          </c:tx>
          <c:spPr>
            <a:solidFill>
              <a:srgbClr val="EE6112"/>
            </a:solidFill>
            <a:ln>
              <a:noFill/>
            </a:ln>
          </c:spPr>
          <c:invertIfNegative val="0"/>
          <c:cat>
            <c:strRef>
              <c:f>Dat_01!$C$130:$O$130</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Dat_01!$C$141:$O$141</c:f>
              <c:numCache>
                <c:formatCode>#,##0_);\(#,##0\)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8-1378-47D2-8FF6-0E8BEBA67686}"/>
            </c:ext>
          </c:extLst>
        </c:ser>
        <c:ser>
          <c:idx val="1"/>
          <c:order val="8"/>
          <c:tx>
            <c:strRef>
              <c:f>Dat_01!$B$142</c:f>
              <c:strCache>
                <c:ptCount val="1"/>
                <c:pt idx="0">
                  <c:v>Solar térmica</c:v>
                </c:pt>
              </c:strCache>
            </c:strRef>
          </c:tx>
          <c:spPr>
            <a:solidFill>
              <a:srgbClr val="FF0000"/>
            </a:solidFill>
          </c:spPr>
          <c:invertIfNegative val="0"/>
          <c:cat>
            <c:strRef>
              <c:f>Dat_01!$C$130:$O$130</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Dat_01!$C$142:$O$142</c:f>
              <c:numCache>
                <c:formatCode>#,##0_);\(#,##0\)</c:formatCode>
                <c:ptCount val="13"/>
                <c:pt idx="0">
                  <c:v>0</c:v>
                </c:pt>
                <c:pt idx="1">
                  <c:v>0</c:v>
                </c:pt>
                <c:pt idx="2">
                  <c:v>0</c:v>
                </c:pt>
                <c:pt idx="3">
                  <c:v>0</c:v>
                </c:pt>
                <c:pt idx="4">
                  <c:v>0</c:v>
                </c:pt>
                <c:pt idx="5">
                  <c:v>0</c:v>
                </c:pt>
                <c:pt idx="6">
                  <c:v>0</c:v>
                </c:pt>
                <c:pt idx="7">
                  <c:v>0</c:v>
                </c:pt>
                <c:pt idx="8">
                  <c:v>0</c:v>
                </c:pt>
                <c:pt idx="9">
                  <c:v>0</c:v>
                </c:pt>
                <c:pt idx="10">
                  <c:v>0</c:v>
                </c:pt>
                <c:pt idx="11">
                  <c:v>229.2</c:v>
                </c:pt>
                <c:pt idx="12">
                  <c:v>0</c:v>
                </c:pt>
              </c:numCache>
            </c:numRef>
          </c:val>
          <c:extLst>
            <c:ext xmlns:c16="http://schemas.microsoft.com/office/drawing/2014/chart" uri="{C3380CC4-5D6E-409C-BE32-E72D297353CC}">
              <c16:uniqueId val="{00000009-1378-47D2-8FF6-0E8BEBA67686}"/>
            </c:ext>
          </c:extLst>
        </c:ser>
        <c:ser>
          <c:idx val="2"/>
          <c:order val="9"/>
          <c:tx>
            <c:strRef>
              <c:f>Dat_01!$B$135</c:f>
              <c:strCache>
                <c:ptCount val="1"/>
                <c:pt idx="0">
                  <c:v>Turbinación bombeo</c:v>
                </c:pt>
              </c:strCache>
            </c:strRef>
          </c:tx>
          <c:spPr>
            <a:solidFill>
              <a:srgbClr val="95B3D7"/>
            </a:solidFill>
            <a:ln>
              <a:noFill/>
            </a:ln>
          </c:spPr>
          <c:invertIfNegative val="0"/>
          <c:cat>
            <c:strRef>
              <c:f>Dat_01!$C$130:$O$130</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Dat_01!$C$135:$O$135</c:f>
              <c:numCache>
                <c:formatCode>#,##0_);\(#,##0\)</c:formatCode>
                <c:ptCount val="13"/>
                <c:pt idx="0">
                  <c:v>0</c:v>
                </c:pt>
                <c:pt idx="1">
                  <c:v>0</c:v>
                </c:pt>
                <c:pt idx="2">
                  <c:v>0</c:v>
                </c:pt>
                <c:pt idx="3">
                  <c:v>0</c:v>
                </c:pt>
                <c:pt idx="4">
                  <c:v>0</c:v>
                </c:pt>
                <c:pt idx="5">
                  <c:v>0</c:v>
                </c:pt>
                <c:pt idx="6">
                  <c:v>0</c:v>
                </c:pt>
                <c:pt idx="7">
                  <c:v>0</c:v>
                </c:pt>
                <c:pt idx="8">
                  <c:v>0</c:v>
                </c:pt>
                <c:pt idx="9">
                  <c:v>0</c:v>
                </c:pt>
                <c:pt idx="10">
                  <c:v>60.7</c:v>
                </c:pt>
                <c:pt idx="11">
                  <c:v>700</c:v>
                </c:pt>
                <c:pt idx="12">
                  <c:v>0</c:v>
                </c:pt>
              </c:numCache>
            </c:numRef>
          </c:val>
          <c:extLst>
            <c:ext xmlns:c16="http://schemas.microsoft.com/office/drawing/2014/chart" uri="{C3380CC4-5D6E-409C-BE32-E72D297353CC}">
              <c16:uniqueId val="{0000000A-1378-47D2-8FF6-0E8BEBA67686}"/>
            </c:ext>
          </c:extLst>
        </c:ser>
        <c:ser>
          <c:idx val="12"/>
          <c:order val="10"/>
          <c:tx>
            <c:strRef>
              <c:f>Dat_01!$B$136</c:f>
              <c:strCache>
                <c:ptCount val="1"/>
                <c:pt idx="0">
                  <c:v>Nuclear</c:v>
                </c:pt>
              </c:strCache>
            </c:strRef>
          </c:tx>
          <c:spPr>
            <a:solidFill>
              <a:srgbClr val="464394"/>
            </a:solidFill>
          </c:spPr>
          <c:invertIfNegative val="0"/>
          <c:cat>
            <c:strRef>
              <c:f>Dat_01!$C$130:$O$130</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Dat_01!$C$136:$O$136</c:f>
              <c:numCache>
                <c:formatCode>#,##0_);\(#,##0\)</c:formatCode>
                <c:ptCount val="13"/>
                <c:pt idx="0">
                  <c:v>0</c:v>
                </c:pt>
                <c:pt idx="1">
                  <c:v>0</c:v>
                </c:pt>
                <c:pt idx="2">
                  <c:v>0</c:v>
                </c:pt>
                <c:pt idx="3">
                  <c:v>13528</c:v>
                </c:pt>
                <c:pt idx="4">
                  <c:v>0</c:v>
                </c:pt>
                <c:pt idx="5">
                  <c:v>1486.2</c:v>
                </c:pt>
                <c:pt idx="6">
                  <c:v>0</c:v>
                </c:pt>
                <c:pt idx="7">
                  <c:v>260114.1</c:v>
                </c:pt>
                <c:pt idx="8">
                  <c:v>267559.5</c:v>
                </c:pt>
                <c:pt idx="9">
                  <c:v>363944.9</c:v>
                </c:pt>
                <c:pt idx="10">
                  <c:v>25407.8</c:v>
                </c:pt>
                <c:pt idx="11">
                  <c:v>19303.400000000001</c:v>
                </c:pt>
                <c:pt idx="12">
                  <c:v>3428.3</c:v>
                </c:pt>
              </c:numCache>
            </c:numRef>
          </c:val>
          <c:extLst>
            <c:ext xmlns:c16="http://schemas.microsoft.com/office/drawing/2014/chart" uri="{C3380CC4-5D6E-409C-BE32-E72D297353CC}">
              <c16:uniqueId val="{0000000B-1378-47D2-8FF6-0E8BEBA67686}"/>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1"/>
          <c:tx>
            <c:v>Precio medio subir</c:v>
          </c:tx>
          <c:spPr>
            <a:ln>
              <a:solidFill>
                <a:srgbClr val="004563"/>
              </a:solidFill>
            </a:ln>
          </c:spPr>
          <c:marker>
            <c:symbol val="none"/>
          </c:marker>
          <c:val>
            <c:numRef>
              <c:f>Dat_01!$C$403:$O$403</c:f>
              <c:numCache>
                <c:formatCode>#,##0.00</c:formatCode>
                <c:ptCount val="13"/>
                <c:pt idx="0">
                  <c:v>169.825035873594</c:v>
                </c:pt>
                <c:pt idx="1">
                  <c:v>155.87385113639601</c:v>
                </c:pt>
                <c:pt idx="2">
                  <c:v>156.488945177593</c:v>
                </c:pt>
                <c:pt idx="3">
                  <c:v>180.21856425760001</c:v>
                </c:pt>
                <c:pt idx="4">
                  <c:v>189.98390589686599</c:v>
                </c:pt>
                <c:pt idx="5">
                  <c:v>194.01727648465101</c:v>
                </c:pt>
                <c:pt idx="6">
                  <c:v>191.642422230378</c:v>
                </c:pt>
                <c:pt idx="7">
                  <c:v>147.73085463051899</c:v>
                </c:pt>
                <c:pt idx="8">
                  <c:v>143.89626229065601</c:v>
                </c:pt>
                <c:pt idx="9">
                  <c:v>155.04070517069999</c:v>
                </c:pt>
                <c:pt idx="10">
                  <c:v>165.610026415487</c:v>
                </c:pt>
                <c:pt idx="11">
                  <c:v>150.287578341498</c:v>
                </c:pt>
                <c:pt idx="12">
                  <c:v>157.391405421706</c:v>
                </c:pt>
              </c:numCache>
            </c:numRef>
          </c:val>
          <c:smooth val="0"/>
          <c:extLst>
            <c:ext xmlns:c16="http://schemas.microsoft.com/office/drawing/2014/chart" uri="{C3380CC4-5D6E-409C-BE32-E72D297353CC}">
              <c16:uniqueId val="{0000000C-1378-47D2-8FF6-0E8BEBA67686}"/>
            </c:ext>
          </c:extLst>
        </c:ser>
        <c:ser>
          <c:idx val="9"/>
          <c:order val="12"/>
          <c:tx>
            <c:v>Precio medio bajar</c:v>
          </c:tx>
          <c:spPr>
            <a:ln>
              <a:solidFill>
                <a:srgbClr val="404040"/>
              </a:solidFill>
            </a:ln>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0D-1378-47D2-8FF6-0E8BEBA67686}"/>
            </c:ext>
          </c:extLst>
        </c:ser>
        <c:dLbls>
          <c:showLegendKey val="0"/>
          <c:showVal val="0"/>
          <c:showCatName val="0"/>
          <c:showSerName val="0"/>
          <c:showPercent val="0"/>
          <c:showBubbleSize val="0"/>
        </c:dLbls>
        <c:marker val="1"/>
        <c:smooth val="0"/>
        <c:axId val="403141008"/>
        <c:axId val="403140616"/>
      </c:lineChart>
      <c:valAx>
        <c:axId val="403139832"/>
        <c:scaling>
          <c:orientation val="minMax"/>
          <c:max val="2800000"/>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crossAx val="403140224"/>
        <c:crosses val="autoZero"/>
        <c:crossBetween val="between"/>
        <c:majorUnit val="400000"/>
        <c:dispUnits>
          <c:builtInUnit val="thousands"/>
        </c:dispUnits>
      </c:valAx>
      <c:catAx>
        <c:axId val="403140224"/>
        <c:scaling>
          <c:orientation val="minMax"/>
        </c:scaling>
        <c:delete val="0"/>
        <c:axPos val="b"/>
        <c:numFmt formatCode="General" sourceLinked="1"/>
        <c:majorTickMark val="out"/>
        <c:minorTickMark val="none"/>
        <c:tickLblPos val="nextTo"/>
        <c:crossAx val="403139832"/>
        <c:crossesAt val="0"/>
        <c:auto val="1"/>
        <c:lblAlgn val="ctr"/>
        <c:lblOffset val="100"/>
        <c:noMultiLvlLbl val="0"/>
      </c:catAx>
      <c:valAx>
        <c:axId val="403140616"/>
        <c:scaling>
          <c:orientation val="minMax"/>
          <c:max val="210"/>
        </c:scaling>
        <c:delete val="0"/>
        <c:axPos val="r"/>
        <c:numFmt formatCode="#,##0" sourceLinked="0"/>
        <c:majorTickMark val="out"/>
        <c:minorTickMark val="none"/>
        <c:tickLblPos val="nextTo"/>
        <c:spPr>
          <a:ln>
            <a:noFill/>
          </a:ln>
        </c:spPr>
        <c:crossAx val="403141008"/>
        <c:crosses val="max"/>
        <c:crossBetween val="between"/>
        <c:majorUnit val="30"/>
      </c:valAx>
      <c:catAx>
        <c:axId val="403141008"/>
        <c:scaling>
          <c:orientation val="minMax"/>
        </c:scaling>
        <c:delete val="1"/>
        <c:axPos val="b"/>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466854386577358E-2"/>
          <c:y val="6.7873176160182555E-2"/>
          <c:w val="0.90234727490582289"/>
          <c:h val="0.69719731509625127"/>
        </c:manualLayout>
      </c:layout>
      <c:barChart>
        <c:barDir val="col"/>
        <c:grouping val="stacked"/>
        <c:varyColors val="0"/>
        <c:ser>
          <c:idx val="4"/>
          <c:order val="0"/>
          <c:tx>
            <c:strRef>
              <c:f>Dat_01!$B$159</c:f>
              <c:strCache>
                <c:ptCount val="1"/>
                <c:pt idx="0">
                  <c:v>Ciclo Combinado</c:v>
                </c:pt>
              </c:strCache>
            </c:strRef>
          </c:tx>
          <c:spPr>
            <a:solidFill>
              <a:srgbClr val="FFCC66"/>
            </a:solidFill>
            <a:ln>
              <a:noFill/>
            </a:ln>
          </c:spPr>
          <c:invertIfNegative val="0"/>
          <c:dPt>
            <c:idx val="0"/>
            <c:invertIfNegative val="0"/>
            <c:bubble3D val="0"/>
            <c:extLst>
              <c:ext xmlns:c16="http://schemas.microsoft.com/office/drawing/2014/chart" uri="{C3380CC4-5D6E-409C-BE32-E72D297353CC}">
                <c16:uniqueId val="{0000000B-FEB9-4654-8A2F-05F064C4D2EE}"/>
              </c:ext>
            </c:extLst>
          </c:dPt>
          <c:val>
            <c:numRef>
              <c:f>Dat_01!$C$159:$O$159</c:f>
              <c:numCache>
                <c:formatCode>#,##0_);\(#,##0\)</c:formatCode>
                <c:ptCount val="13"/>
                <c:pt idx="0">
                  <c:v>168.2</c:v>
                </c:pt>
                <c:pt idx="1">
                  <c:v>1706.2</c:v>
                </c:pt>
                <c:pt idx="2">
                  <c:v>2400.8000000000002</c:v>
                </c:pt>
                <c:pt idx="3">
                  <c:v>0</c:v>
                </c:pt>
                <c:pt idx="4">
                  <c:v>15185.5</c:v>
                </c:pt>
                <c:pt idx="5">
                  <c:v>0</c:v>
                </c:pt>
                <c:pt idx="6">
                  <c:v>0</c:v>
                </c:pt>
                <c:pt idx="7">
                  <c:v>0</c:v>
                </c:pt>
                <c:pt idx="8">
                  <c:v>0</c:v>
                </c:pt>
                <c:pt idx="9">
                  <c:v>0</c:v>
                </c:pt>
                <c:pt idx="10">
                  <c:v>4</c:v>
                </c:pt>
                <c:pt idx="11">
                  <c:v>1003.5</c:v>
                </c:pt>
                <c:pt idx="12">
                  <c:v>50</c:v>
                </c:pt>
              </c:numCache>
            </c:numRef>
          </c:val>
          <c:extLst>
            <c:ext xmlns:c16="http://schemas.microsoft.com/office/drawing/2014/chart" uri="{C3380CC4-5D6E-409C-BE32-E72D297353CC}">
              <c16:uniqueId val="{0000000C-FEB9-4654-8A2F-05F064C4D2EE}"/>
            </c:ext>
          </c:extLst>
        </c:ser>
        <c:ser>
          <c:idx val="3"/>
          <c:order val="1"/>
          <c:tx>
            <c:strRef>
              <c:f>Dat_01!$B$157</c:f>
              <c:strCache>
                <c:ptCount val="1"/>
                <c:pt idx="0">
                  <c:v>Carbón</c:v>
                </c:pt>
              </c:strCache>
            </c:strRef>
          </c:tx>
          <c:spPr>
            <a:solidFill>
              <a:srgbClr val="70303C"/>
            </a:solidFill>
            <a:ln>
              <a:noFill/>
            </a:ln>
          </c:spPr>
          <c:invertIfNegative val="0"/>
          <c:val>
            <c:numRef>
              <c:f>Dat_01!$C$157:$O$157</c:f>
              <c:numCache>
                <c:formatCode>#,##0_);\(#,##0\)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5-FEB9-4654-8A2F-05F064C4D2EE}"/>
            </c:ext>
          </c:extLst>
        </c:ser>
        <c:ser>
          <c:idx val="0"/>
          <c:order val="2"/>
          <c:tx>
            <c:strRef>
              <c:f>Dat_01!$B$166</c:f>
              <c:strCache>
                <c:ptCount val="1"/>
                <c:pt idx="0">
                  <c:v>Consumo Bombeo</c:v>
                </c:pt>
              </c:strCache>
            </c:strRef>
          </c:tx>
          <c:spPr>
            <a:solidFill>
              <a:srgbClr val="2C4D75"/>
            </a:solidFill>
            <a:ln w="25400">
              <a:noFill/>
            </a:ln>
          </c:spPr>
          <c:invertIfNegative val="0"/>
          <c:val>
            <c:numRef>
              <c:f>Dat_01!$C$166:$O$166</c:f>
              <c:numCache>
                <c:formatCode>#,##0_);\(#,##0\)</c:formatCode>
                <c:ptCount val="13"/>
                <c:pt idx="0">
                  <c:v>0</c:v>
                </c:pt>
                <c:pt idx="1">
                  <c:v>0</c:v>
                </c:pt>
                <c:pt idx="2">
                  <c:v>308</c:v>
                </c:pt>
                <c:pt idx="3">
                  <c:v>0</c:v>
                </c:pt>
                <c:pt idx="4">
                  <c:v>0</c:v>
                </c:pt>
                <c:pt idx="5">
                  <c:v>0</c:v>
                </c:pt>
                <c:pt idx="6">
                  <c:v>0</c:v>
                </c:pt>
                <c:pt idx="7">
                  <c:v>190</c:v>
                </c:pt>
                <c:pt idx="8">
                  <c:v>0</c:v>
                </c:pt>
                <c:pt idx="9">
                  <c:v>0</c:v>
                </c:pt>
                <c:pt idx="10">
                  <c:v>0</c:v>
                </c:pt>
                <c:pt idx="11">
                  <c:v>0</c:v>
                </c:pt>
                <c:pt idx="12">
                  <c:v>0</c:v>
                </c:pt>
              </c:numCache>
            </c:numRef>
          </c:val>
          <c:extLst>
            <c:ext xmlns:c16="http://schemas.microsoft.com/office/drawing/2014/chart" uri="{C3380CC4-5D6E-409C-BE32-E72D297353CC}">
              <c16:uniqueId val="{0000000E-FEB9-4654-8A2F-05F064C4D2EE}"/>
            </c:ext>
          </c:extLst>
        </c:ser>
        <c:ser>
          <c:idx val="11"/>
          <c:order val="3"/>
          <c:tx>
            <c:strRef>
              <c:f>Dat_01!$B$163</c:f>
              <c:strCache>
                <c:ptCount val="1"/>
                <c:pt idx="0">
                  <c:v>Cogeneración</c:v>
                </c:pt>
              </c:strCache>
            </c:strRef>
          </c:tx>
          <c:spPr>
            <a:solidFill>
              <a:srgbClr val="CFA2CA"/>
            </a:solidFill>
          </c:spPr>
          <c:invertIfNegative val="0"/>
          <c:val>
            <c:numRef>
              <c:f>Dat_01!$C$163:$O$163</c:f>
              <c:numCache>
                <c:formatCode>#,##0_);\(#,##0\)</c:formatCode>
                <c:ptCount val="13"/>
                <c:pt idx="0">
                  <c:v>5587.1</c:v>
                </c:pt>
                <c:pt idx="1">
                  <c:v>13252.9</c:v>
                </c:pt>
                <c:pt idx="2">
                  <c:v>5966.6</c:v>
                </c:pt>
                <c:pt idx="3">
                  <c:v>583</c:v>
                </c:pt>
                <c:pt idx="4">
                  <c:v>837.6</c:v>
                </c:pt>
                <c:pt idx="5">
                  <c:v>3429</c:v>
                </c:pt>
                <c:pt idx="6">
                  <c:v>111.1</c:v>
                </c:pt>
                <c:pt idx="7">
                  <c:v>859.2</c:v>
                </c:pt>
                <c:pt idx="8">
                  <c:v>4456.8999999999996</c:v>
                </c:pt>
                <c:pt idx="9">
                  <c:v>4609.7</c:v>
                </c:pt>
                <c:pt idx="10">
                  <c:v>6809.1</c:v>
                </c:pt>
                <c:pt idx="11">
                  <c:v>32112.6</c:v>
                </c:pt>
                <c:pt idx="12">
                  <c:v>6711.8</c:v>
                </c:pt>
              </c:numCache>
            </c:numRef>
          </c:val>
          <c:extLst>
            <c:ext xmlns:c16="http://schemas.microsoft.com/office/drawing/2014/chart" uri="{C3380CC4-5D6E-409C-BE32-E72D297353CC}">
              <c16:uniqueId val="{00000010-FEB9-4654-8A2F-05F064C4D2EE}"/>
            </c:ext>
          </c:extLst>
        </c:ser>
        <c:ser>
          <c:idx val="14"/>
          <c:order val="4"/>
          <c:tx>
            <c:strRef>
              <c:f>Dat_01!$B$172</c:f>
              <c:strCache>
                <c:ptCount val="1"/>
                <c:pt idx="0">
                  <c:v>Hibridación</c:v>
                </c:pt>
              </c:strCache>
            </c:strRef>
          </c:tx>
          <c:spPr>
            <a:solidFill>
              <a:srgbClr val="28A064"/>
            </a:solidFill>
          </c:spPr>
          <c:invertIfNegative val="0"/>
          <c:val>
            <c:numRef>
              <c:f>Dat_01!$C$172:$O$172</c:f>
              <c:numCache>
                <c:formatCode>#,##0_);\(#,##0\)</c:formatCode>
                <c:ptCount val="13"/>
                <c:pt idx="0">
                  <c:v>0</c:v>
                </c:pt>
                <c:pt idx="1">
                  <c:v>0</c:v>
                </c:pt>
                <c:pt idx="2">
                  <c:v>242.7</c:v>
                </c:pt>
                <c:pt idx="3">
                  <c:v>820.6</c:v>
                </c:pt>
                <c:pt idx="4">
                  <c:v>588.70000000000005</c:v>
                </c:pt>
                <c:pt idx="5">
                  <c:v>844.6</c:v>
                </c:pt>
                <c:pt idx="6">
                  <c:v>129.19999999999999</c:v>
                </c:pt>
                <c:pt idx="7">
                  <c:v>1191.4000000000001</c:v>
                </c:pt>
                <c:pt idx="8">
                  <c:v>512.9</c:v>
                </c:pt>
                <c:pt idx="9">
                  <c:v>3501.6</c:v>
                </c:pt>
                <c:pt idx="10">
                  <c:v>9288</c:v>
                </c:pt>
                <c:pt idx="11">
                  <c:v>12956.4</c:v>
                </c:pt>
                <c:pt idx="12">
                  <c:v>2597.3000000000002</c:v>
                </c:pt>
              </c:numCache>
            </c:numRef>
          </c:val>
          <c:extLst>
            <c:ext xmlns:c16="http://schemas.microsoft.com/office/drawing/2014/chart" uri="{C3380CC4-5D6E-409C-BE32-E72D297353CC}">
              <c16:uniqueId val="{00000001-BD0D-46F6-80D1-8CF18156FB2C}"/>
            </c:ext>
          </c:extLst>
        </c:ser>
        <c:ser>
          <c:idx val="2"/>
          <c:order val="5"/>
          <c:tx>
            <c:strRef>
              <c:f>Dat_01!$B$154</c:f>
              <c:strCache>
                <c:ptCount val="1"/>
                <c:pt idx="0">
                  <c:v>Hidráulica</c:v>
                </c:pt>
              </c:strCache>
            </c:strRef>
          </c:tx>
          <c:spPr>
            <a:solidFill>
              <a:srgbClr val="0090D1"/>
            </a:solidFill>
            <a:ln>
              <a:noFill/>
            </a:ln>
          </c:spPr>
          <c:invertIfNegative val="0"/>
          <c:val>
            <c:numRef>
              <c:f>Dat_01!$C$154:$O$154</c:f>
              <c:numCache>
                <c:formatCode>#,##0_);\(#,##0\)</c:formatCode>
                <c:ptCount val="13"/>
                <c:pt idx="0">
                  <c:v>2395.8000000000002</c:v>
                </c:pt>
                <c:pt idx="1">
                  <c:v>2369.3000000000002</c:v>
                </c:pt>
                <c:pt idx="2">
                  <c:v>2467.9</c:v>
                </c:pt>
                <c:pt idx="3">
                  <c:v>3355.5</c:v>
                </c:pt>
                <c:pt idx="4">
                  <c:v>2291.6999999999998</c:v>
                </c:pt>
                <c:pt idx="5">
                  <c:v>1202</c:v>
                </c:pt>
                <c:pt idx="6">
                  <c:v>143.30000000000001</c:v>
                </c:pt>
                <c:pt idx="7">
                  <c:v>655.7</c:v>
                </c:pt>
                <c:pt idx="8">
                  <c:v>2348.1</c:v>
                </c:pt>
                <c:pt idx="9">
                  <c:v>9496.2999999999993</c:v>
                </c:pt>
                <c:pt idx="10">
                  <c:v>8559.4</c:v>
                </c:pt>
                <c:pt idx="11">
                  <c:v>5351.7</c:v>
                </c:pt>
                <c:pt idx="12">
                  <c:v>5333.8</c:v>
                </c:pt>
              </c:numCache>
            </c:numRef>
          </c:val>
          <c:extLst>
            <c:ext xmlns:c16="http://schemas.microsoft.com/office/drawing/2014/chart" uri="{C3380CC4-5D6E-409C-BE32-E72D297353CC}">
              <c16:uniqueId val="{00000016-FEB9-4654-8A2F-05F064C4D2EE}"/>
            </c:ext>
          </c:extLst>
        </c:ser>
        <c:ser>
          <c:idx val="5"/>
          <c:order val="6"/>
          <c:tx>
            <c:strRef>
              <c:f>Dat_01!$B$160</c:f>
              <c:strCache>
                <c:ptCount val="1"/>
                <c:pt idx="0">
                  <c:v>Eólica</c:v>
                </c:pt>
              </c:strCache>
            </c:strRef>
          </c:tx>
          <c:spPr>
            <a:solidFill>
              <a:srgbClr val="70AD47"/>
            </a:solidFill>
            <a:ln>
              <a:noFill/>
            </a:ln>
          </c:spPr>
          <c:invertIfNegative val="0"/>
          <c:val>
            <c:numRef>
              <c:f>Dat_01!$C$160:$O$160</c:f>
              <c:numCache>
                <c:formatCode>#,##0_);\(#,##0\)</c:formatCode>
                <c:ptCount val="13"/>
                <c:pt idx="0">
                  <c:v>45324.7</c:v>
                </c:pt>
                <c:pt idx="1">
                  <c:v>86223.9</c:v>
                </c:pt>
                <c:pt idx="2">
                  <c:v>68222.2</c:v>
                </c:pt>
                <c:pt idx="3">
                  <c:v>231610.6</c:v>
                </c:pt>
                <c:pt idx="4">
                  <c:v>118243.7</c:v>
                </c:pt>
                <c:pt idx="5">
                  <c:v>118105.1</c:v>
                </c:pt>
                <c:pt idx="6">
                  <c:v>19851.3</c:v>
                </c:pt>
                <c:pt idx="7">
                  <c:v>29282.9</c:v>
                </c:pt>
                <c:pt idx="8">
                  <c:v>23186.2</c:v>
                </c:pt>
                <c:pt idx="9">
                  <c:v>17699.400000000001</c:v>
                </c:pt>
                <c:pt idx="10">
                  <c:v>18495.599999999999</c:v>
                </c:pt>
                <c:pt idx="11">
                  <c:v>208879.1</c:v>
                </c:pt>
                <c:pt idx="12">
                  <c:v>56148.9</c:v>
                </c:pt>
              </c:numCache>
            </c:numRef>
          </c:val>
          <c:extLst>
            <c:ext xmlns:c16="http://schemas.microsoft.com/office/drawing/2014/chart" uri="{C3380CC4-5D6E-409C-BE32-E72D297353CC}">
              <c16:uniqueId val="{00000012-FEB9-4654-8A2F-05F064C4D2EE}"/>
            </c:ext>
          </c:extLst>
        </c:ser>
        <c:ser>
          <c:idx val="6"/>
          <c:order val="7"/>
          <c:tx>
            <c:strRef>
              <c:f>Dat_01!$B$156</c:f>
              <c:strCache>
                <c:ptCount val="1"/>
                <c:pt idx="0">
                  <c:v>Nuclear</c:v>
                </c:pt>
              </c:strCache>
            </c:strRef>
          </c:tx>
          <c:spPr>
            <a:solidFill>
              <a:srgbClr val="464394"/>
            </a:solidFill>
            <a:ln>
              <a:noFill/>
            </a:ln>
          </c:spPr>
          <c:invertIfNegative val="0"/>
          <c:val>
            <c:numRef>
              <c:f>Dat_01!$C$156:$O$156</c:f>
              <c:numCache>
                <c:formatCode>#,##0_);\(#,##0\)</c:formatCode>
                <c:ptCount val="13"/>
                <c:pt idx="0">
                  <c:v>0</c:v>
                </c:pt>
                <c:pt idx="1">
                  <c:v>0</c:v>
                </c:pt>
                <c:pt idx="2">
                  <c:v>0</c:v>
                </c:pt>
                <c:pt idx="3">
                  <c:v>0</c:v>
                </c:pt>
                <c:pt idx="4">
                  <c:v>0</c:v>
                </c:pt>
                <c:pt idx="5">
                  <c:v>0</c:v>
                </c:pt>
                <c:pt idx="6">
                  <c:v>0</c:v>
                </c:pt>
                <c:pt idx="7">
                  <c:v>0</c:v>
                </c:pt>
                <c:pt idx="8">
                  <c:v>0</c:v>
                </c:pt>
                <c:pt idx="9">
                  <c:v>0</c:v>
                </c:pt>
                <c:pt idx="10">
                  <c:v>0</c:v>
                </c:pt>
                <c:pt idx="11">
                  <c:v>6512</c:v>
                </c:pt>
                <c:pt idx="12">
                  <c:v>0</c:v>
                </c:pt>
              </c:numCache>
            </c:numRef>
          </c:val>
          <c:extLst>
            <c:ext xmlns:c16="http://schemas.microsoft.com/office/drawing/2014/chart" uri="{C3380CC4-5D6E-409C-BE32-E72D297353CC}">
              <c16:uniqueId val="{00000003-FEB9-4654-8A2F-05F064C4D2EE}"/>
            </c:ext>
          </c:extLst>
        </c:ser>
        <c:ser>
          <c:idx val="13"/>
          <c:order val="8"/>
          <c:tx>
            <c:strRef>
              <c:f>Dat_01!$B$164</c:f>
              <c:strCache>
                <c:ptCount val="1"/>
                <c:pt idx="0">
                  <c:v>Otras Renovables</c:v>
                </c:pt>
              </c:strCache>
            </c:strRef>
          </c:tx>
          <c:spPr>
            <a:solidFill>
              <a:srgbClr val="9A5CBC"/>
            </a:solidFill>
          </c:spPr>
          <c:invertIfNegative val="0"/>
          <c:val>
            <c:numRef>
              <c:f>Dat_01!$C$164:$O$164</c:f>
              <c:numCache>
                <c:formatCode>#,##0_);\(#,##0\)</c:formatCode>
                <c:ptCount val="13"/>
                <c:pt idx="0">
                  <c:v>2766.6</c:v>
                </c:pt>
                <c:pt idx="1">
                  <c:v>4253.3</c:v>
                </c:pt>
                <c:pt idx="2">
                  <c:v>1216.3</c:v>
                </c:pt>
                <c:pt idx="3">
                  <c:v>274.10000000000002</c:v>
                </c:pt>
                <c:pt idx="4">
                  <c:v>678.2</c:v>
                </c:pt>
                <c:pt idx="5">
                  <c:v>1474.8</c:v>
                </c:pt>
                <c:pt idx="6">
                  <c:v>12</c:v>
                </c:pt>
                <c:pt idx="7">
                  <c:v>485.5</c:v>
                </c:pt>
                <c:pt idx="8">
                  <c:v>2920.3</c:v>
                </c:pt>
                <c:pt idx="9">
                  <c:v>3843</c:v>
                </c:pt>
                <c:pt idx="10">
                  <c:v>7273.5</c:v>
                </c:pt>
                <c:pt idx="11">
                  <c:v>10545</c:v>
                </c:pt>
                <c:pt idx="12">
                  <c:v>7511.7</c:v>
                </c:pt>
              </c:numCache>
            </c:numRef>
          </c:val>
          <c:extLst>
            <c:ext xmlns:c16="http://schemas.microsoft.com/office/drawing/2014/chart" uri="{C3380CC4-5D6E-409C-BE32-E72D297353CC}">
              <c16:uniqueId val="{00000002-747D-4928-BF01-C2D72787D713}"/>
            </c:ext>
          </c:extLst>
        </c:ser>
        <c:ser>
          <c:idx val="8"/>
          <c:order val="9"/>
          <c:tx>
            <c:strRef>
              <c:f>Dat_01!$B$165</c:f>
              <c:strCache>
                <c:ptCount val="1"/>
                <c:pt idx="0">
                  <c:v>Residuos no Renovables</c:v>
                </c:pt>
              </c:strCache>
            </c:strRef>
          </c:tx>
          <c:spPr>
            <a:solidFill>
              <a:srgbClr val="7F7F7F"/>
            </a:solidFill>
            <a:ln>
              <a:noFill/>
            </a:ln>
          </c:spPr>
          <c:invertIfNegative val="0"/>
          <c:val>
            <c:numRef>
              <c:f>Dat_01!$C$165:$O$165</c:f>
              <c:numCache>
                <c:formatCode>#,##0_);\(#,##0\)</c:formatCode>
                <c:ptCount val="13"/>
                <c:pt idx="0">
                  <c:v>100</c:v>
                </c:pt>
                <c:pt idx="1">
                  <c:v>0</c:v>
                </c:pt>
                <c:pt idx="2">
                  <c:v>0</c:v>
                </c:pt>
                <c:pt idx="3">
                  <c:v>0</c:v>
                </c:pt>
                <c:pt idx="4">
                  <c:v>0</c:v>
                </c:pt>
                <c:pt idx="5">
                  <c:v>0</c:v>
                </c:pt>
                <c:pt idx="6">
                  <c:v>0</c:v>
                </c:pt>
                <c:pt idx="7">
                  <c:v>0</c:v>
                </c:pt>
                <c:pt idx="8">
                  <c:v>0</c:v>
                </c:pt>
                <c:pt idx="9">
                  <c:v>0</c:v>
                </c:pt>
                <c:pt idx="10">
                  <c:v>0</c:v>
                </c:pt>
                <c:pt idx="11">
                  <c:v>3546</c:v>
                </c:pt>
                <c:pt idx="12">
                  <c:v>118</c:v>
                </c:pt>
              </c:numCache>
            </c:numRef>
          </c:val>
          <c:extLst>
            <c:ext xmlns:c16="http://schemas.microsoft.com/office/drawing/2014/chart" uri="{C3380CC4-5D6E-409C-BE32-E72D297353CC}">
              <c16:uniqueId val="{00000009-FEB9-4654-8A2F-05F064C4D2EE}"/>
            </c:ext>
          </c:extLst>
        </c:ser>
        <c:ser>
          <c:idx val="1"/>
          <c:order val="10"/>
          <c:tx>
            <c:strRef>
              <c:f>Dat_01!$B$161</c:f>
              <c:strCache>
                <c:ptCount val="1"/>
                <c:pt idx="0">
                  <c:v>Solar fotovoltaica</c:v>
                </c:pt>
              </c:strCache>
            </c:strRef>
          </c:tx>
          <c:spPr>
            <a:solidFill>
              <a:srgbClr val="EE6112"/>
            </a:solidFill>
          </c:spPr>
          <c:invertIfNegative val="0"/>
          <c:val>
            <c:numRef>
              <c:f>Dat_01!$C$161:$O$161</c:f>
              <c:numCache>
                <c:formatCode>#,##0_);\(#,##0\)</c:formatCode>
                <c:ptCount val="13"/>
                <c:pt idx="0">
                  <c:v>34473.199999999997</c:v>
                </c:pt>
                <c:pt idx="1">
                  <c:v>19002.7</c:v>
                </c:pt>
                <c:pt idx="2">
                  <c:v>16033.9</c:v>
                </c:pt>
                <c:pt idx="3">
                  <c:v>28940.6</c:v>
                </c:pt>
                <c:pt idx="4">
                  <c:v>9850</c:v>
                </c:pt>
                <c:pt idx="5">
                  <c:v>23597.4</c:v>
                </c:pt>
                <c:pt idx="6">
                  <c:v>11181.5</c:v>
                </c:pt>
                <c:pt idx="7">
                  <c:v>28184.799999999999</c:v>
                </c:pt>
                <c:pt idx="8">
                  <c:v>17070.3</c:v>
                </c:pt>
                <c:pt idx="9">
                  <c:v>74426.899999999994</c:v>
                </c:pt>
                <c:pt idx="10">
                  <c:v>117687.5</c:v>
                </c:pt>
                <c:pt idx="11">
                  <c:v>774289.5</c:v>
                </c:pt>
                <c:pt idx="12">
                  <c:v>476231.7</c:v>
                </c:pt>
              </c:numCache>
            </c:numRef>
          </c:val>
          <c:extLst>
            <c:ext xmlns:c16="http://schemas.microsoft.com/office/drawing/2014/chart" uri="{C3380CC4-5D6E-409C-BE32-E72D297353CC}">
              <c16:uniqueId val="{00000014-FEB9-4654-8A2F-05F064C4D2EE}"/>
            </c:ext>
          </c:extLst>
        </c:ser>
        <c:ser>
          <c:idx val="10"/>
          <c:order val="11"/>
          <c:tx>
            <c:strRef>
              <c:f>Dat_01!$B$162</c:f>
              <c:strCache>
                <c:ptCount val="1"/>
                <c:pt idx="0">
                  <c:v>Solar térmica</c:v>
                </c:pt>
              </c:strCache>
            </c:strRef>
          </c:tx>
          <c:spPr>
            <a:solidFill>
              <a:srgbClr val="FF0000"/>
            </a:solidFill>
          </c:spPr>
          <c:invertIfNegative val="0"/>
          <c:val>
            <c:numRef>
              <c:f>Dat_01!$C$162:$O$162</c:f>
              <c:numCache>
                <c:formatCode>#,##0_);\(#,##0\)</c:formatCode>
                <c:ptCount val="13"/>
                <c:pt idx="0">
                  <c:v>45551.6</c:v>
                </c:pt>
                <c:pt idx="1">
                  <c:v>4378</c:v>
                </c:pt>
                <c:pt idx="2">
                  <c:v>4831.1000000000004</c:v>
                </c:pt>
                <c:pt idx="3">
                  <c:v>1321.5</c:v>
                </c:pt>
                <c:pt idx="4">
                  <c:v>3510.4</c:v>
                </c:pt>
                <c:pt idx="5">
                  <c:v>2970.4</c:v>
                </c:pt>
                <c:pt idx="6">
                  <c:v>6509.7</c:v>
                </c:pt>
                <c:pt idx="7">
                  <c:v>18812.8</c:v>
                </c:pt>
                <c:pt idx="8">
                  <c:v>4704.6000000000004</c:v>
                </c:pt>
                <c:pt idx="9">
                  <c:v>35576.1</c:v>
                </c:pt>
                <c:pt idx="10">
                  <c:v>41536</c:v>
                </c:pt>
                <c:pt idx="11">
                  <c:v>120438.3</c:v>
                </c:pt>
                <c:pt idx="12">
                  <c:v>162140.4</c:v>
                </c:pt>
              </c:numCache>
            </c:numRef>
          </c:val>
          <c:extLst>
            <c:ext xmlns:c16="http://schemas.microsoft.com/office/drawing/2014/chart" uri="{C3380CC4-5D6E-409C-BE32-E72D297353CC}">
              <c16:uniqueId val="{00000007-FEB9-4654-8A2F-05F064C4D2EE}"/>
            </c:ext>
          </c:extLst>
        </c:ser>
        <c:ser>
          <c:idx val="12"/>
          <c:order val="12"/>
          <c:tx>
            <c:strRef>
              <c:f>Dat_01!$B$155</c:f>
              <c:strCache>
                <c:ptCount val="1"/>
                <c:pt idx="0">
                  <c:v>Turbinación bombeo</c:v>
                </c:pt>
              </c:strCache>
              <c:extLst xmlns:c15="http://schemas.microsoft.com/office/drawing/2012/chart"/>
            </c:strRef>
          </c:tx>
          <c:spPr>
            <a:solidFill>
              <a:srgbClr val="95B3D7"/>
            </a:solidFill>
          </c:spPr>
          <c:invertIfNegative val="0"/>
          <c:val>
            <c:numRef>
              <c:f>Dat_01!$C$155:$O$155</c:f>
              <c:numCache>
                <c:formatCode>#,##0_);\(#,##0\)</c:formatCode>
                <c:ptCount val="13"/>
                <c:pt idx="0">
                  <c:v>0</c:v>
                </c:pt>
                <c:pt idx="1">
                  <c:v>464</c:v>
                </c:pt>
                <c:pt idx="2">
                  <c:v>0</c:v>
                </c:pt>
                <c:pt idx="3">
                  <c:v>1125.2</c:v>
                </c:pt>
                <c:pt idx="4">
                  <c:v>346.9</c:v>
                </c:pt>
                <c:pt idx="5">
                  <c:v>0</c:v>
                </c:pt>
                <c:pt idx="6">
                  <c:v>0</c:v>
                </c:pt>
                <c:pt idx="7">
                  <c:v>0</c:v>
                </c:pt>
                <c:pt idx="8">
                  <c:v>0</c:v>
                </c:pt>
                <c:pt idx="9">
                  <c:v>0</c:v>
                </c:pt>
                <c:pt idx="10">
                  <c:v>0</c:v>
                </c:pt>
                <c:pt idx="11">
                  <c:v>809</c:v>
                </c:pt>
                <c:pt idx="12">
                  <c:v>2955</c:v>
                </c:pt>
              </c:numCache>
              <c:extLst xmlns:c15="http://schemas.microsoft.com/office/drawing/2012/chart"/>
            </c:numRef>
          </c:val>
          <c:extLst xmlns:c15="http://schemas.microsoft.com/office/drawing/2012/chart">
            <c:ext xmlns:c16="http://schemas.microsoft.com/office/drawing/2014/chart" uri="{C3380CC4-5D6E-409C-BE32-E72D297353CC}">
              <c16:uniqueId val="{00000002-1FFE-4C90-A433-789CA179FE3A}"/>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3"/>
          <c:tx>
            <c:v>Precio medio subir</c:v>
          </c:tx>
          <c:spPr>
            <a:ln>
              <a:solidFill>
                <a:srgbClr val="004563"/>
              </a:solidFill>
            </a:ln>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18-FEB9-4654-8A2F-05F064C4D2EE}"/>
            </c:ext>
          </c:extLst>
        </c:ser>
        <c:ser>
          <c:idx val="9"/>
          <c:order val="14"/>
          <c:tx>
            <c:v>Precio medio bajar</c:v>
          </c:tx>
          <c:spPr>
            <a:ln>
              <a:solidFill>
                <a:srgbClr val="404040"/>
              </a:solidFill>
            </a:ln>
          </c:spPr>
          <c:marker>
            <c:symbol val="none"/>
          </c:marker>
          <c:val>
            <c:numRef>
              <c:f>Dat_01!$C$405:$O$405</c:f>
              <c:numCache>
                <c:formatCode>#,##0.00</c:formatCode>
                <c:ptCount val="13"/>
                <c:pt idx="0">
                  <c:v>86.755411534923098</c:v>
                </c:pt>
                <c:pt idx="1">
                  <c:v>67.661076487467895</c:v>
                </c:pt>
                <c:pt idx="2">
                  <c:v>62.673256377972102</c:v>
                </c:pt>
                <c:pt idx="3">
                  <c:v>92.273579922184197</c:v>
                </c:pt>
                <c:pt idx="4">
                  <c:v>93.843193179583494</c:v>
                </c:pt>
                <c:pt idx="5">
                  <c:v>83.688895800256105</c:v>
                </c:pt>
                <c:pt idx="6">
                  <c:v>97.485909316637105</c:v>
                </c:pt>
                <c:pt idx="7">
                  <c:v>34.835328728794003</c:v>
                </c:pt>
                <c:pt idx="8">
                  <c:v>15.943038258762799</c:v>
                </c:pt>
                <c:pt idx="9">
                  <c:v>4.9076739190594898</c:v>
                </c:pt>
                <c:pt idx="10">
                  <c:v>59.637616241593598</c:v>
                </c:pt>
                <c:pt idx="11">
                  <c:v>56.254842437116501</c:v>
                </c:pt>
                <c:pt idx="12">
                  <c:v>60.975264166524497</c:v>
                </c:pt>
              </c:numCache>
            </c:numRef>
          </c:val>
          <c:smooth val="0"/>
          <c:extLst>
            <c:ext xmlns:c16="http://schemas.microsoft.com/office/drawing/2014/chart" uri="{C3380CC4-5D6E-409C-BE32-E72D297353CC}">
              <c16:uniqueId val="{0000001A-FEB9-4654-8A2F-05F064C4D2EE}"/>
            </c:ext>
          </c:extLst>
        </c:ser>
        <c:dLbls>
          <c:showLegendKey val="0"/>
          <c:showVal val="0"/>
          <c:showCatName val="0"/>
          <c:showSerName val="0"/>
          <c:showPercent val="0"/>
          <c:showBubbleSize val="0"/>
        </c:dLbls>
        <c:marker val="1"/>
        <c:smooth val="0"/>
        <c:axId val="403141008"/>
        <c:axId val="403140616"/>
      </c:lineChart>
      <c:valAx>
        <c:axId val="403139832"/>
        <c:scaling>
          <c:orientation val="maxMin"/>
          <c:max val="2800000"/>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400000"/>
        <c:dispUnits>
          <c:builtInUnit val="thousands"/>
        </c:dispUnits>
      </c:valAx>
      <c:catAx>
        <c:axId val="403140224"/>
        <c:scaling>
          <c:orientation val="minMax"/>
        </c:scaling>
        <c:delete val="1"/>
        <c:axPos val="t"/>
        <c:numFmt formatCode="@" sourceLinked="1"/>
        <c:majorTickMark val="out"/>
        <c:minorTickMark val="none"/>
        <c:tickLblPos val="nextTo"/>
        <c:crossAx val="403139832"/>
        <c:crossesAt val="0"/>
        <c:auto val="1"/>
        <c:lblAlgn val="ctr"/>
        <c:lblOffset val="100"/>
        <c:noMultiLvlLbl val="0"/>
      </c:catAx>
      <c:valAx>
        <c:axId val="403140616"/>
        <c:scaling>
          <c:orientation val="maxMin"/>
          <c:max val="21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30"/>
      </c:valAx>
      <c:catAx>
        <c:axId val="403141008"/>
        <c:scaling>
          <c:orientation val="minMax"/>
        </c:scaling>
        <c:delete val="1"/>
        <c:axPos val="t"/>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legend>
      <c:legendPos val="b"/>
      <c:layout>
        <c:manualLayout>
          <c:xMode val="edge"/>
          <c:yMode val="edge"/>
          <c:x val="3.0574463281324311E-2"/>
          <c:y val="0.81043367270114031"/>
          <c:w val="0.91561281264044192"/>
          <c:h val="0.18956635963537222"/>
        </c:manualLayout>
      </c:layout>
      <c:overlay val="0"/>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Potencia media a subir</c:v>
          </c:tx>
          <c:spPr>
            <a:solidFill>
              <a:srgbClr val="007AB0"/>
            </a:solidFill>
            <a:ln>
              <a:noFill/>
            </a:ln>
            <a:effectLst/>
          </c:spPr>
          <c:invertIfNegative val="0"/>
          <c:cat>
            <c:strRef>
              <c:f>Dat_01!$B$180:$N$180</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Dat_01!$B$183:$N$183</c:f>
              <c:numCache>
                <c:formatCode>#,##0</c:formatCode>
                <c:ptCount val="13"/>
                <c:pt idx="0">
                  <c:v>896.60181451613005</c:v>
                </c:pt>
                <c:pt idx="1">
                  <c:v>904.94791666666754</c:v>
                </c:pt>
                <c:pt idx="2">
                  <c:v>1016.824496644295</c:v>
                </c:pt>
                <c:pt idx="3">
                  <c:v>1105.60625</c:v>
                </c:pt>
                <c:pt idx="4">
                  <c:v>1182.3212365591401</c:v>
                </c:pt>
                <c:pt idx="5">
                  <c:v>1150.9126344086026</c:v>
                </c:pt>
                <c:pt idx="6">
                  <c:v>1147.5163690476199</c:v>
                </c:pt>
                <c:pt idx="7">
                  <c:v>1173.7688425302824</c:v>
                </c:pt>
                <c:pt idx="8">
                  <c:v>1181.7873427672951</c:v>
                </c:pt>
                <c:pt idx="9">
                  <c:v>1193.7315188172049</c:v>
                </c:pt>
                <c:pt idx="10">
                  <c:v>1196.7270833333325</c:v>
                </c:pt>
                <c:pt idx="11">
                  <c:v>1194.8914650537624</c:v>
                </c:pt>
                <c:pt idx="12">
                  <c:v>1193.3899305555551</c:v>
                </c:pt>
              </c:numCache>
            </c:numRef>
          </c:val>
          <c:extLst>
            <c:ext xmlns:c16="http://schemas.microsoft.com/office/drawing/2014/chart" uri="{C3380CC4-5D6E-409C-BE32-E72D297353CC}">
              <c16:uniqueId val="{00000000-1A52-4BC0-AA03-7CD9557E0882}"/>
            </c:ext>
          </c:extLst>
        </c:ser>
        <c:dLbls>
          <c:showLegendKey val="0"/>
          <c:showVal val="0"/>
          <c:showCatName val="0"/>
          <c:showSerName val="0"/>
          <c:showPercent val="0"/>
          <c:showBubbleSize val="0"/>
        </c:dLbls>
        <c:gapWidth val="150"/>
        <c:overlap val="100"/>
        <c:axId val="403141792"/>
        <c:axId val="403142184"/>
      </c:barChart>
      <c:lineChart>
        <c:grouping val="standard"/>
        <c:varyColors val="0"/>
        <c:ser>
          <c:idx val="2"/>
          <c:order val="1"/>
          <c:tx>
            <c:v>Potencia media a bajar</c:v>
          </c:tx>
          <c:spPr>
            <a:ln w="28575" cap="rnd">
              <a:solidFill>
                <a:srgbClr val="004563"/>
              </a:solidFill>
              <a:round/>
            </a:ln>
            <a:effectLst/>
          </c:spPr>
          <c:marker>
            <c:symbol val="none"/>
          </c:marker>
          <c:cat>
            <c:strRef>
              <c:f>Dat_01!$C$130:$O$130</c:f>
              <c:strCache>
                <c:ptCount val="13"/>
                <c:pt idx="0">
                  <c:v>A</c:v>
                </c:pt>
                <c:pt idx="1">
                  <c:v>S</c:v>
                </c:pt>
                <c:pt idx="2">
                  <c:v>O</c:v>
                </c:pt>
                <c:pt idx="3">
                  <c:v>N</c:v>
                </c:pt>
                <c:pt idx="4">
                  <c:v>D</c:v>
                </c:pt>
                <c:pt idx="5">
                  <c:v>E</c:v>
                </c:pt>
                <c:pt idx="6">
                  <c:v>F</c:v>
                </c:pt>
                <c:pt idx="7">
                  <c:v>M</c:v>
                </c:pt>
                <c:pt idx="8">
                  <c:v>A</c:v>
                </c:pt>
                <c:pt idx="9">
                  <c:v>M</c:v>
                </c:pt>
                <c:pt idx="10">
                  <c:v>J</c:v>
                </c:pt>
                <c:pt idx="11">
                  <c:v>J</c:v>
                </c:pt>
                <c:pt idx="12">
                  <c:v>A</c:v>
                </c:pt>
              </c:strCache>
            </c:strRef>
          </c:cat>
          <c:val>
            <c:numRef>
              <c:f>Dat_01!$B$185:$N$185</c:f>
              <c:numCache>
                <c:formatCode>#,##0;\(#,##0\)</c:formatCode>
                <c:ptCount val="13"/>
              </c:numCache>
            </c:numRef>
          </c:val>
          <c:smooth val="0"/>
          <c:extLst>
            <c:ext xmlns:c16="http://schemas.microsoft.com/office/drawing/2014/chart" uri="{C3380CC4-5D6E-409C-BE32-E72D297353CC}">
              <c16:uniqueId val="{00000001-1A52-4BC0-AA03-7CD9557E0882}"/>
            </c:ext>
          </c:extLst>
        </c:ser>
        <c:ser>
          <c:idx val="1"/>
          <c:order val="2"/>
          <c:tx>
            <c:v>Precio</c:v>
          </c:tx>
          <c:spPr>
            <a:ln w="28575" cap="rnd">
              <a:solidFill>
                <a:srgbClr val="004563"/>
              </a:solidFill>
              <a:round/>
            </a:ln>
            <a:effectLst/>
          </c:spPr>
          <c:marker>
            <c:symbol val="none"/>
          </c:marker>
          <c:val>
            <c:numRef>
              <c:f>Dat_01!$C$413:$O$413</c:f>
              <c:numCache>
                <c:formatCode>#,##0.00</c:formatCode>
                <c:ptCount val="13"/>
                <c:pt idx="0">
                  <c:v>27.663462874068198</c:v>
                </c:pt>
                <c:pt idx="1">
                  <c:v>32.211216648838501</c:v>
                </c:pt>
                <c:pt idx="2">
                  <c:v>40.765020854696999</c:v>
                </c:pt>
                <c:pt idx="3">
                  <c:v>38.264322053250702</c:v>
                </c:pt>
                <c:pt idx="4">
                  <c:v>57.252702504527399</c:v>
                </c:pt>
                <c:pt idx="5">
                  <c:v>51.890255956294602</c:v>
                </c:pt>
                <c:pt idx="6">
                  <c:v>67.585589426439896</c:v>
                </c:pt>
                <c:pt idx="7">
                  <c:v>35.528474628064501</c:v>
                </c:pt>
                <c:pt idx="8">
                  <c:v>21.1892065470701</c:v>
                </c:pt>
                <c:pt idx="9">
                  <c:v>11.032690490901601</c:v>
                </c:pt>
                <c:pt idx="10">
                  <c:v>20.2973648266365</c:v>
                </c:pt>
                <c:pt idx="11">
                  <c:v>34.114137925313202</c:v>
                </c:pt>
                <c:pt idx="12">
                  <c:v>35.031649862550204</c:v>
                </c:pt>
              </c:numCache>
            </c:numRef>
          </c:val>
          <c:smooth val="0"/>
          <c:extLst>
            <c:ext xmlns:c16="http://schemas.microsoft.com/office/drawing/2014/chart" uri="{C3380CC4-5D6E-409C-BE32-E72D297353CC}">
              <c16:uniqueId val="{00000001-6995-4BE8-A39A-4189507332EF}"/>
            </c:ext>
          </c:extLst>
        </c:ser>
        <c:dLbls>
          <c:showLegendKey val="0"/>
          <c:showVal val="0"/>
          <c:showCatName val="0"/>
          <c:showSerName val="0"/>
          <c:showPercent val="0"/>
          <c:showBubbleSize val="0"/>
        </c:dLbls>
        <c:marker val="1"/>
        <c:smooth val="0"/>
        <c:axId val="403142968"/>
        <c:axId val="403142576"/>
      </c:lineChart>
      <c:catAx>
        <c:axId val="403141792"/>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184"/>
        <c:crosses val="autoZero"/>
        <c:auto val="1"/>
        <c:lblAlgn val="ctr"/>
        <c:lblOffset val="100"/>
        <c:noMultiLvlLbl val="1"/>
      </c:catAx>
      <c:valAx>
        <c:axId val="403142184"/>
        <c:scaling>
          <c:orientation val="minMax"/>
          <c:max val="120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solidFill>
              <a:srgbClr val="000000"/>
            </a:solidFill>
          </a:ln>
          <a:effectLst/>
        </c:spPr>
        <c:txPr>
          <a:bodyPr rot="-60000000" spcFirstLastPara="1" vertOverflow="ellipsis" vert="horz" wrap="square" anchor="ctr" anchorCtr="1"/>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3141792"/>
        <c:crosses val="autoZero"/>
        <c:crossBetween val="between"/>
        <c:majorUnit val="200"/>
      </c:valAx>
      <c:valAx>
        <c:axId val="403142576"/>
        <c:scaling>
          <c:orientation val="minMax"/>
          <c:max val="72"/>
        </c:scaling>
        <c:delete val="0"/>
        <c:axPos val="r"/>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0.94481793598262565"/>
              <c:y val="2.204686185336850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968"/>
        <c:crosses val="max"/>
        <c:crossBetween val="between"/>
        <c:majorUnit val="12"/>
      </c:valAx>
      <c:catAx>
        <c:axId val="403142968"/>
        <c:scaling>
          <c:orientation val="minMax"/>
        </c:scaling>
        <c:delete val="1"/>
        <c:axPos val="b"/>
        <c:numFmt formatCode="General" sourceLinked="1"/>
        <c:majorTickMark val="out"/>
        <c:minorTickMark val="none"/>
        <c:tickLblPos val="nextTo"/>
        <c:crossAx val="40314257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8.xml"/><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0.xml"/><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2.xml"/><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4.xml"/><Relationship Id="rId1"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6.xml"/><Relationship Id="rId1" Type="http://schemas.openxmlformats.org/officeDocument/2006/relationships/chart" Target="../charts/chart15.xml"/></Relationships>
</file>

<file path=xl/drawings/_rels/drawing2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8.xml"/><Relationship Id="rId1"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0.xml"/><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2</xdr:col>
      <xdr:colOff>22860</xdr:colOff>
      <xdr:row>5</xdr:row>
      <xdr:rowOff>38099</xdr:rowOff>
    </xdr:from>
    <xdr:to>
      <xdr:col>2</xdr:col>
      <xdr:colOff>1066800</xdr:colOff>
      <xdr:row>22</xdr:row>
      <xdr:rowOff>19049</xdr:rowOff>
    </xdr:to>
    <xdr:pic>
      <xdr:nvPicPr>
        <xdr:cNvPr id="2" name="Picture 3">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1">
          <a:lum bright="4000"/>
          <a:grayscl/>
          <a:extLst>
            <a:ext uri="{28A0092B-C50C-407E-A947-70E740481C1C}">
              <a14:useLocalDpi xmlns:a14="http://schemas.microsoft.com/office/drawing/2010/main" val="0"/>
            </a:ext>
          </a:extLst>
        </a:blip>
        <a:srcRect/>
        <a:stretch>
          <a:fillRect/>
        </a:stretch>
      </xdr:blipFill>
      <xdr:spPr bwMode="auto">
        <a:xfrm>
          <a:off x="213360" y="876299"/>
          <a:ext cx="1043940" cy="235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60067</xdr:colOff>
      <xdr:row>3</xdr:row>
      <xdr:rowOff>0</xdr:rowOff>
    </xdr:from>
    <xdr:to>
      <xdr:col>5</xdr:col>
      <xdr:colOff>4287</xdr:colOff>
      <xdr:row>3</xdr:row>
      <xdr:rowOff>4289</xdr:rowOff>
    </xdr:to>
    <xdr:sp macro="" textlink="">
      <xdr:nvSpPr>
        <xdr:cNvPr id="4" name="Line 7">
          <a:extLst>
            <a:ext uri="{FF2B5EF4-FFF2-40B4-BE49-F238E27FC236}">
              <a16:creationId xmlns:a16="http://schemas.microsoft.com/office/drawing/2014/main" id="{00000000-0008-0000-0100-000004000000}"/>
            </a:ext>
          </a:extLst>
        </xdr:cNvPr>
        <xdr:cNvSpPr>
          <a:spLocks noChangeShapeType="1"/>
        </xdr:cNvSpPr>
      </xdr:nvSpPr>
      <xdr:spPr bwMode="auto">
        <a:xfrm flipH="1" flipV="1">
          <a:off x="266013" y="459088"/>
          <a:ext cx="8083375" cy="428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19050</xdr:colOff>
      <xdr:row>1</xdr:row>
      <xdr:rowOff>95250</xdr:rowOff>
    </xdr:from>
    <xdr:to>
      <xdr:col>4</xdr:col>
      <xdr:colOff>371474</xdr:colOff>
      <xdr:row>2</xdr:row>
      <xdr:rowOff>46349</xdr:rowOff>
    </xdr:to>
    <xdr:pic>
      <xdr:nvPicPr>
        <xdr:cNvPr id="5" name="Imagen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9075" y="1047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0.10865</cdr:y>
    </cdr:from>
    <cdr:to>
      <cdr:x>0.07221</cdr:x>
      <cdr:y>0.1806</cdr:y>
    </cdr:to>
    <cdr:sp macro="" textlink="">
      <cdr:nvSpPr>
        <cdr:cNvPr id="2" name="CuadroTexto 1"/>
        <cdr:cNvSpPr txBox="1"/>
      </cdr:nvSpPr>
      <cdr:spPr>
        <a:xfrm xmlns:a="http://schemas.openxmlformats.org/drawingml/2006/main">
          <a:off x="0" y="317500"/>
          <a:ext cx="509627" cy="21025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0.6536</cdr:x>
      <cdr:y>0.92776</cdr:y>
    </cdr:from>
    <cdr:to>
      <cdr:x>0.74403</cdr:x>
      <cdr:y>0.9887</cdr:y>
    </cdr:to>
    <cdr:sp macro="" textlink="">
      <cdr:nvSpPr>
        <cdr:cNvPr id="3" name="CuadroTexto 1"/>
        <cdr:cNvSpPr txBox="1"/>
      </cdr:nvSpPr>
      <cdr:spPr>
        <a:xfrm xmlns:a="http://schemas.openxmlformats.org/drawingml/2006/main">
          <a:off x="4624736" y="2708174"/>
          <a:ext cx="639863" cy="17788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0.20653</cdr:x>
      <cdr:y>0.93466</cdr:y>
    </cdr:from>
    <cdr:to>
      <cdr:x>0.28634</cdr:x>
      <cdr:y>0.99982</cdr:y>
    </cdr:to>
    <cdr:sp macro="" textlink="">
      <cdr:nvSpPr>
        <cdr:cNvPr id="4" name="CuadroTexto 1"/>
        <cdr:cNvSpPr txBox="1"/>
      </cdr:nvSpPr>
      <cdr:spPr>
        <a:xfrm xmlns:a="http://schemas.openxmlformats.org/drawingml/2006/main">
          <a:off x="1461370" y="2728301"/>
          <a:ext cx="564718" cy="19020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2024</a:t>
          </a:r>
        </a:p>
      </cdr:txBody>
    </cdr:sp>
  </cdr:relSizeAnchor>
</c:userShapes>
</file>

<file path=xl/drawings/drawing11.xml><?xml version="1.0" encoding="utf-8"?>
<xdr:wsDr xmlns:xdr="http://schemas.openxmlformats.org/drawingml/2006/spreadsheetDrawing" xmlns:a="http://schemas.openxmlformats.org/drawingml/2006/main">
  <xdr:twoCellAnchor editAs="absolute">
    <xdr:from>
      <xdr:col>2</xdr:col>
      <xdr:colOff>15238</xdr:colOff>
      <xdr:row>3</xdr:row>
      <xdr:rowOff>28574</xdr:rowOff>
    </xdr:from>
    <xdr:to>
      <xdr:col>6</xdr:col>
      <xdr:colOff>1207213</xdr:colOff>
      <xdr:row>3</xdr:row>
      <xdr:rowOff>30477</xdr:rowOff>
    </xdr:to>
    <xdr:sp macro="" textlink="">
      <xdr:nvSpPr>
        <xdr:cNvPr id="4" name="Line 10">
          <a:extLst>
            <a:ext uri="{FF2B5EF4-FFF2-40B4-BE49-F238E27FC236}">
              <a16:creationId xmlns:a16="http://schemas.microsoft.com/office/drawing/2014/main" id="{00000000-0008-0000-0900-000004000000}"/>
            </a:ext>
          </a:extLst>
        </xdr:cNvPr>
        <xdr:cNvSpPr>
          <a:spLocks noChangeShapeType="1"/>
        </xdr:cNvSpPr>
      </xdr:nvSpPr>
      <xdr:spPr bwMode="auto">
        <a:xfrm flipH="1">
          <a:off x="205738" y="485774"/>
          <a:ext cx="7488000" cy="190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28575</xdr:colOff>
      <xdr:row>1</xdr:row>
      <xdr:rowOff>133350</xdr:rowOff>
    </xdr:from>
    <xdr:to>
      <xdr:col>4</xdr:col>
      <xdr:colOff>123824</xdr:colOff>
      <xdr:row>2</xdr:row>
      <xdr:rowOff>84449</xdr:rowOff>
    </xdr:to>
    <xdr:pic>
      <xdr:nvPicPr>
        <xdr:cNvPr id="5" name="Imagen 4">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3</xdr:col>
      <xdr:colOff>74295</xdr:colOff>
      <xdr:row>6</xdr:row>
      <xdr:rowOff>15240</xdr:rowOff>
    </xdr:from>
    <xdr:to>
      <xdr:col>5</xdr:col>
      <xdr:colOff>7620</xdr:colOff>
      <xdr:row>24</xdr:row>
      <xdr:rowOff>171450</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4" name="Line 10">
          <a:extLst>
            <a:ext uri="{FF2B5EF4-FFF2-40B4-BE49-F238E27FC236}">
              <a16:creationId xmlns:a16="http://schemas.microsoft.com/office/drawing/2014/main" id="{00000000-0008-0000-0A00-000004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38100</xdr:colOff>
      <xdr:row>1</xdr:row>
      <xdr:rowOff>123825</xdr:rowOff>
    </xdr:from>
    <xdr:to>
      <xdr:col>4</xdr:col>
      <xdr:colOff>133349</xdr:colOff>
      <xdr:row>2</xdr:row>
      <xdr:rowOff>74924</xdr:rowOff>
    </xdr:to>
    <xdr:pic>
      <xdr:nvPicPr>
        <xdr:cNvPr id="5" name="Imagen 4">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c:userShapes xmlns:c="http://schemas.openxmlformats.org/drawingml/2006/chart">
  <cdr:relSizeAnchor xmlns:cdr="http://schemas.openxmlformats.org/drawingml/2006/chartDrawing">
    <cdr:from>
      <cdr:x>0.01125</cdr:x>
      <cdr:y>0.09098</cdr:y>
    </cdr:from>
    <cdr:to>
      <cdr:x>0.06714</cdr:x>
      <cdr:y>0.16183</cdr:y>
    </cdr:to>
    <cdr:sp macro="" textlink="">
      <cdr:nvSpPr>
        <cdr:cNvPr id="2" name="CuadroTexto 5"/>
        <cdr:cNvSpPr txBox="1"/>
      </cdr:nvSpPr>
      <cdr:spPr>
        <a:xfrm xmlns:a="http://schemas.openxmlformats.org/drawingml/2006/main">
          <a:off x="79375" y="279400"/>
          <a:ext cx="394532" cy="217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GWh</a:t>
          </a:r>
        </a:p>
      </cdr:txBody>
    </cdr:sp>
  </cdr:relSizeAnchor>
</c:userShapes>
</file>

<file path=xl/drawings/drawing14.xml><?xml version="1.0" encoding="utf-8"?>
<xdr:wsDr xmlns:xdr="http://schemas.openxmlformats.org/drawingml/2006/spreadsheetDrawing" xmlns:a="http://schemas.openxmlformats.org/drawingml/2006/main">
  <xdr:twoCellAnchor>
    <xdr:from>
      <xdr:col>1</xdr:col>
      <xdr:colOff>1488281</xdr:colOff>
      <xdr:row>5</xdr:row>
      <xdr:rowOff>119062</xdr:rowOff>
    </xdr:from>
    <xdr:to>
      <xdr:col>11</xdr:col>
      <xdr:colOff>693150</xdr:colOff>
      <xdr:row>21</xdr:row>
      <xdr:rowOff>29766</xdr:rowOff>
    </xdr:to>
    <xdr:graphicFrame macro="">
      <xdr:nvGraphicFramePr>
        <xdr:cNvPr id="6" name="Chart 4">
          <a:extLst>
            <a:ext uri="{FF2B5EF4-FFF2-40B4-BE49-F238E27FC236}">
              <a16:creationId xmlns:a16="http://schemas.microsoft.com/office/drawing/2014/main"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1482587</xdr:colOff>
      <xdr:row>21</xdr:row>
      <xdr:rowOff>1</xdr:rowOff>
    </xdr:from>
    <xdr:to>
      <xdr:col>11</xdr:col>
      <xdr:colOff>687456</xdr:colOff>
      <xdr:row>36</xdr:row>
      <xdr:rowOff>41387</xdr:rowOff>
    </xdr:to>
    <xdr:graphicFrame macro="">
      <xdr:nvGraphicFramePr>
        <xdr:cNvPr id="3" name="Chart 4">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B00-000005000000}"/>
            </a:ext>
          </a:extLst>
        </xdr:cNvPr>
        <xdr:cNvSpPr>
          <a:spLocks noChangeShapeType="1"/>
        </xdr:cNvSpPr>
      </xdr:nvSpPr>
      <xdr:spPr bwMode="auto">
        <a:xfrm flipH="1" flipV="1">
          <a:off x="165943" y="352185"/>
          <a:ext cx="9209968"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8</xdr:col>
      <xdr:colOff>462313</xdr:colOff>
      <xdr:row>20</xdr:row>
      <xdr:rowOff>56446</xdr:rowOff>
    </xdr:from>
    <xdr:to>
      <xdr:col>9</xdr:col>
      <xdr:colOff>89377</xdr:colOff>
      <xdr:row>21</xdr:row>
      <xdr:rowOff>55918</xdr:rowOff>
    </xdr:to>
    <xdr:sp macro="" textlink="">
      <xdr:nvSpPr>
        <xdr:cNvPr id="7" name="CuadroTexto 6">
          <a:extLst>
            <a:ext uri="{FF2B5EF4-FFF2-40B4-BE49-F238E27FC236}">
              <a16:creationId xmlns:a16="http://schemas.microsoft.com/office/drawing/2014/main" id="{00000000-0008-0000-0B00-000007000000}"/>
            </a:ext>
          </a:extLst>
        </xdr:cNvPr>
        <xdr:cNvSpPr txBox="1"/>
      </xdr:nvSpPr>
      <xdr:spPr>
        <a:xfrm>
          <a:off x="6788351" y="3291352"/>
          <a:ext cx="399847" cy="161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s-ES" sz="800">
              <a:solidFill>
                <a:srgbClr val="004563"/>
              </a:solidFill>
              <a:latin typeface="Arial" panose="020B0604020202020204" pitchFamily="34" charset="0"/>
              <a:cs typeface="Arial" panose="020B0604020202020204" pitchFamily="34" charset="0"/>
            </a:rPr>
            <a:t>2025</a:t>
          </a:r>
        </a:p>
      </xdr:txBody>
    </xdr:sp>
    <xdr:clientData/>
  </xdr:twoCellAnchor>
  <xdr:twoCellAnchor editAs="oneCell">
    <xdr:from>
      <xdr:col>1</xdr:col>
      <xdr:colOff>9525</xdr:colOff>
      <xdr:row>0</xdr:row>
      <xdr:rowOff>38100</xdr:rowOff>
    </xdr:from>
    <xdr:to>
      <xdr:col>2</xdr:col>
      <xdr:colOff>190499</xdr:colOff>
      <xdr:row>1</xdr:row>
      <xdr:rowOff>93974</xdr:rowOff>
    </xdr:to>
    <xdr:pic>
      <xdr:nvPicPr>
        <xdr:cNvPr id="8" name="Imagen 7">
          <a:extLst>
            <a:ext uri="{FF2B5EF4-FFF2-40B4-BE49-F238E27FC236}">
              <a16:creationId xmlns:a16="http://schemas.microsoft.com/office/drawing/2014/main" id="{00000000-0008-0000-0B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c:userShapes xmlns:c="http://schemas.openxmlformats.org/drawingml/2006/chart">
  <cdr:relSizeAnchor xmlns:cdr="http://schemas.openxmlformats.org/drawingml/2006/chartDrawing">
    <cdr:from>
      <cdr:x>0.40165</cdr:x>
      <cdr:y>0.13139</cdr:y>
    </cdr:from>
    <cdr:to>
      <cdr:x>0.4029</cdr:x>
      <cdr:y>0.8475</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3076830" y="328286"/>
          <a:ext cx="9575" cy="178929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0.21481</cdr:x>
      <cdr:y>0.93728</cdr:y>
    </cdr:from>
    <cdr:to>
      <cdr:x>0.25357</cdr:x>
      <cdr:y>0.99873</cdr:y>
    </cdr:to>
    <cdr:sp macro="" textlink="">
      <cdr:nvSpPr>
        <cdr:cNvPr id="4" name="CuadroTexto 6">
          <a:extLst xmlns:a="http://schemas.openxmlformats.org/drawingml/2006/main">
            <a:ext uri="{FF2B5EF4-FFF2-40B4-BE49-F238E27FC236}">
              <a16:creationId xmlns:a16="http://schemas.microsoft.com/office/drawing/2014/main" id="{62B46BC2-1008-478C-A573-17A95B031C19}"/>
            </a:ext>
          </a:extLst>
        </cdr:cNvPr>
        <cdr:cNvSpPr txBox="1"/>
      </cdr:nvSpPr>
      <cdr:spPr>
        <a:xfrm xmlns:a="http://schemas.openxmlformats.org/drawingml/2006/main">
          <a:off x="1645533" y="2341922"/>
          <a:ext cx="296923" cy="15354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2024</a:t>
          </a:r>
        </a:p>
      </cdr:txBody>
    </cdr:sp>
  </cdr:relSizeAnchor>
</c:userShapes>
</file>

<file path=xl/drawings/drawing16.xml><?xml version="1.0" encoding="utf-8"?>
<c:userShapes xmlns:c="http://schemas.openxmlformats.org/drawingml/2006/chart">
  <cdr:relSizeAnchor xmlns:cdr="http://schemas.openxmlformats.org/drawingml/2006/chartDrawing">
    <cdr:from>
      <cdr:x>0.40474</cdr:x>
      <cdr:y>0.06869</cdr:y>
    </cdr:from>
    <cdr:to>
      <cdr:x>0.40482</cdr:x>
      <cdr:y>0.77279</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V="1">
          <a:off x="3100501" y="169505"/>
          <a:ext cx="612" cy="173741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17.xml><?xml version="1.0" encoding="utf-8"?>
<xdr:wsDr xmlns:xdr="http://schemas.openxmlformats.org/drawingml/2006/spreadsheetDrawing" xmlns:a="http://schemas.openxmlformats.org/drawingml/2006/main">
  <xdr:twoCellAnchor>
    <xdr:from>
      <xdr:col>2</xdr:col>
      <xdr:colOff>3314</xdr:colOff>
      <xdr:row>6</xdr:row>
      <xdr:rowOff>41412</xdr:rowOff>
    </xdr:from>
    <xdr:to>
      <xdr:col>11</xdr:col>
      <xdr:colOff>670892</xdr:colOff>
      <xdr:row>20</xdr:row>
      <xdr:rowOff>91108</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2375</xdr:colOff>
      <xdr:row>19</xdr:row>
      <xdr:rowOff>149087</xdr:rowOff>
    </xdr:from>
    <xdr:to>
      <xdr:col>11</xdr:col>
      <xdr:colOff>670892</xdr:colOff>
      <xdr:row>30</xdr:row>
      <xdr:rowOff>74544</xdr:rowOff>
    </xdr:to>
    <xdr:graphicFrame macro="">
      <xdr:nvGraphicFramePr>
        <xdr:cNvPr id="3" name="Chart 4">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165942</xdr:colOff>
      <xdr:row>2</xdr:row>
      <xdr:rowOff>20880</xdr:rowOff>
    </xdr:from>
    <xdr:to>
      <xdr:col>11</xdr:col>
      <xdr:colOff>742949</xdr:colOff>
      <xdr:row>2</xdr:row>
      <xdr:rowOff>57149</xdr:rowOff>
    </xdr:to>
    <xdr:sp macro="" textlink="">
      <xdr:nvSpPr>
        <xdr:cNvPr id="5" name="Line 7">
          <a:extLst>
            <a:ext uri="{FF2B5EF4-FFF2-40B4-BE49-F238E27FC236}">
              <a16:creationId xmlns:a16="http://schemas.microsoft.com/office/drawing/2014/main" id="{00000000-0008-0000-0C00-000005000000}"/>
            </a:ext>
          </a:extLst>
        </xdr:cNvPr>
        <xdr:cNvSpPr>
          <a:spLocks noChangeShapeType="1"/>
        </xdr:cNvSpPr>
      </xdr:nvSpPr>
      <xdr:spPr bwMode="auto">
        <a:xfrm flipH="1" flipV="1">
          <a:off x="165942" y="344730"/>
          <a:ext cx="9073307" cy="3626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0</xdr:colOff>
      <xdr:row>0</xdr:row>
      <xdr:rowOff>28575</xdr:rowOff>
    </xdr:from>
    <xdr:to>
      <xdr:col>2</xdr:col>
      <xdr:colOff>314324</xdr:colOff>
      <xdr:row>1</xdr:row>
      <xdr:rowOff>84449</xdr:rowOff>
    </xdr:to>
    <xdr:pic>
      <xdr:nvPicPr>
        <xdr:cNvPr id="6" name="Imagen 5">
          <a:extLst>
            <a:ext uri="{FF2B5EF4-FFF2-40B4-BE49-F238E27FC236}">
              <a16:creationId xmlns:a16="http://schemas.microsoft.com/office/drawing/2014/main" id="{00000000-0008-0000-0C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285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c:userShapes xmlns:c="http://schemas.openxmlformats.org/drawingml/2006/chart">
  <cdr:relSizeAnchor xmlns:cdr="http://schemas.openxmlformats.org/drawingml/2006/chartDrawing">
    <cdr:from>
      <cdr:x>0.40485</cdr:x>
      <cdr:y>0.1331</cdr:y>
    </cdr:from>
    <cdr:to>
      <cdr:x>0.40559</cdr:x>
      <cdr:y>0.82415</cdr:y>
    </cdr:to>
    <cdr:cxnSp macro="">
      <cdr:nvCxnSpPr>
        <cdr:cNvPr id="2" name="Conector recto 1">
          <a:extLst xmlns:a="http://schemas.openxmlformats.org/drawingml/2006/main">
            <a:ext uri="{FF2B5EF4-FFF2-40B4-BE49-F238E27FC236}">
              <a16:creationId xmlns:a16="http://schemas.microsoft.com/office/drawing/2014/main" id="{D16DB130-295B-4609-933E-9EDA315F24A0}"/>
            </a:ext>
          </a:extLst>
        </cdr:cNvPr>
        <cdr:cNvCxnSpPr/>
      </cdr:nvCxnSpPr>
      <cdr:spPr bwMode="auto">
        <a:xfrm xmlns:a="http://schemas.openxmlformats.org/drawingml/2006/main" flipH="1" flipV="1">
          <a:off x="3050613" y="308346"/>
          <a:ext cx="5576" cy="160091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0.68628</cdr:x>
      <cdr:y>0.88689</cdr:y>
    </cdr:from>
    <cdr:to>
      <cdr:x>0.76108</cdr:x>
      <cdr:y>0.96548</cdr:y>
    </cdr:to>
    <cdr:sp macro="" textlink="">
      <cdr:nvSpPr>
        <cdr:cNvPr id="4" name="CuadroTexto 1"/>
        <cdr:cNvSpPr txBox="1"/>
      </cdr:nvSpPr>
      <cdr:spPr>
        <a:xfrm xmlns:a="http://schemas.openxmlformats.org/drawingml/2006/main">
          <a:off x="5311109" y="2118816"/>
          <a:ext cx="578873" cy="1877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0.24335</cdr:x>
      <cdr:y>0.88108</cdr:y>
    </cdr:from>
    <cdr:to>
      <cdr:x>0.31815</cdr:x>
      <cdr:y>0.95967</cdr:y>
    </cdr:to>
    <cdr:sp macro="" textlink="">
      <cdr:nvSpPr>
        <cdr:cNvPr id="5" name="CuadroTexto 1"/>
        <cdr:cNvSpPr txBox="1"/>
      </cdr:nvSpPr>
      <cdr:spPr>
        <a:xfrm xmlns:a="http://schemas.openxmlformats.org/drawingml/2006/main">
          <a:off x="1883279" y="2104932"/>
          <a:ext cx="578872" cy="1877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19.xml><?xml version="1.0" encoding="utf-8"?>
<c:userShapes xmlns:c="http://schemas.openxmlformats.org/drawingml/2006/chart">
  <cdr:relSizeAnchor xmlns:cdr="http://schemas.openxmlformats.org/drawingml/2006/chartDrawing">
    <cdr:from>
      <cdr:x>0.40327</cdr:x>
      <cdr:y>0.03648</cdr:y>
    </cdr:from>
    <cdr:to>
      <cdr:x>0.40354</cdr:x>
      <cdr:y>0.86474</cdr:y>
    </cdr:to>
    <cdr:cxnSp macro="">
      <cdr:nvCxnSpPr>
        <cdr:cNvPr id="2" name="Conector recto 1">
          <a:extLst xmlns:a="http://schemas.openxmlformats.org/drawingml/2006/main">
            <a:ext uri="{FF2B5EF4-FFF2-40B4-BE49-F238E27FC236}">
              <a16:creationId xmlns:a16="http://schemas.microsoft.com/office/drawing/2014/main" id="{337CA4D8-91EF-47E8-8DA5-5815FBB8BE63}"/>
            </a:ext>
          </a:extLst>
        </cdr:cNvPr>
        <cdr:cNvCxnSpPr/>
      </cdr:nvCxnSpPr>
      <cdr:spPr bwMode="auto">
        <a:xfrm xmlns:a="http://schemas.openxmlformats.org/drawingml/2006/main" flipV="1">
          <a:off x="3039045" y="62258"/>
          <a:ext cx="2034" cy="141353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160020</xdr:colOff>
      <xdr:row>3</xdr:row>
      <xdr:rowOff>0</xdr:rowOff>
    </xdr:from>
    <xdr:to>
      <xdr:col>11</xdr:col>
      <xdr:colOff>695325</xdr:colOff>
      <xdr:row>3</xdr:row>
      <xdr:rowOff>3810</xdr:rowOff>
    </xdr:to>
    <xdr:sp macro="" textlink="">
      <xdr:nvSpPr>
        <xdr:cNvPr id="4" name="Line 7">
          <a:extLst>
            <a:ext uri="{FF2B5EF4-FFF2-40B4-BE49-F238E27FC236}">
              <a16:creationId xmlns:a16="http://schemas.microsoft.com/office/drawing/2014/main" id="{00000000-0008-0000-0200-000004000000}"/>
            </a:ext>
          </a:extLst>
        </xdr:cNvPr>
        <xdr:cNvSpPr>
          <a:spLocks noChangeShapeType="1"/>
        </xdr:cNvSpPr>
      </xdr:nvSpPr>
      <xdr:spPr bwMode="auto">
        <a:xfrm flipH="1">
          <a:off x="160020" y="457200"/>
          <a:ext cx="7536180"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0</xdr:colOff>
      <xdr:row>6</xdr:row>
      <xdr:rowOff>0</xdr:rowOff>
    </xdr:from>
    <xdr:to>
      <xdr:col>11</xdr:col>
      <xdr:colOff>704850</xdr:colOff>
      <xdr:row>25</xdr:row>
      <xdr:rowOff>38100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0</xdr:row>
      <xdr:rowOff>123825</xdr:rowOff>
    </xdr:from>
    <xdr:to>
      <xdr:col>4</xdr:col>
      <xdr:colOff>9524</xdr:colOff>
      <xdr:row>2</xdr:row>
      <xdr:rowOff>46349</xdr:rowOff>
    </xdr:to>
    <xdr:pic>
      <xdr:nvPicPr>
        <xdr:cNvPr id="6" name="Imagen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xdr:col>
      <xdr:colOff>9221</xdr:colOff>
      <xdr:row>5</xdr:row>
      <xdr:rowOff>91107</xdr:rowOff>
    </xdr:from>
    <xdr:to>
      <xdr:col>11</xdr:col>
      <xdr:colOff>676799</xdr:colOff>
      <xdr:row>19</xdr:row>
      <xdr:rowOff>165651</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8282</xdr:colOff>
      <xdr:row>19</xdr:row>
      <xdr:rowOff>66261</xdr:rowOff>
    </xdr:from>
    <xdr:to>
      <xdr:col>11</xdr:col>
      <xdr:colOff>676799</xdr:colOff>
      <xdr:row>29</xdr:row>
      <xdr:rowOff>157370</xdr:rowOff>
    </xdr:to>
    <xdr:graphicFrame macro="">
      <xdr:nvGraphicFramePr>
        <xdr:cNvPr id="3" name="Chart 4">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12</xdr:col>
      <xdr:colOff>115954</xdr:colOff>
      <xdr:row>2</xdr:row>
      <xdr:rowOff>49694</xdr:rowOff>
    </xdr:to>
    <xdr:sp macro="" textlink="">
      <xdr:nvSpPr>
        <xdr:cNvPr id="5" name="Line 7">
          <a:extLst>
            <a:ext uri="{FF2B5EF4-FFF2-40B4-BE49-F238E27FC236}">
              <a16:creationId xmlns:a16="http://schemas.microsoft.com/office/drawing/2014/main" id="{00000000-0008-0000-0D00-000005000000}"/>
            </a:ext>
          </a:extLst>
        </xdr:cNvPr>
        <xdr:cNvSpPr>
          <a:spLocks noChangeShapeType="1"/>
        </xdr:cNvSpPr>
      </xdr:nvSpPr>
      <xdr:spPr bwMode="auto">
        <a:xfrm flipH="1" flipV="1">
          <a:off x="165943" y="344731"/>
          <a:ext cx="9208311"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28575</xdr:colOff>
      <xdr:row>0</xdr:row>
      <xdr:rowOff>57150</xdr:rowOff>
    </xdr:from>
    <xdr:to>
      <xdr:col>2</xdr:col>
      <xdr:colOff>342899</xdr:colOff>
      <xdr:row>1</xdr:row>
      <xdr:rowOff>113024</xdr:rowOff>
    </xdr:to>
    <xdr:pic>
      <xdr:nvPicPr>
        <xdr:cNvPr id="6" name="Imagen 5">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955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c:userShapes xmlns:c="http://schemas.openxmlformats.org/drawingml/2006/chart">
  <cdr:relSizeAnchor xmlns:cdr="http://schemas.openxmlformats.org/drawingml/2006/chartDrawing">
    <cdr:from>
      <cdr:x>0.40539</cdr:x>
      <cdr:y>0.11824</cdr:y>
    </cdr:from>
    <cdr:to>
      <cdr:x>0.40557</cdr:x>
      <cdr:y>0.81767</cdr:y>
    </cdr:to>
    <cdr:cxnSp macro="">
      <cdr:nvCxnSpPr>
        <cdr:cNvPr id="2" name="Conector recto 1">
          <a:extLst xmlns:a="http://schemas.openxmlformats.org/drawingml/2006/main">
            <a:ext uri="{FF2B5EF4-FFF2-40B4-BE49-F238E27FC236}">
              <a16:creationId xmlns:a16="http://schemas.microsoft.com/office/drawing/2014/main" id="{8B484EC5-BF50-4410-84F5-1BAE0EC1C077}"/>
            </a:ext>
          </a:extLst>
        </cdr:cNvPr>
        <cdr:cNvCxnSpPr/>
      </cdr:nvCxnSpPr>
      <cdr:spPr bwMode="auto">
        <a:xfrm xmlns:a="http://schemas.openxmlformats.org/drawingml/2006/main" flipV="1">
          <a:off x="3054268" y="273995"/>
          <a:ext cx="1356" cy="162075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0.65131</cdr:x>
      <cdr:y>0.89119</cdr:y>
    </cdr:from>
    <cdr:to>
      <cdr:x>0.72612</cdr:x>
      <cdr:y>0.96896</cdr:y>
    </cdr:to>
    <cdr:sp macro="" textlink="">
      <cdr:nvSpPr>
        <cdr:cNvPr id="4" name="CuadroTexto 1"/>
        <cdr:cNvSpPr txBox="1"/>
      </cdr:nvSpPr>
      <cdr:spPr>
        <a:xfrm xmlns:a="http://schemas.openxmlformats.org/drawingml/2006/main">
          <a:off x="4907108" y="2065097"/>
          <a:ext cx="563636" cy="1802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0.20691</cdr:x>
      <cdr:y>0.89119</cdr:y>
    </cdr:from>
    <cdr:to>
      <cdr:x>0.2817</cdr:x>
      <cdr:y>0.96897</cdr:y>
    </cdr:to>
    <cdr:sp macro="" textlink="">
      <cdr:nvSpPr>
        <cdr:cNvPr id="5" name="CuadroTexto 1"/>
        <cdr:cNvSpPr txBox="1"/>
      </cdr:nvSpPr>
      <cdr:spPr>
        <a:xfrm xmlns:a="http://schemas.openxmlformats.org/drawingml/2006/main">
          <a:off x="1558891" y="2065103"/>
          <a:ext cx="563485" cy="18023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22.xml><?xml version="1.0" encoding="utf-8"?>
<c:userShapes xmlns:c="http://schemas.openxmlformats.org/drawingml/2006/chart">
  <cdr:relSizeAnchor xmlns:cdr="http://schemas.openxmlformats.org/drawingml/2006/chartDrawing">
    <cdr:from>
      <cdr:x>0.40414</cdr:x>
      <cdr:y>0.04184</cdr:y>
    </cdr:from>
    <cdr:to>
      <cdr:x>0.40414</cdr:x>
      <cdr:y>0.89119</cdr:y>
    </cdr:to>
    <cdr:cxnSp macro="">
      <cdr:nvCxnSpPr>
        <cdr:cNvPr id="2" name="Conector recto 1">
          <a:extLst xmlns:a="http://schemas.openxmlformats.org/drawingml/2006/main">
            <a:ext uri="{FF2B5EF4-FFF2-40B4-BE49-F238E27FC236}">
              <a16:creationId xmlns:a16="http://schemas.microsoft.com/office/drawing/2014/main" id="{D59D532A-52B7-4D3C-ACDB-EE5BBCA3F18B}"/>
            </a:ext>
          </a:extLst>
        </cdr:cNvPr>
        <cdr:cNvCxnSpPr/>
      </cdr:nvCxnSpPr>
      <cdr:spPr bwMode="auto">
        <a:xfrm xmlns:a="http://schemas.openxmlformats.org/drawingml/2006/main" flipV="1">
          <a:off x="3045292" y="72107"/>
          <a:ext cx="0" cy="146372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3.xml><?xml version="1.0" encoding="utf-8"?>
<xdr:wsDr xmlns:xdr="http://schemas.openxmlformats.org/drawingml/2006/spreadsheetDrawing" xmlns:a="http://schemas.openxmlformats.org/drawingml/2006/main">
  <xdr:twoCellAnchor>
    <xdr:from>
      <xdr:col>1</xdr:col>
      <xdr:colOff>1468396</xdr:colOff>
      <xdr:row>20</xdr:row>
      <xdr:rowOff>49696</xdr:rowOff>
    </xdr:from>
    <xdr:to>
      <xdr:col>11</xdr:col>
      <xdr:colOff>554935</xdr:colOff>
      <xdr:row>36</xdr:row>
      <xdr:rowOff>41661</xdr:rowOff>
    </xdr:to>
    <xdr:graphicFrame macro="">
      <xdr:nvGraphicFramePr>
        <xdr:cNvPr id="8" name="Gráfico 7">
          <a:extLst>
            <a:ext uri="{FF2B5EF4-FFF2-40B4-BE49-F238E27FC236}">
              <a16:creationId xmlns:a16="http://schemas.microsoft.com/office/drawing/2014/main" id="{00000000-0008-0000-0E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E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1484678</xdr:colOff>
      <xdr:row>4</xdr:row>
      <xdr:rowOff>70816</xdr:rowOff>
    </xdr:from>
    <xdr:to>
      <xdr:col>11</xdr:col>
      <xdr:colOff>571217</xdr:colOff>
      <xdr:row>21</xdr:row>
      <xdr:rowOff>1230</xdr:rowOff>
    </xdr:to>
    <xdr:graphicFrame macro="">
      <xdr:nvGraphicFramePr>
        <xdr:cNvPr id="7" name="Gráfico 6">
          <a:extLst>
            <a:ext uri="{FF2B5EF4-FFF2-40B4-BE49-F238E27FC236}">
              <a16:creationId xmlns:a16="http://schemas.microsoft.com/office/drawing/2014/main" id="{00000000-0008-0000-0E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38100</xdr:rowOff>
    </xdr:from>
    <xdr:to>
      <xdr:col>2</xdr:col>
      <xdr:colOff>190499</xdr:colOff>
      <xdr:row>1</xdr:row>
      <xdr:rowOff>93974</xdr:rowOff>
    </xdr:to>
    <xdr:pic>
      <xdr:nvPicPr>
        <xdr:cNvPr id="6" name="Imagen 5">
          <a:extLst>
            <a:ext uri="{FF2B5EF4-FFF2-40B4-BE49-F238E27FC236}">
              <a16:creationId xmlns:a16="http://schemas.microsoft.com/office/drawing/2014/main" id="{00000000-0008-0000-0E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c:userShapes xmlns:c="http://schemas.openxmlformats.org/drawingml/2006/chart">
  <cdr:relSizeAnchor xmlns:cdr="http://schemas.openxmlformats.org/drawingml/2006/chartDrawing">
    <cdr:from>
      <cdr:x>0.40789</cdr:x>
      <cdr:y>0.09549</cdr:y>
    </cdr:from>
    <cdr:to>
      <cdr:x>0.40847</cdr:x>
      <cdr:y>0.81102</cdr:y>
    </cdr:to>
    <cdr:cxnSp macro="">
      <cdr:nvCxnSpPr>
        <cdr:cNvPr id="2" name="Conector recto 1">
          <a:extLst xmlns:a="http://schemas.openxmlformats.org/drawingml/2006/main">
            <a:ext uri="{FF2B5EF4-FFF2-40B4-BE49-F238E27FC236}">
              <a16:creationId xmlns:a16="http://schemas.microsoft.com/office/drawing/2014/main" id="{35BCFF26-5A06-476C-9F1A-66B27A0842BB}"/>
            </a:ext>
          </a:extLst>
        </cdr:cNvPr>
        <cdr:cNvCxnSpPr/>
      </cdr:nvCxnSpPr>
      <cdr:spPr bwMode="auto">
        <a:xfrm xmlns:a="http://schemas.openxmlformats.org/drawingml/2006/main" flipH="1" flipV="1">
          <a:off x="3069337" y="243982"/>
          <a:ext cx="4364" cy="182822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5.xml><?xml version="1.0" encoding="utf-8"?>
<c:userShapes xmlns:c="http://schemas.openxmlformats.org/drawingml/2006/chart">
  <cdr:relSizeAnchor xmlns:cdr="http://schemas.openxmlformats.org/drawingml/2006/chartDrawing">
    <cdr:from>
      <cdr:x>0.40378</cdr:x>
      <cdr:y>0.17737</cdr:y>
    </cdr:from>
    <cdr:to>
      <cdr:x>0.40446</cdr:x>
      <cdr:y>0.86053</cdr:y>
    </cdr:to>
    <cdr:cxnSp macro="">
      <cdr:nvCxnSpPr>
        <cdr:cNvPr id="2" name="Conector recto 1">
          <a:extLst xmlns:a="http://schemas.openxmlformats.org/drawingml/2006/main">
            <a:ext uri="{FF2B5EF4-FFF2-40B4-BE49-F238E27FC236}">
              <a16:creationId xmlns:a16="http://schemas.microsoft.com/office/drawing/2014/main" id="{A4250AD3-2DF7-4275-A4C4-D135B2B53B60}"/>
            </a:ext>
          </a:extLst>
        </cdr:cNvPr>
        <cdr:cNvCxnSpPr/>
      </cdr:nvCxnSpPr>
      <cdr:spPr bwMode="auto">
        <a:xfrm xmlns:a="http://schemas.openxmlformats.org/drawingml/2006/main" flipH="1" flipV="1">
          <a:off x="3032101" y="471707"/>
          <a:ext cx="5106" cy="181685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0.65862</cdr:x>
      <cdr:y>0.91872</cdr:y>
    </cdr:from>
    <cdr:to>
      <cdr:x>0.73342</cdr:x>
      <cdr:y>0.98917</cdr:y>
    </cdr:to>
    <cdr:sp macro="" textlink="">
      <cdr:nvSpPr>
        <cdr:cNvPr id="4" name="CuadroTexto 1"/>
        <cdr:cNvSpPr txBox="1"/>
      </cdr:nvSpPr>
      <cdr:spPr>
        <a:xfrm xmlns:a="http://schemas.openxmlformats.org/drawingml/2006/main">
          <a:off x="4945720" y="2443320"/>
          <a:ext cx="561689" cy="1873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0.2029</cdr:x>
      <cdr:y>0.92502</cdr:y>
    </cdr:from>
    <cdr:to>
      <cdr:x>0.27768</cdr:x>
      <cdr:y>0.99547</cdr:y>
    </cdr:to>
    <cdr:sp macro="" textlink="">
      <cdr:nvSpPr>
        <cdr:cNvPr id="5" name="CuadroTexto 1"/>
        <cdr:cNvSpPr txBox="1"/>
      </cdr:nvSpPr>
      <cdr:spPr>
        <a:xfrm xmlns:a="http://schemas.openxmlformats.org/drawingml/2006/main">
          <a:off x="1523653" y="2460074"/>
          <a:ext cx="561539" cy="1873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dr:relSizeAnchor xmlns:cdr="http://schemas.openxmlformats.org/drawingml/2006/chartDrawing">
    <cdr:from>
      <cdr:x>0.92036</cdr:x>
      <cdr:y>0.00912</cdr:y>
    </cdr:from>
    <cdr:to>
      <cdr:x>0.99082</cdr:x>
      <cdr:y>0.08025</cdr:y>
    </cdr:to>
    <cdr:sp macro="" textlink="">
      <cdr:nvSpPr>
        <cdr:cNvPr id="3" name="CuadroTexto 2"/>
        <cdr:cNvSpPr txBox="1"/>
      </cdr:nvSpPr>
      <cdr:spPr>
        <a:xfrm xmlns:a="http://schemas.openxmlformats.org/drawingml/2006/main">
          <a:off x="6935139" y="24434"/>
          <a:ext cx="530915" cy="190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s-ES" sz="800" b="0" i="0" u="none" strike="noStrike" kern="1200" baseline="0">
              <a:solidFill>
                <a:srgbClr val="004563"/>
              </a:solidFill>
              <a:latin typeface="Calibri" panose="020F0502020204030204" pitchFamily="34" charset="0"/>
              <a:ea typeface="+mn-ea"/>
              <a:cs typeface="+mn-cs"/>
            </a:rPr>
            <a:t>€/M</a:t>
          </a:r>
          <a:r>
            <a:rPr lang="es-ES" sz="800" b="0" i="0" u="none" strike="noStrike" kern="1200" baseline="0">
              <a:solidFill>
                <a:srgbClr val="004563"/>
              </a:solidFill>
              <a:latin typeface="+mn-lt"/>
              <a:ea typeface="+mn-ea"/>
              <a:cs typeface="+mn-cs"/>
            </a:rPr>
            <a:t>Wh</a:t>
          </a:r>
          <a:endParaRPr lang="en-US" sz="800" b="0" i="0" u="none" strike="noStrike" kern="1200" baseline="0">
            <a:solidFill>
              <a:srgbClr val="004563"/>
            </a:solidFill>
            <a:latin typeface="+mn-lt"/>
            <a:ea typeface="+mn-ea"/>
            <a:cs typeface="+mn-cs"/>
          </a:endParaRPr>
        </a:p>
        <a:p xmlns:a="http://schemas.openxmlformats.org/drawingml/2006/main">
          <a:endParaRPr lang="en-US" sz="1100"/>
        </a:p>
      </cdr:txBody>
    </cdr:sp>
  </cdr:relSizeAnchor>
</c:userShapes>
</file>

<file path=xl/drawings/drawing26.xml><?xml version="1.0" encoding="utf-8"?>
<xdr:wsDr xmlns:xdr="http://schemas.openxmlformats.org/drawingml/2006/spreadsheetDrawing" xmlns:a="http://schemas.openxmlformats.org/drawingml/2006/main">
  <xdr:twoCellAnchor>
    <xdr:from>
      <xdr:col>2</xdr:col>
      <xdr:colOff>1546</xdr:colOff>
      <xdr:row>20</xdr:row>
      <xdr:rowOff>11595</xdr:rowOff>
    </xdr:from>
    <xdr:to>
      <xdr:col>11</xdr:col>
      <xdr:colOff>745435</xdr:colOff>
      <xdr:row>39</xdr:row>
      <xdr:rowOff>85725</xdr:rowOff>
    </xdr:to>
    <xdr:graphicFrame macro="">
      <xdr:nvGraphicFramePr>
        <xdr:cNvPr id="2" name="Grá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4" name="Line 7">
          <a:extLst>
            <a:ext uri="{FF2B5EF4-FFF2-40B4-BE49-F238E27FC236}">
              <a16:creationId xmlns:a16="http://schemas.microsoft.com/office/drawing/2014/main" id="{00000000-0008-0000-0F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7896</xdr:colOff>
      <xdr:row>4</xdr:row>
      <xdr:rowOff>74543</xdr:rowOff>
    </xdr:from>
    <xdr:to>
      <xdr:col>11</xdr:col>
      <xdr:colOff>751785</xdr:colOff>
      <xdr:row>20</xdr:row>
      <xdr:rowOff>66510</xdr:rowOff>
    </xdr:to>
    <xdr:graphicFrame macro="">
      <xdr:nvGraphicFramePr>
        <xdr:cNvPr id="5" name="Gráfico 4">
          <a:extLst>
            <a:ext uri="{FF2B5EF4-FFF2-40B4-BE49-F238E27FC236}">
              <a16:creationId xmlns:a16="http://schemas.microsoft.com/office/drawing/2014/main" id="{00000000-0008-0000-0F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190499</xdr:colOff>
      <xdr:row>1</xdr:row>
      <xdr:rowOff>113024</xdr:rowOff>
    </xdr:to>
    <xdr:pic>
      <xdr:nvPicPr>
        <xdr:cNvPr id="6" name="Imagen 5">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c:userShapes xmlns:c="http://schemas.openxmlformats.org/drawingml/2006/chart">
  <cdr:relSizeAnchor xmlns:cdr="http://schemas.openxmlformats.org/drawingml/2006/chartDrawing">
    <cdr:from>
      <cdr:x>0.40474</cdr:x>
      <cdr:y>0.07964</cdr:y>
    </cdr:from>
    <cdr:to>
      <cdr:x>0.40483</cdr:x>
      <cdr:y>0.70297</cdr:y>
    </cdr:to>
    <cdr:cxnSp macro="">
      <cdr:nvCxnSpPr>
        <cdr:cNvPr id="2" name="Conector recto 1">
          <a:extLst xmlns:a="http://schemas.openxmlformats.org/drawingml/2006/main">
            <a:ext uri="{FF2B5EF4-FFF2-40B4-BE49-F238E27FC236}">
              <a16:creationId xmlns:a16="http://schemas.microsoft.com/office/drawing/2014/main" id="{D9BBB0F4-FA4C-4C75-8C36-27DC0D4C33F6}"/>
            </a:ext>
          </a:extLst>
        </cdr:cNvPr>
        <cdr:cNvCxnSpPr/>
      </cdr:nvCxnSpPr>
      <cdr:spPr bwMode="auto">
        <a:xfrm xmlns:a="http://schemas.openxmlformats.org/drawingml/2006/main" flipH="1" flipV="1">
          <a:off x="3073852" y="258639"/>
          <a:ext cx="684" cy="202432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8.xml><?xml version="1.0" encoding="utf-8"?>
<c:userShapes xmlns:c="http://schemas.openxmlformats.org/drawingml/2006/chart">
  <cdr:relSizeAnchor xmlns:cdr="http://schemas.openxmlformats.org/drawingml/2006/chartDrawing">
    <cdr:from>
      <cdr:x>0.40437</cdr:x>
      <cdr:y>0.09931</cdr:y>
    </cdr:from>
    <cdr:to>
      <cdr:x>0.40527</cdr:x>
      <cdr:y>0.85693</cdr:y>
    </cdr:to>
    <cdr:cxnSp macro="">
      <cdr:nvCxnSpPr>
        <cdr:cNvPr id="2" name="Conector recto 1">
          <a:extLst xmlns:a="http://schemas.openxmlformats.org/drawingml/2006/main">
            <a:ext uri="{FF2B5EF4-FFF2-40B4-BE49-F238E27FC236}">
              <a16:creationId xmlns:a16="http://schemas.microsoft.com/office/drawing/2014/main" id="{BAE96333-9541-4A8E-A2D5-B8B3E78E9D1E}"/>
            </a:ext>
          </a:extLst>
        </cdr:cNvPr>
        <cdr:cNvCxnSpPr/>
      </cdr:nvCxnSpPr>
      <cdr:spPr bwMode="auto">
        <a:xfrm xmlns:a="http://schemas.openxmlformats.org/drawingml/2006/main" flipV="1">
          <a:off x="3071012" y="253864"/>
          <a:ext cx="6835" cy="193677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0.65482</cdr:x>
      <cdr:y>0.91409</cdr:y>
    </cdr:from>
    <cdr:to>
      <cdr:x>0.72962</cdr:x>
      <cdr:y>0.98455</cdr:y>
    </cdr:to>
    <cdr:sp macro="" textlink="">
      <cdr:nvSpPr>
        <cdr:cNvPr id="4" name="CuadroTexto 1"/>
        <cdr:cNvSpPr txBox="1"/>
      </cdr:nvSpPr>
      <cdr:spPr>
        <a:xfrm xmlns:a="http://schemas.openxmlformats.org/drawingml/2006/main">
          <a:off x="4973097" y="2336775"/>
          <a:ext cx="568074" cy="18012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0.20384</cdr:x>
      <cdr:y>0.91818</cdr:y>
    </cdr:from>
    <cdr:to>
      <cdr:x>0.27863</cdr:x>
      <cdr:y>0.98863</cdr:y>
    </cdr:to>
    <cdr:sp macro="" textlink="">
      <cdr:nvSpPr>
        <cdr:cNvPr id="5" name="CuadroTexto 1"/>
        <cdr:cNvSpPr txBox="1"/>
      </cdr:nvSpPr>
      <cdr:spPr>
        <a:xfrm xmlns:a="http://schemas.openxmlformats.org/drawingml/2006/main">
          <a:off x="1548052" y="2347226"/>
          <a:ext cx="567997" cy="1800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29.xml><?xml version="1.0" encoding="utf-8"?>
<xdr:wsDr xmlns:xdr="http://schemas.openxmlformats.org/drawingml/2006/spreadsheetDrawing" xmlns:a="http://schemas.openxmlformats.org/drawingml/2006/main">
  <xdr:twoCellAnchor editAs="absolute">
    <xdr:from>
      <xdr:col>0</xdr:col>
      <xdr:colOff>165943</xdr:colOff>
      <xdr:row>2</xdr:row>
      <xdr:rowOff>20881</xdr:rowOff>
    </xdr:from>
    <xdr:to>
      <xdr:col>12</xdr:col>
      <xdr:colOff>91107</xdr:colOff>
      <xdr:row>2</xdr:row>
      <xdr:rowOff>49694</xdr:rowOff>
    </xdr:to>
    <xdr:sp macro="" textlink="">
      <xdr:nvSpPr>
        <xdr:cNvPr id="5" name="Line 7">
          <a:extLst>
            <a:ext uri="{FF2B5EF4-FFF2-40B4-BE49-F238E27FC236}">
              <a16:creationId xmlns:a16="http://schemas.microsoft.com/office/drawing/2014/main" id="{00000000-0008-0000-10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0</xdr:colOff>
      <xdr:row>6</xdr:row>
      <xdr:rowOff>7620</xdr:rowOff>
    </xdr:from>
    <xdr:to>
      <xdr:col>11</xdr:col>
      <xdr:colOff>642289</xdr:colOff>
      <xdr:row>21</xdr:row>
      <xdr:rowOff>158336</xdr:rowOff>
    </xdr:to>
    <xdr:graphicFrame macro="">
      <xdr:nvGraphicFramePr>
        <xdr:cNvPr id="6" name="Gráfico 5">
          <a:extLst>
            <a:ext uri="{FF2B5EF4-FFF2-40B4-BE49-F238E27FC236}">
              <a16:creationId xmlns:a16="http://schemas.microsoft.com/office/drawing/2014/main" id="{00000000-0008-0000-1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22</xdr:row>
      <xdr:rowOff>0</xdr:rowOff>
    </xdr:from>
    <xdr:to>
      <xdr:col>11</xdr:col>
      <xdr:colOff>642289</xdr:colOff>
      <xdr:row>37</xdr:row>
      <xdr:rowOff>150716</xdr:rowOff>
    </xdr:to>
    <xdr:graphicFrame macro="">
      <xdr:nvGraphicFramePr>
        <xdr:cNvPr id="7" name="Gráfico 6">
          <a:extLst>
            <a:ext uri="{FF2B5EF4-FFF2-40B4-BE49-F238E27FC236}">
              <a16:creationId xmlns:a16="http://schemas.microsoft.com/office/drawing/2014/main" id="{00000000-0008-0000-1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285749</xdr:colOff>
      <xdr:row>1</xdr:row>
      <xdr:rowOff>113024</xdr:rowOff>
    </xdr:to>
    <xdr:pic>
      <xdr:nvPicPr>
        <xdr:cNvPr id="8" name="Imagen 7">
          <a:extLst>
            <a:ext uri="{FF2B5EF4-FFF2-40B4-BE49-F238E27FC236}">
              <a16:creationId xmlns:a16="http://schemas.microsoft.com/office/drawing/2014/main" id="{00000000-0008-0000-10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c:userShapes xmlns:c="http://schemas.openxmlformats.org/drawingml/2006/chart">
  <cdr:relSizeAnchor xmlns:cdr="http://schemas.openxmlformats.org/drawingml/2006/chartDrawing">
    <cdr:from>
      <cdr:x>0.39525</cdr:x>
      <cdr:y>0.18975</cdr:y>
    </cdr:from>
    <cdr:to>
      <cdr:x>0.52474</cdr:x>
      <cdr:y>0.25075</cdr:y>
    </cdr:to>
    <cdr:sp macro="" textlink="">
      <cdr:nvSpPr>
        <cdr:cNvPr id="2" name="Texto 7"/>
        <cdr:cNvSpPr txBox="1">
          <a:spLocks xmlns:a="http://schemas.openxmlformats.org/drawingml/2006/main" noChangeArrowheads="1"/>
        </cdr:cNvSpPr>
      </cdr:nvSpPr>
      <cdr:spPr bwMode="auto">
        <a:xfrm xmlns:a="http://schemas.openxmlformats.org/drawingml/2006/main">
          <a:off x="2228724" y="487990"/>
          <a:ext cx="730168" cy="156876"/>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a:t>
          </a:r>
          <a:r>
            <a:rPr lang="es-ES" sz="800" b="0" i="0" strike="noStrike">
              <a:solidFill>
                <a:srgbClr val="004563"/>
              </a:solidFill>
              <a:latin typeface="+mn-lt"/>
              <a:cs typeface="Arial"/>
            </a:rPr>
            <a:t>áximo </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0.48312</cdr:x>
      <cdr:y>0.78632</cdr:y>
    </cdr:from>
    <cdr:to>
      <cdr:x>0.61262</cdr:x>
      <cdr:y>0.84731</cdr:y>
    </cdr:to>
    <cdr:sp macro="" textlink="">
      <cdr:nvSpPr>
        <cdr:cNvPr id="3" name="Texto 7"/>
        <cdr:cNvSpPr txBox="1">
          <a:spLocks xmlns:a="http://schemas.openxmlformats.org/drawingml/2006/main" noChangeArrowheads="1"/>
        </cdr:cNvSpPr>
      </cdr:nvSpPr>
      <cdr:spPr bwMode="auto">
        <a:xfrm xmlns:a="http://schemas.openxmlformats.org/drawingml/2006/main">
          <a:off x="2724225" y="2022228"/>
          <a:ext cx="730224" cy="156851"/>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mínimo</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0.91852</cdr:y>
    </cdr:from>
    <cdr:to>
      <cdr:x>0.15842</cdr:x>
      <cdr:y>1</cdr:y>
    </cdr:to>
    <cdr:sp macro="" textlink="">
      <cdr:nvSpPr>
        <cdr:cNvPr id="4" name="CuadroTexto 3"/>
        <cdr:cNvSpPr txBox="1"/>
      </cdr:nvSpPr>
      <cdr:spPr>
        <a:xfrm xmlns:a="http://schemas.openxmlformats.org/drawingml/2006/main">
          <a:off x="0" y="2362200"/>
          <a:ext cx="914400" cy="2095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30.xml><?xml version="1.0" encoding="utf-8"?>
<c:userShapes xmlns:c="http://schemas.openxmlformats.org/drawingml/2006/chart">
  <cdr:relSizeAnchor xmlns:cdr="http://schemas.openxmlformats.org/drawingml/2006/chartDrawing">
    <cdr:from>
      <cdr:x>0.40162</cdr:x>
      <cdr:y>0.09903</cdr:y>
    </cdr:from>
    <cdr:to>
      <cdr:x>0.40361</cdr:x>
      <cdr:y>0.86487</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3016114" y="260176"/>
          <a:ext cx="14944" cy="201202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0.65035</cdr:x>
      <cdr:y>0.92591</cdr:y>
    </cdr:from>
    <cdr:to>
      <cdr:x>0.72607</cdr:x>
      <cdr:y>0.99637</cdr:y>
    </cdr:to>
    <cdr:sp macro="" textlink="">
      <cdr:nvSpPr>
        <cdr:cNvPr id="4" name="CuadroTexto 1"/>
        <cdr:cNvSpPr txBox="1"/>
      </cdr:nvSpPr>
      <cdr:spPr>
        <a:xfrm xmlns:a="http://schemas.openxmlformats.org/drawingml/2006/main">
          <a:off x="4883993" y="2432577"/>
          <a:ext cx="568644" cy="1851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0.20222</cdr:x>
      <cdr:y>0.92955</cdr:y>
    </cdr:from>
    <cdr:to>
      <cdr:x>0.27793</cdr:x>
      <cdr:y>1</cdr:y>
    </cdr:to>
    <cdr:sp macro="" textlink="">
      <cdr:nvSpPr>
        <cdr:cNvPr id="5" name="CuadroTexto 1"/>
        <cdr:cNvSpPr txBox="1"/>
      </cdr:nvSpPr>
      <cdr:spPr>
        <a:xfrm xmlns:a="http://schemas.openxmlformats.org/drawingml/2006/main">
          <a:off x="1518646" y="2442129"/>
          <a:ext cx="568568" cy="18508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31.xml><?xml version="1.0" encoding="utf-8"?>
<c:userShapes xmlns:c="http://schemas.openxmlformats.org/drawingml/2006/chart">
  <cdr:relSizeAnchor xmlns:cdr="http://schemas.openxmlformats.org/drawingml/2006/chartDrawing">
    <cdr:from>
      <cdr:x>0.40255</cdr:x>
      <cdr:y>0.03714</cdr:y>
    </cdr:from>
    <cdr:to>
      <cdr:x>0.40294</cdr:x>
      <cdr:y>0.80491</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3023048" y="95799"/>
          <a:ext cx="2929" cy="198053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2.xml><?xml version="1.0" encoding="utf-8"?>
<xdr:wsDr xmlns:xdr="http://schemas.openxmlformats.org/drawingml/2006/spreadsheetDrawing" xmlns:a="http://schemas.openxmlformats.org/drawingml/2006/main">
  <xdr:twoCellAnchor>
    <xdr:from>
      <xdr:col>1</xdr:col>
      <xdr:colOff>1427811</xdr:colOff>
      <xdr:row>21</xdr:row>
      <xdr:rowOff>24846</xdr:rowOff>
    </xdr:from>
    <xdr:to>
      <xdr:col>11</xdr:col>
      <xdr:colOff>584200</xdr:colOff>
      <xdr:row>39</xdr:row>
      <xdr:rowOff>91107</xdr:rowOff>
    </xdr:to>
    <xdr:graphicFrame macro="">
      <xdr:nvGraphicFramePr>
        <xdr:cNvPr id="2" name="Gráfico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12</xdr:col>
      <xdr:colOff>132520</xdr:colOff>
      <xdr:row>2</xdr:row>
      <xdr:rowOff>49694</xdr:rowOff>
    </xdr:to>
    <xdr:sp macro="" textlink="">
      <xdr:nvSpPr>
        <xdr:cNvPr id="4" name="Line 7">
          <a:extLst>
            <a:ext uri="{FF2B5EF4-FFF2-40B4-BE49-F238E27FC236}">
              <a16:creationId xmlns:a16="http://schemas.microsoft.com/office/drawing/2014/main" id="{00000000-0008-0000-11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1427811</xdr:colOff>
      <xdr:row>5</xdr:row>
      <xdr:rowOff>96906</xdr:rowOff>
    </xdr:from>
    <xdr:to>
      <xdr:col>11</xdr:col>
      <xdr:colOff>590550</xdr:colOff>
      <xdr:row>21</xdr:row>
      <xdr:rowOff>88872</xdr:rowOff>
    </xdr:to>
    <xdr:graphicFrame macro="">
      <xdr:nvGraphicFramePr>
        <xdr:cNvPr id="5" name="Gráfico 4">
          <a:extLst>
            <a:ext uri="{FF2B5EF4-FFF2-40B4-BE49-F238E27FC236}">
              <a16:creationId xmlns:a16="http://schemas.microsoft.com/office/drawing/2014/main" id="{00000000-0008-0000-1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0</xdr:row>
      <xdr:rowOff>47625</xdr:rowOff>
    </xdr:from>
    <xdr:to>
      <xdr:col>2</xdr:col>
      <xdr:colOff>333374</xdr:colOff>
      <xdr:row>1</xdr:row>
      <xdr:rowOff>103499</xdr:rowOff>
    </xdr:to>
    <xdr:pic>
      <xdr:nvPicPr>
        <xdr:cNvPr id="6" name="Imagen 5">
          <a:extLst>
            <a:ext uri="{FF2B5EF4-FFF2-40B4-BE49-F238E27FC236}">
              <a16:creationId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476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c:userShapes xmlns:c="http://schemas.openxmlformats.org/drawingml/2006/chart">
  <cdr:relSizeAnchor xmlns:cdr="http://schemas.openxmlformats.org/drawingml/2006/chartDrawing">
    <cdr:from>
      <cdr:x>0.39958</cdr:x>
      <cdr:y>0.09326</cdr:y>
    </cdr:from>
    <cdr:to>
      <cdr:x>0.39986</cdr:x>
      <cdr:y>0.76647</cdr:y>
    </cdr:to>
    <cdr:cxnSp macro="">
      <cdr:nvCxnSpPr>
        <cdr:cNvPr id="2"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2980231" y="274385"/>
          <a:ext cx="2089" cy="198071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4.xml><?xml version="1.0" encoding="utf-8"?>
<c:userShapes xmlns:c="http://schemas.openxmlformats.org/drawingml/2006/chart">
  <cdr:relSizeAnchor xmlns:cdr="http://schemas.openxmlformats.org/drawingml/2006/chartDrawing">
    <cdr:from>
      <cdr:x>0.65297</cdr:x>
      <cdr:y>0.92954</cdr:y>
    </cdr:from>
    <cdr:to>
      <cdr:x>0.72869</cdr:x>
      <cdr:y>1</cdr:y>
    </cdr:to>
    <cdr:sp macro="" textlink="">
      <cdr:nvSpPr>
        <cdr:cNvPr id="4" name="CuadroTexto 1"/>
        <cdr:cNvSpPr txBox="1"/>
      </cdr:nvSpPr>
      <cdr:spPr>
        <a:xfrm xmlns:a="http://schemas.openxmlformats.org/drawingml/2006/main">
          <a:off x="4874335" y="2368796"/>
          <a:ext cx="565239" cy="17955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0.19564</cdr:x>
      <cdr:y>0.92525</cdr:y>
    </cdr:from>
    <cdr:to>
      <cdr:x>0.27135</cdr:x>
      <cdr:y>0.9957</cdr:y>
    </cdr:to>
    <cdr:sp macro="" textlink="">
      <cdr:nvSpPr>
        <cdr:cNvPr id="5" name="CuadroTexto 1"/>
        <cdr:cNvSpPr txBox="1"/>
      </cdr:nvSpPr>
      <cdr:spPr>
        <a:xfrm xmlns:a="http://schemas.openxmlformats.org/drawingml/2006/main">
          <a:off x="1460416" y="2357860"/>
          <a:ext cx="565163" cy="17953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dr:relSizeAnchor xmlns:cdr="http://schemas.openxmlformats.org/drawingml/2006/chartDrawing">
    <cdr:from>
      <cdr:x>0.40079</cdr:x>
      <cdr:y>0.1808</cdr:y>
    </cdr:from>
    <cdr:to>
      <cdr:x>0.40107</cdr:x>
      <cdr:y>0.85401</cdr:y>
    </cdr:to>
    <cdr:cxnSp macro="">
      <cdr:nvCxnSpPr>
        <cdr:cNvPr id="8"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2991838" y="460735"/>
          <a:ext cx="2090" cy="171557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4.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3" name="Line 7">
          <a:extLst>
            <a:ext uri="{FF2B5EF4-FFF2-40B4-BE49-F238E27FC236}">
              <a16:creationId xmlns:a16="http://schemas.microsoft.com/office/drawing/2014/main" id="{00000000-0008-0000-0400-000003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7620</xdr:colOff>
      <xdr:row>5</xdr:row>
      <xdr:rowOff>152400</xdr:rowOff>
    </xdr:from>
    <xdr:to>
      <xdr:col>5</xdr:col>
      <xdr:colOff>17145</xdr:colOff>
      <xdr:row>24</xdr:row>
      <xdr:rowOff>142875</xdr:rowOff>
    </xdr:to>
    <xdr:graphicFrame macro="">
      <xdr:nvGraphicFramePr>
        <xdr:cNvPr id="4" name="11 Gráfico">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11</xdr:col>
          <xdr:colOff>106680</xdr:colOff>
          <xdr:row>1</xdr:row>
          <xdr:rowOff>144780</xdr:rowOff>
        </xdr:from>
        <xdr:to>
          <xdr:col>15</xdr:col>
          <xdr:colOff>30480</xdr:colOff>
          <xdr:row>3</xdr:row>
          <xdr:rowOff>30480</xdr:rowOff>
        </xdr:to>
        <xdr:sp macro="" textlink="">
          <xdr:nvSpPr>
            <xdr:cNvPr id="3073" name="OMIE"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ffectLst>
              <a:outerShdw dist="35921" dir="2700000" algn="ctr" rotWithShape="0">
                <a:srgbClr val="000000"/>
              </a:outerShdw>
            </a:effectLst>
            <a:extLst>
              <a:ext uri="{91240B29-F687-4F45-9708-019B960494DF}">
                <a14:hiddenLine w="1">
                  <a:noFill/>
                  <a:miter lim="800000"/>
                  <a:headEnd/>
                  <a:tailEnd/>
                </a14:hiddenLine>
              </a:ext>
              <a:ext uri="{53640926-AAD7-44D8-BBD7-CCE9431645EC}">
                <a14:shadowObscured val="1"/>
              </a:ext>
            </a:extLst>
          </xdr:spPr>
        </xdr:sp>
        <xdr:clientData/>
      </xdr:twoCellAnchor>
    </mc:Choice>
    <mc:Fallback/>
  </mc:AlternateContent>
  <xdr:twoCellAnchor editAs="oneCell">
    <xdr:from>
      <xdr:col>2</xdr:col>
      <xdr:colOff>38100</xdr:colOff>
      <xdr:row>1</xdr:row>
      <xdr:rowOff>133350</xdr:rowOff>
    </xdr:from>
    <xdr:to>
      <xdr:col>4</xdr:col>
      <xdr:colOff>133349</xdr:colOff>
      <xdr:row>2</xdr:row>
      <xdr:rowOff>84449</xdr:rowOff>
    </xdr:to>
    <xdr:pic>
      <xdr:nvPicPr>
        <xdr:cNvPr id="6" name="Imagen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c:userShapes xmlns:c="http://schemas.openxmlformats.org/drawingml/2006/chart">
  <cdr:relSizeAnchor xmlns:cdr="http://schemas.openxmlformats.org/drawingml/2006/chartDrawing">
    <cdr:from>
      <cdr:x>0.41874</cdr:x>
      <cdr:y>0.18789</cdr:y>
    </cdr:from>
    <cdr:to>
      <cdr:x>0.4191</cdr:x>
      <cdr:y>0.87344</cdr:y>
    </cdr:to>
    <cdr:cxnSp macro="">
      <cdr:nvCxnSpPr>
        <cdr:cNvPr id="6" name="Conector recto 5">
          <a:extLst xmlns:a="http://schemas.openxmlformats.org/drawingml/2006/main">
            <a:ext uri="{FF2B5EF4-FFF2-40B4-BE49-F238E27FC236}">
              <a16:creationId xmlns:a16="http://schemas.microsoft.com/office/drawing/2014/main" id="{A261F348-FFFD-4132-89C0-88830F2E56F0}"/>
            </a:ext>
          </a:extLst>
        </cdr:cNvPr>
        <cdr:cNvCxnSpPr/>
      </cdr:nvCxnSpPr>
      <cdr:spPr bwMode="auto">
        <a:xfrm xmlns:a="http://schemas.openxmlformats.org/drawingml/2006/main" flipH="1" flipV="1">
          <a:off x="2949643" y="564934"/>
          <a:ext cx="2536" cy="206126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0.04364</cdr:x>
      <cdr:y>0.10041</cdr:y>
    </cdr:from>
    <cdr:to>
      <cdr:x>0.08019</cdr:x>
      <cdr:y>0.17134</cdr:y>
    </cdr:to>
    <cdr:sp macro="" textlink="">
      <cdr:nvSpPr>
        <cdr:cNvPr id="3" name="CuadroTexto 5"/>
        <cdr:cNvSpPr txBox="1"/>
      </cdr:nvSpPr>
      <cdr:spPr>
        <a:xfrm xmlns:a="http://schemas.openxmlformats.org/drawingml/2006/main">
          <a:off x="307993" y="307974"/>
          <a:ext cx="257971" cy="21754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a:t>
          </a:r>
        </a:p>
      </cdr:txBody>
    </cdr:sp>
  </cdr:relSizeAnchor>
  <cdr:relSizeAnchor xmlns:cdr="http://schemas.openxmlformats.org/drawingml/2006/chartDrawing">
    <cdr:from>
      <cdr:x>0.66065</cdr:x>
      <cdr:y>0.92597</cdr:y>
    </cdr:from>
    <cdr:to>
      <cdr:x>0.74046</cdr:x>
      <cdr:y>0.98804</cdr:y>
    </cdr:to>
    <cdr:sp macro="" textlink="">
      <cdr:nvSpPr>
        <cdr:cNvPr id="5" name="CuadroTexto 1"/>
        <cdr:cNvSpPr txBox="1"/>
      </cdr:nvSpPr>
      <cdr:spPr>
        <a:xfrm xmlns:a="http://schemas.openxmlformats.org/drawingml/2006/main">
          <a:off x="4653692" y="2784137"/>
          <a:ext cx="562192" cy="18662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0.00387</cdr:x>
      <cdr:y>0.93168</cdr:y>
    </cdr:from>
    <cdr:to>
      <cdr:x>0.13342</cdr:x>
      <cdr:y>1</cdr:y>
    </cdr:to>
    <cdr:sp macro="" textlink="">
      <cdr:nvSpPr>
        <cdr:cNvPr id="7" name="CuadroTexto 1"/>
        <cdr:cNvSpPr txBox="1"/>
      </cdr:nvSpPr>
      <cdr:spPr>
        <a:xfrm xmlns:a="http://schemas.openxmlformats.org/drawingml/2006/main">
          <a:off x="28575" y="2854551"/>
          <a:ext cx="955911" cy="20932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dr:relSizeAnchor xmlns:cdr="http://schemas.openxmlformats.org/drawingml/2006/chartDrawing">
    <cdr:from>
      <cdr:x>0.22581</cdr:x>
      <cdr:y>0.9264</cdr:y>
    </cdr:from>
    <cdr:to>
      <cdr:x>0.30562</cdr:x>
      <cdr:y>0.98848</cdr:y>
    </cdr:to>
    <cdr:sp macro="" textlink="">
      <cdr:nvSpPr>
        <cdr:cNvPr id="2" name="CuadroTexto 1">
          <a:extLst xmlns:a="http://schemas.openxmlformats.org/drawingml/2006/main">
            <a:ext uri="{FF2B5EF4-FFF2-40B4-BE49-F238E27FC236}">
              <a16:creationId xmlns:a16="http://schemas.microsoft.com/office/drawing/2014/main" id="{AA5C2CE9-81A6-A4E1-7141-53FC662A9295}"/>
            </a:ext>
          </a:extLst>
        </cdr:cNvPr>
        <cdr:cNvSpPr txBox="1"/>
      </cdr:nvSpPr>
      <cdr:spPr>
        <a:xfrm xmlns:a="http://schemas.openxmlformats.org/drawingml/2006/main">
          <a:off x="1590652" y="2785431"/>
          <a:ext cx="562192" cy="18665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2024</a:t>
          </a:r>
        </a:p>
      </cdr:txBody>
    </cdr:sp>
  </cdr:relSizeAnchor>
</c:userShapes>
</file>

<file path=xl/drawings/drawing6.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27715036" name="Line 7">
          <a:extLst>
            <a:ext uri="{FF2B5EF4-FFF2-40B4-BE49-F238E27FC236}">
              <a16:creationId xmlns:a16="http://schemas.microsoft.com/office/drawing/2014/main" id="{00000000-0008-0000-0500-0000DCE5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477</xdr:colOff>
      <xdr:row>5</xdr:row>
      <xdr:rowOff>152400</xdr:rowOff>
    </xdr:from>
    <xdr:to>
      <xdr:col>5</xdr:col>
      <xdr:colOff>7620</xdr:colOff>
      <xdr:row>24</xdr:row>
      <xdr:rowOff>7620</xdr:rowOff>
    </xdr:to>
    <xdr:graphicFrame macro="">
      <xdr:nvGraphicFramePr>
        <xdr:cNvPr id="27715037" name="11 Gráfico">
          <a:extLst>
            <a:ext uri="{FF2B5EF4-FFF2-40B4-BE49-F238E27FC236}">
              <a16:creationId xmlns:a16="http://schemas.microsoft.com/office/drawing/2014/main" id="{00000000-0008-0000-0500-0000DDE5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4</xdr:col>
      <xdr:colOff>123825</xdr:colOff>
      <xdr:row>7</xdr:row>
      <xdr:rowOff>0</xdr:rowOff>
    </xdr:from>
    <xdr:ext cx="509627" cy="210250"/>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981200" y="1181100"/>
          <a:ext cx="509627"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xdr:txBody>
    </xdr:sp>
    <xdr:clientData/>
  </xdr:oneCellAnchor>
  <xdr:twoCellAnchor editAs="oneCell">
    <xdr:from>
      <xdr:col>2</xdr:col>
      <xdr:colOff>47625</xdr:colOff>
      <xdr:row>1</xdr:row>
      <xdr:rowOff>123825</xdr:rowOff>
    </xdr:from>
    <xdr:to>
      <xdr:col>4</xdr:col>
      <xdr:colOff>142874</xdr:colOff>
      <xdr:row>2</xdr:row>
      <xdr:rowOff>74924</xdr:rowOff>
    </xdr:to>
    <xdr:pic>
      <xdr:nvPicPr>
        <xdr:cNvPr id="6" name="Imagen 5">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7650"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c:userShapes xmlns:c="http://schemas.openxmlformats.org/drawingml/2006/chart">
  <cdr:relSizeAnchor xmlns:cdr="http://schemas.openxmlformats.org/drawingml/2006/chartDrawing">
    <cdr:from>
      <cdr:x>0.66258</cdr:x>
      <cdr:y>0.9131</cdr:y>
    </cdr:from>
    <cdr:to>
      <cdr:x>0.74238</cdr:x>
      <cdr:y>0.97681</cdr:y>
    </cdr:to>
    <cdr:sp macro="" textlink="">
      <cdr:nvSpPr>
        <cdr:cNvPr id="4" name="CuadroTexto 1"/>
        <cdr:cNvSpPr txBox="1"/>
      </cdr:nvSpPr>
      <cdr:spPr>
        <a:xfrm xmlns:a="http://schemas.openxmlformats.org/drawingml/2006/main">
          <a:off x="4669157" y="2710230"/>
          <a:ext cx="562349" cy="1891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2025</a:t>
          </a:r>
        </a:p>
      </cdr:txBody>
    </cdr:sp>
  </cdr:relSizeAnchor>
  <cdr:relSizeAnchor xmlns:cdr="http://schemas.openxmlformats.org/drawingml/2006/chartDrawing">
    <cdr:from>
      <cdr:x>0.41877</cdr:x>
      <cdr:y>0.16582</cdr:y>
    </cdr:from>
    <cdr:to>
      <cdr:x>0.42161</cdr:x>
      <cdr:y>0.84894</cdr:y>
    </cdr:to>
    <cdr:cxnSp macro="">
      <cdr:nvCxnSpPr>
        <cdr:cNvPr id="6" name="Conector recto 5">
          <a:extLst xmlns:a="http://schemas.openxmlformats.org/drawingml/2006/main">
            <a:ext uri="{FF2B5EF4-FFF2-40B4-BE49-F238E27FC236}">
              <a16:creationId xmlns:a16="http://schemas.microsoft.com/office/drawing/2014/main" id="{56E16FCA-99CF-43B3-BB7A-1056A4EBE1B6}"/>
            </a:ext>
          </a:extLst>
        </cdr:cNvPr>
        <cdr:cNvCxnSpPr/>
      </cdr:nvCxnSpPr>
      <cdr:spPr bwMode="auto">
        <a:xfrm xmlns:a="http://schemas.openxmlformats.org/drawingml/2006/main" flipV="1">
          <a:off x="2951099" y="492186"/>
          <a:ext cx="20013" cy="202761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0.21816</cdr:x>
      <cdr:y>0.92149</cdr:y>
    </cdr:from>
    <cdr:to>
      <cdr:x>0.29797</cdr:x>
      <cdr:y>0.98499</cdr:y>
    </cdr:to>
    <cdr:sp macro="" textlink="">
      <cdr:nvSpPr>
        <cdr:cNvPr id="5" name="CuadroTexto 1"/>
        <cdr:cNvSpPr txBox="1"/>
      </cdr:nvSpPr>
      <cdr:spPr>
        <a:xfrm xmlns:a="http://schemas.openxmlformats.org/drawingml/2006/main">
          <a:off x="1536053" y="2683003"/>
          <a:ext cx="561942" cy="18488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8.xml><?xml version="1.0" encoding="utf-8"?>
<xdr:wsDr xmlns:xdr="http://schemas.openxmlformats.org/drawingml/2006/spreadsheetDrawing" xmlns:a="http://schemas.openxmlformats.org/drawingml/2006/main">
  <xdr:twoCellAnchor editAs="absolute">
    <xdr:from>
      <xdr:col>1</xdr:col>
      <xdr:colOff>7619</xdr:colOff>
      <xdr:row>3</xdr:row>
      <xdr:rowOff>0</xdr:rowOff>
    </xdr:from>
    <xdr:to>
      <xdr:col>7</xdr:col>
      <xdr:colOff>647699</xdr:colOff>
      <xdr:row>3</xdr:row>
      <xdr:rowOff>3810</xdr:rowOff>
    </xdr:to>
    <xdr:sp macro="" textlink="">
      <xdr:nvSpPr>
        <xdr:cNvPr id="4" name="Line 7">
          <a:extLst>
            <a:ext uri="{FF2B5EF4-FFF2-40B4-BE49-F238E27FC236}">
              <a16:creationId xmlns:a16="http://schemas.microsoft.com/office/drawing/2014/main" id="{00000000-0008-0000-0600-000004000000}"/>
            </a:ext>
          </a:extLst>
        </xdr:cNvPr>
        <xdr:cNvSpPr>
          <a:spLocks noChangeShapeType="1"/>
        </xdr:cNvSpPr>
      </xdr:nvSpPr>
      <xdr:spPr bwMode="auto">
        <a:xfrm flipH="1">
          <a:off x="264794" y="485775"/>
          <a:ext cx="6136005"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1533525</xdr:colOff>
      <xdr:row>3</xdr:row>
      <xdr:rowOff>109536</xdr:rowOff>
    </xdr:from>
    <xdr:to>
      <xdr:col>7</xdr:col>
      <xdr:colOff>695325</xdr:colOff>
      <xdr:row>24</xdr:row>
      <xdr:rowOff>104774</xdr:rowOff>
    </xdr:to>
    <xdr:graphicFrame macro="">
      <xdr:nvGraphicFramePr>
        <xdr:cNvPr id="2" name="Gráfico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206375</xdr:colOff>
      <xdr:row>4</xdr:row>
      <xdr:rowOff>82550</xdr:rowOff>
    </xdr:from>
    <xdr:to>
      <xdr:col>3</xdr:col>
      <xdr:colOff>463550</xdr:colOff>
      <xdr:row>6</xdr:row>
      <xdr:rowOff>15875</xdr:rowOff>
    </xdr:to>
    <xdr:sp macro="" textlink="$L$30">
      <xdr:nvSpPr>
        <xdr:cNvPr id="6" name="CuadroTexto 5">
          <a:extLst>
            <a:ext uri="{FF2B5EF4-FFF2-40B4-BE49-F238E27FC236}">
              <a16:creationId xmlns:a16="http://schemas.microsoft.com/office/drawing/2014/main" id="{00000000-0008-0000-0600-000006000000}"/>
            </a:ext>
          </a:extLst>
        </xdr:cNvPr>
        <xdr:cNvSpPr txBox="1"/>
      </xdr:nvSpPr>
      <xdr:spPr>
        <a:xfrm>
          <a:off x="2101850" y="730250"/>
          <a:ext cx="1057275" cy="257175"/>
        </a:xfrm>
        <a:prstGeom prst="rect">
          <a:avLst/>
        </a:prstGeom>
        <a:solidFill>
          <a:srgbClr val="F5F5F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lstStyle/>
        <a:p>
          <a:fld id="{8837D56B-7519-4B1D-AB16-B55BCB94499E}" type="TxLink">
            <a:rPr lang="en-US" sz="900" b="0" i="0" u="none" strike="noStrike">
              <a:solidFill>
                <a:srgbClr val="004563"/>
              </a:solidFill>
              <a:latin typeface="+mn-lt"/>
              <a:cs typeface="Arial"/>
            </a:rPr>
            <a:pPr/>
            <a:t> </a:t>
          </a:fld>
          <a:endParaRPr lang="es-ES" sz="900">
            <a:solidFill>
              <a:srgbClr val="004563"/>
            </a:solidFill>
            <a:latin typeface="+mn-lt"/>
          </a:endParaRPr>
        </a:p>
      </xdr:txBody>
    </xdr:sp>
    <xdr:clientData/>
  </xdr:twoCellAnchor>
  <xdr:twoCellAnchor editAs="oneCell">
    <xdr:from>
      <xdr:col>1</xdr:col>
      <xdr:colOff>28575</xdr:colOff>
      <xdr:row>0</xdr:row>
      <xdr:rowOff>133350</xdr:rowOff>
    </xdr:from>
    <xdr:to>
      <xdr:col>2</xdr:col>
      <xdr:colOff>209549</xdr:colOff>
      <xdr:row>2</xdr:row>
      <xdr:rowOff>27299</xdr:rowOff>
    </xdr:to>
    <xdr:pic>
      <xdr:nvPicPr>
        <xdr:cNvPr id="7" name="Imagen 6">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3</xdr:col>
      <xdr:colOff>63976</xdr:colOff>
      <xdr:row>6</xdr:row>
      <xdr:rowOff>91440</xdr:rowOff>
    </xdr:from>
    <xdr:to>
      <xdr:col>5</xdr:col>
      <xdr:colOff>4987</xdr:colOff>
      <xdr:row>24</xdr:row>
      <xdr:rowOff>99060</xdr:rowOff>
    </xdr:to>
    <xdr:graphicFrame macro="">
      <xdr:nvGraphicFramePr>
        <xdr:cNvPr id="27717083" name="Chart 1">
          <a:extLst>
            <a:ext uri="{FF2B5EF4-FFF2-40B4-BE49-F238E27FC236}">
              <a16:creationId xmlns:a16="http://schemas.microsoft.com/office/drawing/2014/main" id="{00000000-0008-0000-0800-0000DBED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27717085" name="Line 10">
          <a:extLst>
            <a:ext uri="{FF2B5EF4-FFF2-40B4-BE49-F238E27FC236}">
              <a16:creationId xmlns:a16="http://schemas.microsoft.com/office/drawing/2014/main" id="{00000000-0008-0000-0800-0000DDED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2860909</xdr:colOff>
      <xdr:row>10</xdr:row>
      <xdr:rowOff>74930</xdr:rowOff>
    </xdr:from>
    <xdr:to>
      <xdr:col>4</xdr:col>
      <xdr:colOff>2867660</xdr:colOff>
      <xdr:row>22</xdr:row>
      <xdr:rowOff>48226</xdr:rowOff>
    </xdr:to>
    <xdr:cxnSp macro="">
      <xdr:nvCxnSpPr>
        <xdr:cNvPr id="3" name="Conector recto 2">
          <a:extLst>
            <a:ext uri="{FF2B5EF4-FFF2-40B4-BE49-F238E27FC236}">
              <a16:creationId xmlns:a16="http://schemas.microsoft.com/office/drawing/2014/main" id="{00000000-0008-0000-0800-000003000000}"/>
            </a:ext>
          </a:extLst>
        </xdr:cNvPr>
        <xdr:cNvCxnSpPr/>
      </xdr:nvCxnSpPr>
      <xdr:spPr bwMode="auto">
        <a:xfrm flipV="1">
          <a:off x="4731619" y="1751330"/>
          <a:ext cx="6751" cy="1939256"/>
        </a:xfrm>
        <a:prstGeom prst="line">
          <a:avLst/>
        </a:prstGeom>
        <a:solidFill>
          <a:srgbClr val="FFFFFF"/>
        </a:solidFill>
        <a:ln w="9525" cap="flat" cmpd="sng" algn="ctr">
          <a:solidFill>
            <a:srgbClr val="004563"/>
          </a:solidFill>
          <a:prstDash val="solid"/>
          <a:round/>
          <a:headEnd type="none" w="med" len="med"/>
          <a:tailEnd type="none" w="med" len="med"/>
        </a:ln>
        <a:effectLst/>
      </xdr:spPr>
    </xdr:cxnSp>
    <xdr:clientData/>
  </xdr:twoCellAnchor>
  <xdr:twoCellAnchor editAs="oneCell">
    <xdr:from>
      <xdr:col>2</xdr:col>
      <xdr:colOff>57150</xdr:colOff>
      <xdr:row>1</xdr:row>
      <xdr:rowOff>133350</xdr:rowOff>
    </xdr:from>
    <xdr:to>
      <xdr:col>4</xdr:col>
      <xdr:colOff>152399</xdr:colOff>
      <xdr:row>2</xdr:row>
      <xdr:rowOff>84449</xdr:rowOff>
    </xdr:to>
    <xdr:pic>
      <xdr:nvPicPr>
        <xdr:cNvPr id="6" name="Imagen 5">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5" Type="http://schemas.openxmlformats.org/officeDocument/2006/relationships/image" Target="../media/image3.emf"/><Relationship Id="rId4" Type="http://schemas.openxmlformats.org/officeDocument/2006/relationships/control" Target="../activeX/activeX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8"/>
  <dimension ref="A1:B15"/>
  <sheetViews>
    <sheetView workbookViewId="0"/>
  </sheetViews>
  <sheetFormatPr baseColWidth="10" defaultRowHeight="13.2"/>
  <sheetData>
    <row r="1" spans="1:2">
      <c r="A1">
        <v>14</v>
      </c>
      <c r="B1" s="114" t="s">
        <v>296</v>
      </c>
    </row>
    <row r="2" spans="1:2">
      <c r="A2" t="s">
        <v>283</v>
      </c>
    </row>
    <row r="3" spans="1:2">
      <c r="A3" t="s">
        <v>284</v>
      </c>
    </row>
    <row r="4" spans="1:2">
      <c r="A4" t="s">
        <v>285</v>
      </c>
    </row>
    <row r="5" spans="1:2">
      <c r="A5" t="s">
        <v>286</v>
      </c>
    </row>
    <row r="6" spans="1:2">
      <c r="A6" t="s">
        <v>287</v>
      </c>
    </row>
    <row r="7" spans="1:2">
      <c r="A7" t="s">
        <v>288</v>
      </c>
    </row>
    <row r="8" spans="1:2">
      <c r="A8" t="s">
        <v>289</v>
      </c>
    </row>
    <row r="9" spans="1:2">
      <c r="A9" t="s">
        <v>290</v>
      </c>
    </row>
    <row r="10" spans="1:2">
      <c r="A10" t="s">
        <v>291</v>
      </c>
    </row>
    <row r="11" spans="1:2">
      <c r="A11" t="s">
        <v>292</v>
      </c>
    </row>
    <row r="12" spans="1:2">
      <c r="A12" t="s">
        <v>293</v>
      </c>
    </row>
    <row r="13" spans="1:2">
      <c r="A13" t="s">
        <v>294</v>
      </c>
    </row>
    <row r="14" spans="1:2">
      <c r="A14" t="s">
        <v>295</v>
      </c>
    </row>
    <row r="15" spans="1:2">
      <c r="A15" t="s">
        <v>297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7">
    <pageSetUpPr autoPageBreaks="0" fitToPage="1"/>
  </sheetPr>
  <dimension ref="A1:AL72"/>
  <sheetViews>
    <sheetView showGridLines="0" showRowColHeaders="0" topLeftCell="A5" zoomScale="106" zoomScaleNormal="106" workbookViewId="0">
      <selection activeCell="R25" sqref="R25"/>
    </sheetView>
  </sheetViews>
  <sheetFormatPr baseColWidth="10" defaultColWidth="11.44140625" defaultRowHeight="13.2"/>
  <cols>
    <col min="1" max="1" width="2.5546875" style="28" customWidth="1"/>
    <col min="2" max="2" width="23.5546875" style="28" customWidth="1"/>
    <col min="3" max="3" width="11.44140625" style="28" customWidth="1"/>
    <col min="4" max="8" width="11.44140625" style="28"/>
    <col min="9" max="9" width="11.5546875" style="28" bestFit="1" customWidth="1"/>
    <col min="10" max="14" width="11.44140625" style="28"/>
    <col min="15" max="15" width="17" style="28" bestFit="1" customWidth="1"/>
    <col min="16" max="16384" width="11.44140625" style="28"/>
  </cols>
  <sheetData>
    <row r="1" spans="2:38">
      <c r="L1" s="17" t="s">
        <v>31</v>
      </c>
    </row>
    <row r="2" spans="2:38">
      <c r="L2" s="18" t="str">
        <f>Indice!E3</f>
        <v>Agosto 2025</v>
      </c>
    </row>
    <row r="4" spans="2:38">
      <c r="B4" s="19" t="s">
        <v>30</v>
      </c>
      <c r="P4" s="63" t="s">
        <v>13</v>
      </c>
      <c r="Q4" s="63" t="s">
        <v>5</v>
      </c>
      <c r="R4" s="63" t="s">
        <v>6</v>
      </c>
      <c r="S4" s="63" t="s">
        <v>7</v>
      </c>
      <c r="T4" s="63" t="s">
        <v>8</v>
      </c>
      <c r="U4" s="63" t="s">
        <v>7</v>
      </c>
      <c r="V4" s="63" t="s">
        <v>9</v>
      </c>
      <c r="W4" s="63" t="s">
        <v>9</v>
      </c>
      <c r="X4" s="63" t="s">
        <v>8</v>
      </c>
      <c r="Y4" s="63" t="s">
        <v>10</v>
      </c>
      <c r="Z4" s="63" t="s">
        <v>11</v>
      </c>
      <c r="AA4" s="63" t="s">
        <v>12</v>
      </c>
      <c r="AB4" s="63" t="s">
        <v>13</v>
      </c>
    </row>
    <row r="5" spans="2:38" s="31" customFormat="1"/>
    <row r="6" spans="2:38" s="31" customFormat="1"/>
    <row r="7" spans="2:38" ht="12.75" customHeight="1">
      <c r="B7" s="248" t="s">
        <v>35</v>
      </c>
      <c r="F7" s="32"/>
      <c r="G7" s="32"/>
      <c r="H7" s="33"/>
      <c r="I7" s="33"/>
      <c r="J7" s="33"/>
      <c r="K7" s="33"/>
      <c r="L7" s="33"/>
      <c r="M7" s="33"/>
      <c r="AC7" s="33"/>
      <c r="AD7" s="33"/>
      <c r="AE7" s="33"/>
      <c r="AF7" s="33"/>
      <c r="AG7" s="33"/>
      <c r="AH7" s="33"/>
      <c r="AI7" s="33"/>
      <c r="AJ7" s="33"/>
      <c r="AK7" s="33"/>
      <c r="AL7" s="33"/>
    </row>
    <row r="8" spans="2:38">
      <c r="B8" s="248"/>
      <c r="F8" s="32"/>
      <c r="G8" s="32"/>
      <c r="H8" s="33"/>
      <c r="I8" s="33"/>
      <c r="J8" s="33"/>
      <c r="K8" s="33"/>
      <c r="L8" s="33"/>
      <c r="M8" s="33"/>
      <c r="AC8" s="33"/>
      <c r="AD8" s="33"/>
      <c r="AE8" s="33"/>
      <c r="AF8" s="33"/>
      <c r="AG8" s="33"/>
      <c r="AH8" s="33"/>
      <c r="AI8" s="33"/>
      <c r="AJ8" s="33"/>
      <c r="AK8" s="33"/>
      <c r="AL8" s="33"/>
    </row>
    <row r="9" spans="2:38">
      <c r="B9" s="47" t="s">
        <v>43</v>
      </c>
      <c r="F9" s="32"/>
      <c r="G9" s="32"/>
    </row>
    <row r="10" spans="2:38">
      <c r="B10" s="248"/>
      <c r="F10" s="32"/>
      <c r="G10" s="32"/>
    </row>
    <row r="11" spans="2:38">
      <c r="B11" s="248"/>
      <c r="F11" s="32"/>
      <c r="G11" s="32"/>
    </row>
    <row r="12" spans="2:38" s="31" customFormat="1">
      <c r="B12" s="248"/>
      <c r="F12" s="32"/>
      <c r="G12" s="32"/>
    </row>
    <row r="13" spans="2:38">
      <c r="B13" s="248"/>
      <c r="F13" s="32"/>
      <c r="G13" s="32"/>
      <c r="H13" s="33"/>
      <c r="I13" s="33"/>
      <c r="J13" s="33"/>
      <c r="K13" s="33"/>
      <c r="L13" s="33"/>
      <c r="M13" s="33"/>
      <c r="AC13" s="33"/>
      <c r="AD13" s="33"/>
      <c r="AE13" s="33"/>
      <c r="AF13" s="33"/>
      <c r="AG13" s="33"/>
      <c r="AH13" s="33"/>
      <c r="AI13" s="33"/>
      <c r="AJ13" s="33"/>
    </row>
    <row r="14" spans="2:38">
      <c r="F14" s="32"/>
      <c r="G14" s="32"/>
    </row>
    <row r="15" spans="2:38">
      <c r="F15" s="32"/>
      <c r="G15" s="32"/>
    </row>
    <row r="16" spans="2:38">
      <c r="F16" s="32"/>
      <c r="G16" s="32"/>
    </row>
    <row r="17" spans="6:7">
      <c r="F17" s="32"/>
      <c r="G17" s="32"/>
    </row>
    <row r="18" spans="6:7">
      <c r="F18" s="32"/>
      <c r="G18" s="32"/>
    </row>
    <row r="19" spans="6:7">
      <c r="F19" s="32"/>
      <c r="G19" s="32"/>
    </row>
    <row r="20" spans="6:7">
      <c r="F20" s="32"/>
      <c r="G20" s="32"/>
    </row>
    <row r="21" spans="6:7">
      <c r="F21" s="32"/>
      <c r="G21" s="32"/>
    </row>
    <row r="22" spans="6:7">
      <c r="F22" s="32"/>
      <c r="G22" s="32"/>
    </row>
    <row r="23" spans="6:7">
      <c r="F23" s="32"/>
      <c r="G23" s="32"/>
    </row>
    <row r="24" spans="6:7">
      <c r="F24" s="32"/>
      <c r="G24" s="32"/>
    </row>
    <row r="25" spans="6:7">
      <c r="F25" s="32"/>
      <c r="G25" s="32"/>
    </row>
    <row r="26" spans="6:7">
      <c r="F26" s="32"/>
      <c r="G26" s="32"/>
    </row>
    <row r="27" spans="6:7">
      <c r="F27" s="32"/>
      <c r="G27" s="32"/>
    </row>
    <row r="28" spans="6:7">
      <c r="F28" s="32"/>
      <c r="G28" s="32"/>
    </row>
    <row r="29" spans="6:7">
      <c r="F29" s="32"/>
      <c r="G29" s="32"/>
    </row>
    <row r="30" spans="6:7">
      <c r="F30" s="32"/>
      <c r="G30" s="32"/>
    </row>
    <row r="31" spans="6:7">
      <c r="F31" s="32"/>
      <c r="G31" s="32"/>
    </row>
    <row r="32" spans="6:7">
      <c r="F32" s="32"/>
      <c r="G32" s="32"/>
    </row>
    <row r="33" spans="1:7">
      <c r="F33" s="32"/>
      <c r="G33" s="32"/>
    </row>
    <row r="34" spans="1:7">
      <c r="F34" s="32"/>
      <c r="G34" s="32"/>
    </row>
    <row r="35" spans="1:7">
      <c r="F35" s="32"/>
      <c r="G35" s="32"/>
    </row>
    <row r="36" spans="1:7" ht="12.75" customHeight="1"/>
    <row r="40" spans="1:7" s="20" customFormat="1">
      <c r="A40" s="28"/>
      <c r="B40" s="28"/>
    </row>
    <row r="41" spans="1:7" s="20" customFormat="1">
      <c r="A41" s="28"/>
      <c r="B41" s="28"/>
    </row>
    <row r="42" spans="1:7" s="20" customFormat="1">
      <c r="A42" s="28"/>
      <c r="B42" s="28"/>
    </row>
    <row r="57" spans="10:16">
      <c r="J57" s="29"/>
      <c r="K57" s="35"/>
      <c r="L57" s="36"/>
      <c r="M57" s="36"/>
      <c r="N57" s="35"/>
      <c r="O57" s="35"/>
    </row>
    <row r="58" spans="10:16">
      <c r="K58" s="29"/>
      <c r="L58" s="35"/>
      <c r="M58" s="36"/>
      <c r="N58" s="36"/>
      <c r="O58" s="35"/>
      <c r="P58" s="35"/>
    </row>
    <row r="59" spans="10:16">
      <c r="K59" s="29"/>
      <c r="L59" s="35"/>
      <c r="M59" s="36"/>
      <c r="N59" s="36"/>
      <c r="O59" s="35"/>
      <c r="P59" s="35"/>
    </row>
    <row r="60" spans="10:16">
      <c r="K60" s="29"/>
      <c r="L60" s="35"/>
      <c r="M60" s="36"/>
      <c r="N60" s="36"/>
      <c r="O60" s="35"/>
      <c r="P60" s="35"/>
    </row>
    <row r="61" spans="10:16">
      <c r="K61" s="29"/>
      <c r="L61" s="35"/>
      <c r="M61" s="36"/>
      <c r="N61" s="36"/>
      <c r="O61" s="35"/>
      <c r="P61" s="35"/>
    </row>
    <row r="62" spans="10:16">
      <c r="K62" s="29"/>
      <c r="L62" s="35"/>
      <c r="M62" s="36"/>
      <c r="N62" s="36"/>
      <c r="O62" s="35"/>
      <c r="P62" s="35"/>
    </row>
    <row r="63" spans="10:16">
      <c r="K63" s="29"/>
      <c r="L63" s="35"/>
      <c r="M63" s="36"/>
      <c r="N63" s="36"/>
      <c r="O63" s="35"/>
      <c r="P63" s="35"/>
    </row>
    <row r="64" spans="10:16">
      <c r="K64" s="29"/>
      <c r="L64" s="35"/>
      <c r="M64" s="36"/>
      <c r="N64" s="36"/>
      <c r="O64" s="35"/>
      <c r="P64" s="35"/>
    </row>
    <row r="65" spans="1:16">
      <c r="K65" s="29"/>
      <c r="L65" s="35"/>
      <c r="M65" s="36"/>
      <c r="N65" s="36"/>
      <c r="O65" s="35"/>
      <c r="P65" s="35"/>
    </row>
    <row r="66" spans="1:16">
      <c r="K66" s="29"/>
      <c r="L66" s="35"/>
      <c r="M66" s="36"/>
      <c r="N66" s="36"/>
      <c r="O66" s="35"/>
      <c r="P66" s="35"/>
    </row>
    <row r="67" spans="1:16" s="20" customFormat="1">
      <c r="B67" s="28"/>
      <c r="C67" s="28"/>
      <c r="D67" s="28"/>
      <c r="E67" s="28"/>
      <c r="F67" s="28"/>
      <c r="G67" s="28"/>
      <c r="H67" s="28"/>
      <c r="I67" s="28"/>
      <c r="J67" s="28"/>
      <c r="K67" s="29"/>
      <c r="L67" s="35"/>
      <c r="M67" s="36"/>
      <c r="N67" s="37"/>
      <c r="O67" s="35"/>
      <c r="P67" s="35"/>
    </row>
    <row r="68" spans="1:16" s="20" customFormat="1">
      <c r="B68" s="28"/>
      <c r="C68" s="28"/>
      <c r="D68" s="28"/>
      <c r="E68" s="28"/>
      <c r="F68" s="28"/>
      <c r="G68" s="28"/>
      <c r="H68" s="28"/>
      <c r="I68" s="28"/>
      <c r="J68" s="28"/>
      <c r="K68" s="28"/>
      <c r="L68" s="35"/>
      <c r="M68" s="37"/>
      <c r="N68" s="37"/>
      <c r="O68" s="35"/>
      <c r="P68" s="35"/>
    </row>
    <row r="69" spans="1:16">
      <c r="A69" s="20"/>
      <c r="K69" s="30"/>
      <c r="M69" s="36"/>
      <c r="N69" s="36"/>
      <c r="O69" s="35"/>
      <c r="P69" s="35"/>
    </row>
    <row r="70" spans="1:16">
      <c r="A70" s="20"/>
      <c r="B70" s="20"/>
      <c r="C70" s="20"/>
      <c r="D70" s="37"/>
      <c r="E70" s="37"/>
      <c r="F70" s="37"/>
      <c r="G70" s="37"/>
      <c r="H70" s="37"/>
      <c r="J70" s="34"/>
    </row>
    <row r="71" spans="1:16">
      <c r="J71" s="34"/>
    </row>
    <row r="72" spans="1:16">
      <c r="F72" s="32"/>
      <c r="G72" s="32"/>
      <c r="J72" s="34"/>
    </row>
  </sheetData>
  <mergeCells count="2">
    <mergeCell ref="B7:B8"/>
    <mergeCell ref="B10:B13"/>
  </mergeCells>
  <conditionalFormatting sqref="K69">
    <cfRule type="cellIs" dxfId="7"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8">
    <pageSetUpPr autoPageBreaks="0" fitToPage="1"/>
  </sheetPr>
  <dimension ref="A1:AK70"/>
  <sheetViews>
    <sheetView showGridLines="0" showRowColHeaders="0" zoomScaleNormal="100" workbookViewId="0">
      <selection activeCell="U21" sqref="U21"/>
    </sheetView>
  </sheetViews>
  <sheetFormatPr baseColWidth="10" defaultColWidth="11.44140625" defaultRowHeight="13.2"/>
  <cols>
    <col min="1" max="1" width="2.5546875" style="28" customWidth="1"/>
    <col min="2" max="2" width="21.5546875" style="28" customWidth="1"/>
    <col min="3" max="3" width="11.44140625" style="28" customWidth="1"/>
    <col min="4" max="8" width="11.44140625" style="28"/>
    <col min="9" max="9" width="11.5546875" style="28" bestFit="1" customWidth="1"/>
    <col min="10" max="13" width="11.44140625" style="28"/>
    <col min="14" max="14" width="15.5546875" style="28" customWidth="1"/>
    <col min="15" max="16384" width="11.44140625" style="28"/>
  </cols>
  <sheetData>
    <row r="1" spans="2:37">
      <c r="L1" s="17" t="s">
        <v>31</v>
      </c>
    </row>
    <row r="2" spans="2:37">
      <c r="L2" s="18" t="str">
        <f>Indice!E3</f>
        <v>Agosto 2025</v>
      </c>
    </row>
    <row r="4" spans="2:37">
      <c r="B4" s="19" t="s">
        <v>30</v>
      </c>
      <c r="O4" s="63" t="s">
        <v>9</v>
      </c>
      <c r="P4" s="63" t="s">
        <v>13</v>
      </c>
      <c r="Q4" s="63" t="s">
        <v>5</v>
      </c>
      <c r="R4" s="63" t="s">
        <v>6</v>
      </c>
      <c r="S4" s="63" t="s">
        <v>7</v>
      </c>
      <c r="T4" s="63" t="s">
        <v>8</v>
      </c>
      <c r="U4" s="63" t="s">
        <v>7</v>
      </c>
      <c r="V4" s="63" t="s">
        <v>9</v>
      </c>
      <c r="W4" s="63" t="s">
        <v>9</v>
      </c>
      <c r="X4" s="63" t="s">
        <v>8</v>
      </c>
      <c r="Y4" s="63" t="s">
        <v>10</v>
      </c>
      <c r="Z4" s="63" t="s">
        <v>11</v>
      </c>
      <c r="AA4" s="63" t="s">
        <v>12</v>
      </c>
    </row>
    <row r="5" spans="2:37" s="31" customFormat="1"/>
    <row r="6" spans="2:37" s="31" customFormat="1"/>
    <row r="7" spans="2:37" ht="12.75" customHeight="1">
      <c r="B7" s="248" t="s">
        <v>219</v>
      </c>
      <c r="F7" s="32"/>
      <c r="G7" s="32"/>
      <c r="H7" s="33"/>
      <c r="I7" s="33"/>
      <c r="J7" s="33"/>
      <c r="K7" s="33"/>
      <c r="L7" s="33"/>
      <c r="M7" s="33"/>
      <c r="AB7" s="33"/>
      <c r="AC7" s="33"/>
      <c r="AD7" s="33"/>
      <c r="AE7" s="33"/>
      <c r="AF7" s="33"/>
      <c r="AG7" s="33"/>
      <c r="AH7" s="33"/>
      <c r="AI7" s="33"/>
      <c r="AJ7" s="33"/>
      <c r="AK7" s="33"/>
    </row>
    <row r="8" spans="2:37">
      <c r="B8" s="248"/>
      <c r="F8" s="32"/>
      <c r="G8" s="32"/>
      <c r="H8" s="33"/>
      <c r="I8" s="33"/>
      <c r="J8" s="33"/>
      <c r="K8" s="33"/>
      <c r="L8" s="33"/>
      <c r="M8" s="33"/>
      <c r="AB8" s="33"/>
      <c r="AC8" s="33"/>
      <c r="AD8" s="33"/>
      <c r="AE8" s="33"/>
      <c r="AF8" s="33"/>
      <c r="AG8" s="33"/>
      <c r="AH8" s="33"/>
      <c r="AI8" s="33"/>
      <c r="AJ8" s="33"/>
      <c r="AK8" s="33"/>
    </row>
    <row r="9" spans="2:37">
      <c r="B9" s="47" t="s">
        <v>131</v>
      </c>
      <c r="F9" s="32"/>
      <c r="G9" s="32"/>
    </row>
    <row r="10" spans="2:37">
      <c r="B10" s="248"/>
      <c r="F10" s="32"/>
      <c r="G10" s="32"/>
    </row>
    <row r="11" spans="2:37" s="31" customFormat="1">
      <c r="B11" s="248"/>
      <c r="F11" s="32"/>
      <c r="G11" s="32"/>
    </row>
    <row r="12" spans="2:37">
      <c r="B12" s="248"/>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7">
      <c r="F17" s="32"/>
      <c r="G17" s="32"/>
    </row>
    <row r="18" spans="6:7">
      <c r="F18" s="32"/>
      <c r="G18" s="32"/>
    </row>
    <row r="19" spans="6:7">
      <c r="F19" s="32"/>
      <c r="G19" s="32"/>
    </row>
    <row r="20" spans="6:7">
      <c r="F20" s="32"/>
      <c r="G20" s="32"/>
    </row>
    <row r="21" spans="6:7">
      <c r="F21" s="32"/>
      <c r="G21" s="32"/>
    </row>
    <row r="22" spans="6:7">
      <c r="F22" s="32"/>
      <c r="G22" s="32"/>
    </row>
    <row r="23" spans="6:7">
      <c r="F23" s="32"/>
      <c r="G23" s="32"/>
    </row>
    <row r="24" spans="6:7">
      <c r="F24" s="32"/>
      <c r="G24" s="32"/>
    </row>
    <row r="25" spans="6:7">
      <c r="F25" s="32"/>
      <c r="G25" s="32"/>
    </row>
    <row r="26" spans="6:7">
      <c r="F26" s="32"/>
      <c r="G26" s="32"/>
    </row>
    <row r="27" spans="6:7">
      <c r="F27" s="32"/>
      <c r="G27" s="32"/>
    </row>
    <row r="28" spans="6:7">
      <c r="F28" s="32"/>
      <c r="G28" s="32"/>
    </row>
    <row r="29" spans="6:7">
      <c r="F29" s="32"/>
      <c r="G29" s="32"/>
    </row>
    <row r="30" spans="6:7">
      <c r="F30" s="32"/>
      <c r="G30" s="32"/>
    </row>
    <row r="31" spans="6:7">
      <c r="F31" s="32"/>
      <c r="G31" s="32"/>
    </row>
    <row r="32" spans="6:7">
      <c r="F32" s="32"/>
      <c r="G32" s="32"/>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2">
    <mergeCell ref="B7:B8"/>
    <mergeCell ref="B10:B12"/>
  </mergeCells>
  <conditionalFormatting sqref="K67">
    <cfRule type="cellIs" dxfId="6"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0">
    <pageSetUpPr autoPageBreaks="0" fitToPage="1"/>
  </sheetPr>
  <dimension ref="A1:AK70"/>
  <sheetViews>
    <sheetView showGridLines="0" showRowColHeaders="0" zoomScale="93" zoomScaleNormal="93" workbookViewId="0">
      <selection activeCell="G37" sqref="G37"/>
    </sheetView>
  </sheetViews>
  <sheetFormatPr baseColWidth="10" defaultColWidth="11.44140625" defaultRowHeight="13.2"/>
  <cols>
    <col min="1" max="1" width="2.5546875" style="28" customWidth="1"/>
    <col min="2" max="2" width="21.5546875" style="28" customWidth="1"/>
    <col min="3" max="3" width="11.44140625" style="28" customWidth="1"/>
    <col min="4" max="8" width="11.44140625" style="28"/>
    <col min="9" max="9" width="11.5546875" style="28" bestFit="1" customWidth="1"/>
    <col min="10" max="13" width="11.44140625" style="28"/>
    <col min="14" max="14" width="15.5546875" style="28" customWidth="1"/>
    <col min="15" max="25" width="8.44140625" style="28" customWidth="1"/>
    <col min="26" max="26" width="8.5546875" style="28" customWidth="1"/>
    <col min="27" max="27" width="11.44140625" style="28" customWidth="1"/>
    <col min="28" max="16384" width="11.44140625" style="28"/>
  </cols>
  <sheetData>
    <row r="1" spans="2:37">
      <c r="L1" s="17" t="s">
        <v>31</v>
      </c>
    </row>
    <row r="2" spans="2:37">
      <c r="L2" s="18" t="str">
        <f>Indice!E3</f>
        <v>Agosto 2025</v>
      </c>
    </row>
    <row r="4" spans="2:37">
      <c r="B4" s="19" t="s">
        <v>30</v>
      </c>
      <c r="O4" s="63" t="s">
        <v>13</v>
      </c>
      <c r="P4" s="63" t="s">
        <v>5</v>
      </c>
      <c r="Q4" s="63" t="s">
        <v>6</v>
      </c>
      <c r="R4" s="63" t="s">
        <v>7</v>
      </c>
      <c r="S4" s="63" t="s">
        <v>8</v>
      </c>
      <c r="T4" s="63" t="s">
        <v>7</v>
      </c>
      <c r="U4" s="63" t="s">
        <v>9</v>
      </c>
      <c r="V4" s="63" t="s">
        <v>9</v>
      </c>
      <c r="W4" s="63" t="s">
        <v>8</v>
      </c>
      <c r="X4" s="63" t="s">
        <v>10</v>
      </c>
      <c r="Y4" s="63" t="s">
        <v>11</v>
      </c>
      <c r="Z4" s="63" t="s">
        <v>12</v>
      </c>
      <c r="AA4" s="63" t="s">
        <v>13</v>
      </c>
    </row>
    <row r="5" spans="2:37" s="31" customFormat="1"/>
    <row r="6" spans="2:37" s="31" customFormat="1"/>
    <row r="7" spans="2:37" ht="12.75" customHeight="1">
      <c r="B7" s="248" t="s">
        <v>64</v>
      </c>
      <c r="F7" s="32"/>
      <c r="G7" s="32"/>
      <c r="H7" s="33"/>
      <c r="I7" s="33"/>
      <c r="J7" s="33"/>
      <c r="K7" s="33"/>
      <c r="L7" s="33"/>
      <c r="M7" s="33"/>
      <c r="AB7" s="33"/>
      <c r="AC7" s="33"/>
      <c r="AD7" s="33"/>
      <c r="AE7" s="33"/>
      <c r="AF7" s="33"/>
      <c r="AG7" s="33"/>
      <c r="AH7" s="33"/>
      <c r="AI7" s="33"/>
      <c r="AJ7" s="33"/>
      <c r="AK7" s="33"/>
    </row>
    <row r="8" spans="2:37">
      <c r="B8" s="248"/>
      <c r="F8" s="32"/>
      <c r="G8" s="32"/>
      <c r="H8" s="33"/>
      <c r="I8" s="33"/>
      <c r="J8" s="33"/>
      <c r="K8" s="33"/>
      <c r="L8" s="33"/>
      <c r="M8" s="33"/>
      <c r="AB8" s="33"/>
      <c r="AC8" s="33"/>
      <c r="AD8" s="33"/>
      <c r="AE8" s="33"/>
      <c r="AF8" s="33"/>
      <c r="AG8" s="33"/>
      <c r="AH8" s="33"/>
      <c r="AI8" s="33"/>
      <c r="AJ8" s="33"/>
      <c r="AK8" s="33"/>
    </row>
    <row r="9" spans="2:37">
      <c r="B9" s="47" t="s">
        <v>43</v>
      </c>
      <c r="F9" s="32"/>
      <c r="G9" s="32"/>
    </row>
    <row r="10" spans="2:37">
      <c r="B10" s="248"/>
      <c r="F10" s="32"/>
      <c r="G10" s="32"/>
    </row>
    <row r="11" spans="2:37" s="31" customFormat="1">
      <c r="B11" s="248"/>
      <c r="F11" s="32"/>
      <c r="G11" s="32"/>
    </row>
    <row r="12" spans="2:37">
      <c r="B12" s="248"/>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14">
      <c r="F17" s="32"/>
      <c r="G17" s="32"/>
    </row>
    <row r="18" spans="6:14">
      <c r="F18" s="32"/>
      <c r="G18" s="32"/>
    </row>
    <row r="19" spans="6:14">
      <c r="F19" s="32"/>
      <c r="G19" s="32"/>
    </row>
    <row r="20" spans="6:14" ht="13.8">
      <c r="F20" s="32"/>
      <c r="G20" s="32"/>
      <c r="N20" s="68"/>
    </row>
    <row r="21" spans="6:14">
      <c r="F21" s="32"/>
      <c r="G21" s="32"/>
      <c r="N21" s="67"/>
    </row>
    <row r="22" spans="6:14">
      <c r="F22" s="32"/>
      <c r="G22" s="32"/>
    </row>
    <row r="23" spans="6:14">
      <c r="F23" s="32"/>
      <c r="G23" s="32"/>
    </row>
    <row r="24" spans="6:14">
      <c r="F24" s="32"/>
      <c r="G24" s="32"/>
    </row>
    <row r="25" spans="6:14">
      <c r="F25" s="32"/>
      <c r="G25" s="32"/>
    </row>
    <row r="26" spans="6:14">
      <c r="F26" s="32"/>
      <c r="G26" s="32"/>
    </row>
    <row r="27" spans="6:14">
      <c r="F27" s="32"/>
      <c r="G27" s="32"/>
    </row>
    <row r="28" spans="6:14">
      <c r="F28" s="32"/>
      <c r="G28" s="32"/>
    </row>
    <row r="29" spans="6:14">
      <c r="F29" s="32"/>
      <c r="G29" s="32"/>
    </row>
    <row r="30" spans="6:14">
      <c r="F30" s="32"/>
      <c r="G30" s="32"/>
    </row>
    <row r="31" spans="6:14">
      <c r="F31" s="32"/>
      <c r="G31" s="32"/>
    </row>
    <row r="32" spans="6:14">
      <c r="F32" s="32"/>
      <c r="G32" s="32"/>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2">
    <mergeCell ref="B7:B8"/>
    <mergeCell ref="B10:B12"/>
  </mergeCells>
  <conditionalFormatting sqref="K67">
    <cfRule type="cellIs" dxfId="5"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47" orientation="landscape" horizontalDpi="355" verticalDpi="355"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1">
    <pageSetUpPr autoPageBreaks="0" fitToPage="1"/>
  </sheetPr>
  <dimension ref="A1:AL70"/>
  <sheetViews>
    <sheetView showGridLines="0" showRowColHeaders="0" zoomScale="98" zoomScaleNormal="98" workbookViewId="0">
      <selection activeCell="K42" sqref="K42"/>
    </sheetView>
  </sheetViews>
  <sheetFormatPr baseColWidth="10" defaultColWidth="11.44140625" defaultRowHeight="13.2"/>
  <cols>
    <col min="1" max="1" width="2.5546875" style="28" customWidth="1"/>
    <col min="2" max="2" width="23.5546875" style="28" customWidth="1"/>
    <col min="3" max="3" width="11.44140625" style="28" customWidth="1"/>
    <col min="4" max="8" width="11.44140625" style="28"/>
    <col min="9" max="9" width="11.5546875" style="28" bestFit="1" customWidth="1"/>
    <col min="10" max="16384" width="11.44140625" style="28"/>
  </cols>
  <sheetData>
    <row r="1" spans="2:38">
      <c r="L1" s="17" t="s">
        <v>31</v>
      </c>
    </row>
    <row r="2" spans="2:38">
      <c r="L2" s="18" t="str">
        <f>Indice!E3</f>
        <v>Agosto 2025</v>
      </c>
    </row>
    <row r="4" spans="2:38">
      <c r="B4" s="19" t="s">
        <v>30</v>
      </c>
      <c r="P4" s="63" t="s">
        <v>9</v>
      </c>
      <c r="Q4" s="63" t="s">
        <v>8</v>
      </c>
      <c r="R4" s="63" t="s">
        <v>10</v>
      </c>
      <c r="S4" s="63" t="s">
        <v>11</v>
      </c>
      <c r="T4" s="63" t="s">
        <v>12</v>
      </c>
      <c r="U4" s="63" t="s">
        <v>13</v>
      </c>
      <c r="V4" s="63" t="s">
        <v>5</v>
      </c>
      <c r="W4" s="63" t="s">
        <v>6</v>
      </c>
      <c r="X4" s="63" t="s">
        <v>7</v>
      </c>
      <c r="Y4" s="63" t="s">
        <v>8</v>
      </c>
      <c r="Z4" s="63" t="s">
        <v>7</v>
      </c>
      <c r="AA4" s="63" t="s">
        <v>9</v>
      </c>
      <c r="AB4" s="63" t="s">
        <v>9</v>
      </c>
    </row>
    <row r="5" spans="2:38" s="31" customFormat="1"/>
    <row r="6" spans="2:38" s="31" customFormat="1"/>
    <row r="7" spans="2:38" ht="12.75" customHeight="1">
      <c r="B7" s="47" t="s">
        <v>3</v>
      </c>
      <c r="F7" s="32"/>
      <c r="G7" s="32"/>
      <c r="H7" s="33"/>
      <c r="I7" s="33"/>
      <c r="J7" s="33"/>
      <c r="K7" s="33"/>
      <c r="L7" s="33"/>
      <c r="M7" s="33"/>
      <c r="AC7" s="33"/>
      <c r="AD7" s="33"/>
      <c r="AE7" s="33"/>
      <c r="AF7" s="33"/>
      <c r="AG7" s="33"/>
      <c r="AH7" s="33"/>
      <c r="AI7" s="33"/>
      <c r="AJ7" s="33"/>
      <c r="AK7" s="33"/>
      <c r="AL7" s="33"/>
    </row>
    <row r="8" spans="2:38">
      <c r="B8" s="47" t="s">
        <v>43</v>
      </c>
      <c r="F8" s="32"/>
      <c r="G8" s="32"/>
      <c r="H8" s="33"/>
      <c r="I8" s="33"/>
      <c r="J8" s="33"/>
      <c r="K8" s="33"/>
      <c r="L8" s="33"/>
      <c r="M8" s="33"/>
      <c r="AC8" s="33"/>
      <c r="AD8" s="33"/>
      <c r="AE8" s="33"/>
      <c r="AF8" s="33"/>
      <c r="AG8" s="33"/>
      <c r="AH8" s="33"/>
      <c r="AI8" s="33"/>
      <c r="AJ8" s="33"/>
      <c r="AK8" s="33"/>
      <c r="AL8" s="33"/>
    </row>
    <row r="9" spans="2:38" ht="12.75" customHeight="1">
      <c r="B9" s="47"/>
      <c r="F9" s="32"/>
      <c r="G9" s="32"/>
    </row>
    <row r="10" spans="2:38" ht="12.75" customHeight="1">
      <c r="B10" s="248"/>
      <c r="F10" s="32"/>
      <c r="G10" s="32"/>
    </row>
    <row r="11" spans="2:38" s="31" customFormat="1" ht="12.75" customHeight="1">
      <c r="B11" s="248"/>
      <c r="F11" s="32"/>
      <c r="G11" s="32"/>
    </row>
    <row r="12" spans="2:38" ht="12.75" customHeight="1">
      <c r="B12" s="248"/>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7" ht="12.75" customHeight="1">
      <c r="F33" s="32"/>
      <c r="G33" s="32"/>
    </row>
    <row r="34" spans="1:7" ht="12.75" customHeight="1"/>
    <row r="35" spans="1:7" ht="12.75" customHeight="1"/>
    <row r="36" spans="1:7" ht="12.75" customHeight="1"/>
    <row r="37" spans="1:7" ht="12.75" customHeight="1"/>
    <row r="38" spans="1:7" s="20" customFormat="1" ht="12.75" customHeight="1">
      <c r="A38" s="28"/>
      <c r="B38" s="28"/>
    </row>
    <row r="39" spans="1:7" s="20" customFormat="1" ht="12.75" customHeight="1">
      <c r="A39" s="28"/>
      <c r="B39" s="28"/>
    </row>
    <row r="40" spans="1:7" s="20" customFormat="1" ht="12.75" customHeight="1">
      <c r="A40" s="28"/>
      <c r="B40" s="28"/>
    </row>
    <row r="41" spans="1:7" ht="12.75" customHeight="1"/>
    <row r="55" spans="10:16">
      <c r="J55" s="29"/>
      <c r="K55" s="35"/>
      <c r="L55" s="36"/>
      <c r="M55" s="36"/>
      <c r="N55" s="35"/>
      <c r="O55" s="35"/>
    </row>
    <row r="56" spans="10:16">
      <c r="K56" s="29"/>
      <c r="L56" s="35"/>
      <c r="M56" s="36"/>
      <c r="N56" s="36"/>
      <c r="O56" s="35"/>
      <c r="P56" s="35"/>
    </row>
    <row r="57" spans="10:16">
      <c r="K57" s="29"/>
      <c r="L57" s="35"/>
      <c r="M57" s="36"/>
      <c r="N57" s="36"/>
      <c r="O57" s="35"/>
      <c r="P57" s="35"/>
    </row>
    <row r="58" spans="10:16">
      <c r="K58" s="29"/>
      <c r="L58" s="35"/>
      <c r="M58" s="36"/>
      <c r="N58" s="36"/>
      <c r="O58" s="35"/>
      <c r="P58" s="35"/>
    </row>
    <row r="59" spans="10:16">
      <c r="K59" s="29"/>
      <c r="L59" s="35"/>
      <c r="M59" s="36"/>
      <c r="N59" s="36"/>
      <c r="O59" s="35"/>
      <c r="P59" s="35"/>
    </row>
    <row r="60" spans="10:16">
      <c r="K60" s="29"/>
      <c r="L60" s="35"/>
      <c r="M60" s="36"/>
      <c r="N60" s="36"/>
      <c r="O60" s="35"/>
      <c r="P60" s="35"/>
    </row>
    <row r="61" spans="10:16">
      <c r="K61" s="29"/>
      <c r="L61" s="35"/>
      <c r="M61" s="36"/>
      <c r="N61" s="36"/>
      <c r="O61" s="35"/>
      <c r="P61" s="35"/>
    </row>
    <row r="62" spans="10:16">
      <c r="K62" s="29"/>
      <c r="L62" s="35"/>
      <c r="M62" s="36"/>
      <c r="N62" s="36"/>
      <c r="O62" s="35"/>
      <c r="P62" s="35"/>
    </row>
    <row r="63" spans="10:16">
      <c r="K63" s="29"/>
      <c r="L63" s="35"/>
      <c r="M63" s="36"/>
      <c r="N63" s="36"/>
      <c r="O63" s="35"/>
      <c r="P63" s="35"/>
    </row>
    <row r="64" spans="10:16">
      <c r="K64" s="29"/>
      <c r="L64" s="35"/>
      <c r="M64" s="36"/>
      <c r="N64" s="36"/>
      <c r="O64" s="35"/>
      <c r="P64" s="35"/>
    </row>
    <row r="65" spans="1:16" s="20" customFormat="1">
      <c r="B65" s="28"/>
      <c r="C65" s="28"/>
      <c r="D65" s="28"/>
      <c r="E65" s="28"/>
      <c r="F65" s="28"/>
      <c r="G65" s="28"/>
      <c r="H65" s="28"/>
      <c r="I65" s="28"/>
      <c r="J65" s="28"/>
      <c r="K65" s="29"/>
      <c r="L65" s="35"/>
      <c r="M65" s="36"/>
      <c r="N65" s="37"/>
      <c r="O65" s="35"/>
      <c r="P65" s="35"/>
    </row>
    <row r="66" spans="1:16" s="20" customFormat="1">
      <c r="B66" s="28"/>
      <c r="C66" s="28"/>
      <c r="D66" s="28"/>
      <c r="E66" s="28"/>
      <c r="F66" s="28"/>
      <c r="G66" s="28"/>
      <c r="H66" s="28"/>
      <c r="I66" s="28"/>
      <c r="J66" s="28"/>
      <c r="K66" s="28"/>
      <c r="L66" s="35"/>
      <c r="M66" s="37"/>
      <c r="N66" s="37"/>
      <c r="O66" s="35"/>
      <c r="P66" s="35"/>
    </row>
    <row r="67" spans="1:16">
      <c r="A67" s="20"/>
      <c r="K67" s="30"/>
      <c r="M67" s="36"/>
      <c r="N67" s="36"/>
      <c r="O67" s="35"/>
      <c r="P67" s="35"/>
    </row>
    <row r="68" spans="1:16">
      <c r="A68" s="20"/>
      <c r="B68" s="20"/>
      <c r="C68" s="20"/>
      <c r="D68" s="37"/>
      <c r="E68" s="37"/>
      <c r="F68" s="37"/>
      <c r="G68" s="37"/>
      <c r="H68" s="37"/>
      <c r="J68" s="34"/>
    </row>
    <row r="69" spans="1:16">
      <c r="J69" s="34"/>
    </row>
    <row r="70" spans="1:16">
      <c r="F70" s="32"/>
      <c r="G70" s="32"/>
      <c r="J70" s="34"/>
    </row>
  </sheetData>
  <mergeCells count="1">
    <mergeCell ref="B10:B12"/>
  </mergeCells>
  <conditionalFormatting sqref="K67">
    <cfRule type="cellIs" dxfId="4"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2">
    <pageSetUpPr autoPageBreaks="0" fitToPage="1"/>
  </sheetPr>
  <dimension ref="A1:AL70"/>
  <sheetViews>
    <sheetView showGridLines="0" showRowColHeaders="0" zoomScale="98" zoomScaleNormal="98" workbookViewId="0">
      <selection activeCell="Q23" sqref="Q23"/>
    </sheetView>
  </sheetViews>
  <sheetFormatPr baseColWidth="10" defaultColWidth="11.44140625" defaultRowHeight="13.2"/>
  <cols>
    <col min="1" max="1" width="2.5546875" style="28" customWidth="1"/>
    <col min="2" max="2" width="23.5546875" style="28" customWidth="1"/>
    <col min="3" max="3" width="11.44140625" style="28" customWidth="1"/>
    <col min="4" max="8" width="11.44140625" style="28"/>
    <col min="9" max="9" width="11.5546875" style="28" bestFit="1" customWidth="1"/>
    <col min="10" max="16384" width="11.44140625" style="28"/>
  </cols>
  <sheetData>
    <row r="1" spans="2:38">
      <c r="L1" s="17" t="s">
        <v>31</v>
      </c>
    </row>
    <row r="2" spans="2:38">
      <c r="L2" s="18" t="str">
        <f>Indice!E3</f>
        <v>Agosto 2025</v>
      </c>
    </row>
    <row r="4" spans="2:38">
      <c r="B4" s="19" t="s">
        <v>30</v>
      </c>
      <c r="P4" s="63" t="s">
        <v>9</v>
      </c>
      <c r="Q4" s="63" t="s">
        <v>8</v>
      </c>
      <c r="R4" s="63" t="s">
        <v>10</v>
      </c>
      <c r="S4" s="63" t="s">
        <v>11</v>
      </c>
      <c r="T4" s="63" t="s">
        <v>12</v>
      </c>
      <c r="U4" s="63" t="s">
        <v>13</v>
      </c>
      <c r="V4" s="63" t="s">
        <v>5</v>
      </c>
      <c r="W4" s="63" t="s">
        <v>6</v>
      </c>
      <c r="X4" s="63" t="s">
        <v>7</v>
      </c>
      <c r="Y4" s="63" t="s">
        <v>8</v>
      </c>
      <c r="Z4" s="63" t="s">
        <v>7</v>
      </c>
      <c r="AA4" s="63" t="s">
        <v>9</v>
      </c>
      <c r="AB4" s="63" t="s">
        <v>9</v>
      </c>
    </row>
    <row r="5" spans="2:38" s="31" customFormat="1"/>
    <row r="6" spans="2:38" s="31" customFormat="1"/>
    <row r="7" spans="2:38" ht="12.75" customHeight="1">
      <c r="B7" s="248" t="s">
        <v>146</v>
      </c>
      <c r="F7" s="32"/>
      <c r="G7" s="32"/>
      <c r="H7" s="33"/>
      <c r="I7" s="33"/>
      <c r="J7" s="33"/>
      <c r="K7" s="33"/>
      <c r="L7" s="33"/>
      <c r="M7" s="33"/>
      <c r="AC7" s="33"/>
      <c r="AD7" s="33"/>
      <c r="AE7" s="33"/>
      <c r="AF7" s="33"/>
      <c r="AG7" s="33"/>
      <c r="AH7" s="33"/>
      <c r="AI7" s="33"/>
      <c r="AJ7" s="33"/>
      <c r="AK7" s="33"/>
      <c r="AL7" s="33"/>
    </row>
    <row r="8" spans="2:38">
      <c r="B8" s="248"/>
      <c r="F8" s="32"/>
      <c r="G8" s="32"/>
      <c r="H8" s="33"/>
      <c r="I8" s="33"/>
      <c r="J8" s="33"/>
      <c r="K8" s="33"/>
      <c r="L8" s="33"/>
      <c r="M8" s="33"/>
      <c r="AC8" s="33"/>
      <c r="AD8" s="33"/>
      <c r="AE8" s="33"/>
      <c r="AF8" s="33"/>
      <c r="AG8" s="33"/>
      <c r="AH8" s="33"/>
      <c r="AI8" s="33"/>
      <c r="AJ8" s="33"/>
      <c r="AK8" s="33"/>
      <c r="AL8" s="33"/>
    </row>
    <row r="9" spans="2:38" ht="12.75" customHeight="1">
      <c r="B9" s="47" t="s">
        <v>43</v>
      </c>
      <c r="F9" s="32"/>
      <c r="G9" s="32"/>
    </row>
    <row r="10" spans="2:38" ht="12.75" customHeight="1">
      <c r="B10" s="248"/>
      <c r="F10" s="32"/>
      <c r="G10" s="32"/>
    </row>
    <row r="11" spans="2:38" s="31" customFormat="1" ht="12.75" customHeight="1">
      <c r="B11" s="248"/>
      <c r="F11" s="32"/>
      <c r="G11" s="32"/>
    </row>
    <row r="12" spans="2:38" ht="12.75" customHeight="1">
      <c r="B12" s="248"/>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28" ht="12.75" customHeight="1">
      <c r="F33" s="32"/>
      <c r="G33" s="32"/>
    </row>
    <row r="34" spans="1:28" ht="12.75" customHeight="1"/>
    <row r="35" spans="1:28" ht="14.4">
      <c r="N35" s="64"/>
      <c r="O35" s="64"/>
      <c r="P35" s="65"/>
      <c r="Q35" s="65"/>
      <c r="R35" s="65"/>
      <c r="S35" s="65"/>
      <c r="T35" s="65"/>
      <c r="U35" s="65"/>
      <c r="V35" s="65"/>
      <c r="W35" s="65"/>
      <c r="X35" s="65"/>
      <c r="Y35" s="65"/>
      <c r="Z35" s="65"/>
      <c r="AA35" s="65"/>
      <c r="AB35" s="65"/>
    </row>
    <row r="36" spans="1:28" ht="12.75" customHeight="1">
      <c r="N36" s="64"/>
    </row>
    <row r="37" spans="1:28" ht="14.4">
      <c r="N37" s="64"/>
      <c r="Z37" s="64"/>
      <c r="AA37" s="64"/>
      <c r="AB37" s="71"/>
    </row>
    <row r="38" spans="1:28" s="20" customFormat="1" ht="14.4">
      <c r="A38" s="28"/>
      <c r="B38" s="28"/>
      <c r="N38" s="64"/>
      <c r="O38" s="28"/>
      <c r="P38" s="28"/>
      <c r="Q38" s="28"/>
      <c r="R38" s="28"/>
      <c r="S38" s="28"/>
      <c r="T38" s="28"/>
      <c r="U38" s="28"/>
      <c r="V38" s="28"/>
      <c r="W38" s="28"/>
      <c r="X38" s="28"/>
      <c r="Y38" s="28"/>
      <c r="Z38" s="64"/>
      <c r="AA38" s="64"/>
      <c r="AB38" s="69"/>
    </row>
    <row r="39" spans="1:28" s="20" customFormat="1" ht="14.4">
      <c r="A39" s="28"/>
      <c r="B39" s="28"/>
      <c r="N39" s="64"/>
      <c r="O39" s="28"/>
      <c r="P39" s="28"/>
      <c r="Q39" s="28"/>
      <c r="R39" s="28"/>
      <c r="S39" s="28"/>
      <c r="T39" s="28"/>
      <c r="U39" s="28"/>
      <c r="V39" s="28"/>
      <c r="W39" s="28"/>
      <c r="X39" s="28"/>
      <c r="Y39" s="28"/>
      <c r="Z39" s="64"/>
      <c r="AA39" s="64"/>
      <c r="AB39" s="69"/>
    </row>
    <row r="40" spans="1:28" s="20" customFormat="1" ht="14.4">
      <c r="A40" s="28"/>
      <c r="B40" s="28"/>
      <c r="N40" s="64"/>
      <c r="O40" s="28"/>
      <c r="P40" s="28"/>
      <c r="Q40" s="28"/>
      <c r="R40" s="28"/>
      <c r="S40" s="28"/>
      <c r="T40" s="28"/>
      <c r="U40" s="28"/>
      <c r="V40" s="28"/>
      <c r="W40" s="28"/>
      <c r="X40" s="28"/>
      <c r="Y40" s="28"/>
      <c r="Z40" s="64"/>
      <c r="AA40" s="64"/>
      <c r="AB40" s="69"/>
    </row>
    <row r="41" spans="1:28" ht="14.85" customHeight="1">
      <c r="C41" s="251" t="s">
        <v>150</v>
      </c>
      <c r="D41" s="251"/>
      <c r="E41" s="251"/>
      <c r="F41" s="251"/>
      <c r="G41" s="251"/>
      <c r="H41" s="251"/>
      <c r="I41" s="251"/>
      <c r="J41" s="251"/>
      <c r="K41" s="251"/>
      <c r="L41" s="251"/>
      <c r="N41" s="64"/>
      <c r="Z41" s="64"/>
      <c r="AA41" s="64"/>
      <c r="AB41" s="69"/>
    </row>
    <row r="42" spans="1:28" ht="14.4">
      <c r="C42" s="251"/>
      <c r="D42" s="251"/>
      <c r="E42" s="251"/>
      <c r="F42" s="251"/>
      <c r="G42" s="251"/>
      <c r="H42" s="251"/>
      <c r="I42" s="251"/>
      <c r="J42" s="251"/>
      <c r="K42" s="251"/>
      <c r="L42" s="251"/>
      <c r="N42" s="64"/>
      <c r="Z42" s="64"/>
      <c r="AA42" s="64"/>
      <c r="AB42" s="69"/>
    </row>
    <row r="43" spans="1:28" ht="14.4">
      <c r="C43" s="135"/>
      <c r="D43" s="135"/>
      <c r="E43" s="135"/>
      <c r="F43" s="135"/>
      <c r="G43" s="135"/>
      <c r="H43" s="135"/>
      <c r="I43" s="135"/>
      <c r="J43" s="135"/>
      <c r="K43" s="135"/>
      <c r="L43" s="135"/>
      <c r="N43" s="64"/>
    </row>
    <row r="47" spans="1:28">
      <c r="O47" s="35"/>
    </row>
    <row r="48" spans="1:28">
      <c r="O48" s="35"/>
      <c r="P48" s="35"/>
    </row>
    <row r="49" spans="10:28">
      <c r="O49" s="35"/>
      <c r="P49" s="35"/>
    </row>
    <row r="50" spans="10:28">
      <c r="O50" s="35"/>
      <c r="P50" s="35"/>
    </row>
    <row r="51" spans="10:28">
      <c r="O51" s="35"/>
      <c r="P51" s="35"/>
    </row>
    <row r="52" spans="10:28">
      <c r="O52" s="35"/>
      <c r="P52" s="35"/>
    </row>
    <row r="53" spans="10:28">
      <c r="O53" s="35"/>
      <c r="P53" s="35"/>
    </row>
    <row r="54" spans="10:28">
      <c r="O54" s="35"/>
      <c r="P54" s="35"/>
    </row>
    <row r="55" spans="10:28">
      <c r="J55" s="29"/>
      <c r="K55" s="35"/>
      <c r="L55" s="36"/>
      <c r="M55" s="36"/>
      <c r="N55" s="35"/>
      <c r="O55" s="35"/>
      <c r="P55" s="35"/>
    </row>
    <row r="56" spans="10:28">
      <c r="K56" s="29"/>
      <c r="L56" s="35"/>
      <c r="M56" s="36"/>
      <c r="N56" s="36"/>
      <c r="O56" s="35"/>
      <c r="P56" s="35"/>
    </row>
    <row r="57" spans="10:28">
      <c r="K57" s="29"/>
      <c r="L57" s="35"/>
      <c r="M57" s="36"/>
      <c r="N57" s="36"/>
      <c r="O57" s="35"/>
      <c r="P57" s="35"/>
      <c r="Q57" s="20"/>
      <c r="R57" s="20"/>
      <c r="S57" s="20"/>
      <c r="T57" s="20"/>
      <c r="U57" s="20"/>
      <c r="V57" s="20"/>
      <c r="W57" s="20"/>
      <c r="X57" s="20"/>
      <c r="Y57" s="20"/>
      <c r="Z57" s="20"/>
      <c r="AA57" s="20"/>
      <c r="AB57" s="20"/>
    </row>
    <row r="58" spans="10:28">
      <c r="K58" s="29"/>
      <c r="L58" s="35"/>
      <c r="M58" s="36"/>
      <c r="N58" s="36"/>
      <c r="O58" s="35"/>
      <c r="P58" s="35"/>
      <c r="Q58" s="20"/>
      <c r="R58" s="20"/>
      <c r="S58" s="20"/>
      <c r="T58" s="20"/>
      <c r="U58" s="20"/>
      <c r="V58" s="20"/>
      <c r="W58" s="20"/>
      <c r="X58" s="20"/>
      <c r="Y58" s="20"/>
      <c r="Z58" s="20"/>
      <c r="AA58" s="20"/>
      <c r="AB58" s="20"/>
    </row>
    <row r="59" spans="10:28">
      <c r="K59" s="29"/>
      <c r="L59" s="35"/>
      <c r="M59" s="36"/>
      <c r="N59" s="36"/>
      <c r="O59" s="35"/>
      <c r="P59" s="35"/>
    </row>
    <row r="60" spans="10:28">
      <c r="K60" s="29"/>
      <c r="L60" s="35"/>
      <c r="M60" s="36"/>
      <c r="N60" s="36"/>
    </row>
    <row r="61" spans="10:28">
      <c r="K61" s="29"/>
      <c r="L61" s="35"/>
      <c r="M61" s="36"/>
      <c r="N61" s="36"/>
    </row>
    <row r="62" spans="10:28">
      <c r="K62" s="29"/>
      <c r="L62" s="35"/>
      <c r="M62" s="36"/>
      <c r="N62" s="36"/>
    </row>
    <row r="63" spans="10:28">
      <c r="K63" s="29"/>
      <c r="L63" s="35"/>
      <c r="M63" s="36"/>
      <c r="N63" s="36"/>
    </row>
    <row r="64" spans="10:28">
      <c r="K64" s="29"/>
      <c r="L64" s="35"/>
      <c r="M64" s="36"/>
      <c r="N64" s="36"/>
    </row>
    <row r="65" spans="1:28" s="20" customFormat="1">
      <c r="B65" s="28"/>
      <c r="C65" s="28"/>
      <c r="D65" s="28"/>
      <c r="E65" s="28"/>
      <c r="F65" s="28"/>
      <c r="G65" s="28"/>
      <c r="H65" s="28"/>
      <c r="I65" s="28"/>
      <c r="J65" s="28"/>
      <c r="K65" s="29"/>
      <c r="L65" s="35"/>
      <c r="M65" s="36"/>
      <c r="N65" s="37"/>
      <c r="O65" s="28"/>
      <c r="P65" s="28"/>
      <c r="Q65" s="28"/>
      <c r="R65" s="28"/>
      <c r="S65" s="28"/>
      <c r="T65" s="28"/>
      <c r="U65" s="28"/>
      <c r="V65" s="28"/>
      <c r="W65" s="28"/>
      <c r="X65" s="28"/>
      <c r="Y65" s="28"/>
      <c r="Z65" s="28"/>
      <c r="AA65" s="28"/>
      <c r="AB65" s="28"/>
    </row>
    <row r="66" spans="1:28" s="20" customFormat="1">
      <c r="B66" s="28"/>
      <c r="C66" s="28"/>
      <c r="D66" s="28"/>
      <c r="E66" s="28"/>
      <c r="F66" s="28"/>
      <c r="G66" s="28"/>
      <c r="H66" s="28"/>
      <c r="I66" s="28"/>
      <c r="J66" s="28"/>
      <c r="K66" s="28"/>
      <c r="L66" s="35"/>
      <c r="M66" s="37"/>
      <c r="N66" s="37"/>
      <c r="O66" s="28"/>
      <c r="P66" s="28"/>
      <c r="Q66" s="28"/>
      <c r="R66" s="28"/>
      <c r="S66" s="28"/>
      <c r="T66" s="28"/>
      <c r="U66" s="28"/>
      <c r="V66" s="28"/>
      <c r="W66" s="28"/>
      <c r="X66" s="28"/>
      <c r="Y66" s="28"/>
      <c r="Z66" s="28"/>
      <c r="AA66" s="28"/>
      <c r="AB66" s="28"/>
    </row>
    <row r="67" spans="1:28">
      <c r="A67" s="20"/>
      <c r="K67" s="30"/>
      <c r="M67" s="36"/>
      <c r="N67" s="36"/>
    </row>
    <row r="68" spans="1:28">
      <c r="A68" s="20"/>
      <c r="B68" s="20"/>
      <c r="C68" s="20"/>
      <c r="D68" s="37"/>
      <c r="E68" s="37"/>
      <c r="F68" s="37"/>
      <c r="G68" s="37"/>
      <c r="H68" s="37"/>
      <c r="J68" s="34"/>
    </row>
    <row r="69" spans="1:28">
      <c r="J69" s="34"/>
    </row>
    <row r="70" spans="1:28">
      <c r="F70" s="32"/>
      <c r="G70" s="32"/>
      <c r="J70" s="34"/>
    </row>
  </sheetData>
  <mergeCells count="3">
    <mergeCell ref="B10:B12"/>
    <mergeCell ref="B7:B8"/>
    <mergeCell ref="C41:L42"/>
  </mergeCells>
  <conditionalFormatting sqref="K67">
    <cfRule type="cellIs" dxfId="3"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5">
    <pageSetUpPr autoPageBreaks="0" fitToPage="1"/>
  </sheetPr>
  <dimension ref="A1:AK70"/>
  <sheetViews>
    <sheetView showGridLines="0" showRowColHeaders="0" topLeftCell="A7" zoomScaleNormal="100" workbookViewId="0">
      <selection activeCell="O22" sqref="O22"/>
    </sheetView>
  </sheetViews>
  <sheetFormatPr baseColWidth="10" defaultColWidth="11.44140625" defaultRowHeight="13.2"/>
  <cols>
    <col min="1" max="1" width="2.5546875" style="28" customWidth="1"/>
    <col min="2" max="2" width="22.44140625" style="28" customWidth="1"/>
    <col min="3" max="3" width="11.44140625" style="28" customWidth="1"/>
    <col min="4" max="8" width="11.44140625" style="28"/>
    <col min="9" max="9" width="11.5546875" style="28" bestFit="1" customWidth="1"/>
    <col min="10" max="16384" width="11.44140625" style="28"/>
  </cols>
  <sheetData>
    <row r="1" spans="2:37">
      <c r="L1" s="17" t="s">
        <v>31</v>
      </c>
    </row>
    <row r="2" spans="2:37">
      <c r="L2" s="18" t="str">
        <f>Indice!E3</f>
        <v>Agosto 2025</v>
      </c>
    </row>
    <row r="4" spans="2:37">
      <c r="B4" s="19" t="s">
        <v>30</v>
      </c>
      <c r="O4" s="63" t="s">
        <v>6</v>
      </c>
      <c r="P4" s="63" t="s">
        <v>7</v>
      </c>
      <c r="Q4" s="63" t="s">
        <v>8</v>
      </c>
      <c r="R4" s="63" t="s">
        <v>7</v>
      </c>
      <c r="S4" s="63" t="s">
        <v>9</v>
      </c>
      <c r="T4" s="63" t="s">
        <v>9</v>
      </c>
      <c r="U4" s="63" t="s">
        <v>8</v>
      </c>
      <c r="V4" s="63" t="s">
        <v>10</v>
      </c>
      <c r="W4" s="63" t="s">
        <v>11</v>
      </c>
      <c r="X4" s="63" t="s">
        <v>12</v>
      </c>
      <c r="Y4" s="63" t="s">
        <v>13</v>
      </c>
      <c r="Z4" s="63" t="s">
        <v>5</v>
      </c>
      <c r="AA4" s="63" t="s">
        <v>6</v>
      </c>
    </row>
    <row r="5" spans="2:37" s="31" customFormat="1"/>
    <row r="6" spans="2:37" s="31" customFormat="1"/>
    <row r="7" spans="2:37" ht="12.75" customHeight="1">
      <c r="B7" s="248" t="s">
        <v>147</v>
      </c>
      <c r="F7" s="32"/>
      <c r="G7" s="32"/>
      <c r="H7" s="33"/>
      <c r="I7" s="33"/>
      <c r="J7" s="33"/>
      <c r="K7" s="33"/>
      <c r="L7" s="33"/>
      <c r="M7" s="33"/>
      <c r="AB7" s="33"/>
      <c r="AC7" s="33"/>
      <c r="AD7" s="33"/>
      <c r="AE7" s="33"/>
      <c r="AF7" s="33"/>
      <c r="AG7" s="33"/>
      <c r="AH7" s="33"/>
      <c r="AI7" s="33"/>
      <c r="AJ7" s="33"/>
      <c r="AK7" s="33"/>
    </row>
    <row r="8" spans="2:37">
      <c r="B8" s="248"/>
      <c r="F8" s="32"/>
      <c r="G8" s="32"/>
      <c r="H8" s="33"/>
      <c r="I8" s="33"/>
      <c r="J8" s="33"/>
      <c r="K8" s="33"/>
      <c r="L8" s="33"/>
      <c r="M8" s="33"/>
      <c r="AB8" s="33"/>
      <c r="AC8" s="33"/>
      <c r="AD8" s="33"/>
      <c r="AE8" s="33"/>
      <c r="AF8" s="33"/>
      <c r="AG8" s="33"/>
      <c r="AH8" s="33"/>
      <c r="AI8" s="33"/>
      <c r="AJ8" s="33"/>
      <c r="AK8" s="33"/>
    </row>
    <row r="9" spans="2:37">
      <c r="B9" s="248"/>
      <c r="F9" s="32"/>
      <c r="G9" s="32"/>
    </row>
    <row r="10" spans="2:37" ht="16.5" customHeight="1">
      <c r="B10" s="248"/>
      <c r="F10" s="32"/>
      <c r="G10" s="32"/>
    </row>
    <row r="11" spans="2:37" s="31" customFormat="1">
      <c r="B11" s="47" t="s">
        <v>145</v>
      </c>
      <c r="F11" s="32"/>
      <c r="G11" s="32"/>
    </row>
    <row r="12" spans="2:37">
      <c r="B12" s="47"/>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27">
      <c r="F17" s="32"/>
      <c r="G17" s="32"/>
    </row>
    <row r="18" spans="6:27">
      <c r="F18" s="32"/>
      <c r="G18" s="32"/>
    </row>
    <row r="19" spans="6:27">
      <c r="F19" s="32"/>
      <c r="G19" s="32"/>
    </row>
    <row r="20" spans="6:27">
      <c r="F20" s="32"/>
      <c r="G20" s="32"/>
    </row>
    <row r="21" spans="6:27">
      <c r="F21" s="32"/>
      <c r="G21" s="32"/>
    </row>
    <row r="22" spans="6:27">
      <c r="F22" s="32"/>
      <c r="G22" s="32"/>
    </row>
    <row r="23" spans="6:27">
      <c r="F23" s="32"/>
      <c r="G23" s="32"/>
    </row>
    <row r="24" spans="6:27">
      <c r="F24" s="32"/>
      <c r="G24" s="32"/>
    </row>
    <row r="25" spans="6:27">
      <c r="F25" s="32"/>
      <c r="G25" s="32"/>
      <c r="O25" s="62"/>
      <c r="P25" s="62"/>
      <c r="Q25" s="62"/>
      <c r="R25" s="62"/>
      <c r="S25" s="62"/>
      <c r="T25" s="62"/>
      <c r="U25" s="62"/>
      <c r="V25" s="62"/>
      <c r="W25" s="62"/>
      <c r="X25" s="62"/>
      <c r="Y25" s="62"/>
      <c r="Z25" s="62"/>
      <c r="AA25" s="62"/>
    </row>
    <row r="26" spans="6:27">
      <c r="F26" s="32"/>
      <c r="G26" s="32"/>
    </row>
    <row r="27" spans="6:27">
      <c r="F27" s="32"/>
      <c r="G27" s="32"/>
    </row>
    <row r="28" spans="6:27">
      <c r="F28" s="32"/>
      <c r="G28" s="32"/>
      <c r="P28" s="66"/>
    </row>
    <row r="29" spans="6:27">
      <c r="F29" s="32"/>
      <c r="G29" s="32"/>
      <c r="P29" s="66"/>
    </row>
    <row r="30" spans="6:27">
      <c r="F30" s="32"/>
      <c r="G30" s="32"/>
      <c r="P30" s="66"/>
    </row>
    <row r="31" spans="6:27">
      <c r="F31" s="32"/>
      <c r="G31" s="32"/>
      <c r="P31" s="66"/>
    </row>
    <row r="32" spans="6:27">
      <c r="F32" s="32"/>
      <c r="G32" s="32"/>
      <c r="P32" s="66"/>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1">
    <mergeCell ref="B7:B10"/>
  </mergeCells>
  <conditionalFormatting sqref="K67">
    <cfRule type="cellIs" dxfId="2"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3">
    <pageSetUpPr autoPageBreaks="0" fitToPage="1"/>
  </sheetPr>
  <dimension ref="A1:AL70"/>
  <sheetViews>
    <sheetView showGridLines="0" showRowColHeaders="0" zoomScale="106" zoomScaleNormal="106" workbookViewId="0">
      <selection activeCell="S34" sqref="S34"/>
    </sheetView>
  </sheetViews>
  <sheetFormatPr baseColWidth="10" defaultColWidth="11.44140625" defaultRowHeight="13.2"/>
  <cols>
    <col min="1" max="1" width="2.5546875" style="28" customWidth="1"/>
    <col min="2" max="2" width="21.44140625" style="28" customWidth="1"/>
    <col min="3" max="3" width="11.44140625" style="28" customWidth="1"/>
    <col min="4" max="8" width="11.44140625" style="28"/>
    <col min="9" max="9" width="11.5546875" style="28" bestFit="1" customWidth="1"/>
    <col min="10" max="13" width="11.44140625" style="28"/>
    <col min="14" max="14" width="15.5546875" style="28" customWidth="1"/>
    <col min="15" max="16384" width="11.44140625" style="28"/>
  </cols>
  <sheetData>
    <row r="1" spans="2:38">
      <c r="L1" s="17" t="s">
        <v>31</v>
      </c>
    </row>
    <row r="2" spans="2:38">
      <c r="L2" s="18" t="str">
        <f>Indice!E3</f>
        <v>Agosto 2025</v>
      </c>
    </row>
    <row r="4" spans="2:38">
      <c r="B4" s="19" t="s">
        <v>30</v>
      </c>
      <c r="P4" s="63"/>
      <c r="Q4" s="63"/>
      <c r="R4" s="63"/>
      <c r="S4" s="63"/>
      <c r="T4" s="63"/>
      <c r="U4" s="63"/>
      <c r="V4" s="63"/>
      <c r="W4" s="63"/>
      <c r="X4" s="63"/>
      <c r="Y4" s="63"/>
      <c r="Z4" s="63"/>
      <c r="AA4" s="63"/>
    </row>
    <row r="5" spans="2:38" s="31" customFormat="1"/>
    <row r="6" spans="2:38" s="31" customFormat="1"/>
    <row r="7" spans="2:38" ht="12.75" customHeight="1">
      <c r="B7" s="248" t="s">
        <v>24</v>
      </c>
      <c r="F7" s="32"/>
      <c r="G7" s="32"/>
      <c r="H7" s="33"/>
      <c r="I7" s="33"/>
      <c r="J7" s="33"/>
      <c r="K7" s="33"/>
      <c r="L7" s="33"/>
      <c r="M7" s="33"/>
      <c r="AC7" s="33"/>
      <c r="AD7" s="33"/>
      <c r="AE7" s="33"/>
      <c r="AF7" s="33"/>
      <c r="AG7" s="33"/>
      <c r="AH7" s="33"/>
      <c r="AI7" s="33"/>
      <c r="AJ7" s="33"/>
      <c r="AK7" s="33"/>
      <c r="AL7" s="33"/>
    </row>
    <row r="8" spans="2:38">
      <c r="B8" s="248"/>
      <c r="F8" s="32"/>
      <c r="G8" s="32"/>
      <c r="H8" s="33"/>
      <c r="I8" s="33"/>
      <c r="J8" s="33"/>
      <c r="K8" s="33"/>
      <c r="L8" s="33"/>
      <c r="M8" s="33"/>
      <c r="AC8" s="33"/>
      <c r="AD8" s="33"/>
      <c r="AE8" s="33"/>
      <c r="AF8" s="33"/>
      <c r="AG8" s="33"/>
      <c r="AH8" s="33"/>
      <c r="AI8" s="33"/>
      <c r="AJ8" s="33"/>
      <c r="AK8" s="33"/>
      <c r="AL8" s="33"/>
    </row>
    <row r="9" spans="2:38" ht="12.75" customHeight="1">
      <c r="B9" s="47" t="s">
        <v>43</v>
      </c>
      <c r="F9" s="32"/>
      <c r="G9" s="32"/>
    </row>
    <row r="10" spans="2:38" ht="12.75" customHeight="1">
      <c r="B10" s="248"/>
      <c r="F10" s="32"/>
      <c r="G10" s="32"/>
    </row>
    <row r="11" spans="2:38" s="31" customFormat="1" ht="12.75" customHeight="1">
      <c r="B11" s="248"/>
      <c r="F11" s="32"/>
      <c r="G11" s="32"/>
    </row>
    <row r="12" spans="2:38" ht="12.75" customHeight="1">
      <c r="B12" s="248"/>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28" ht="12.75" customHeight="1">
      <c r="F33" s="32"/>
      <c r="G33" s="32"/>
    </row>
    <row r="34" spans="1:28" ht="12.75" customHeight="1"/>
    <row r="35" spans="1:28" ht="12.75" customHeight="1"/>
    <row r="36" spans="1:28" ht="12.75" customHeight="1"/>
    <row r="37" spans="1:28" ht="12.75" customHeight="1"/>
    <row r="38" spans="1:28" s="20" customFormat="1" ht="12.75" customHeight="1">
      <c r="A38" s="28"/>
      <c r="B38" s="28"/>
      <c r="M38" s="28"/>
    </row>
    <row r="39" spans="1:28" s="20" customFormat="1" ht="12.75" customHeight="1">
      <c r="A39" s="28"/>
      <c r="B39" s="28"/>
      <c r="M39" s="28"/>
    </row>
    <row r="40" spans="1:28" s="20" customFormat="1" ht="12.75" customHeight="1">
      <c r="A40" s="28"/>
      <c r="B40" s="28"/>
      <c r="M40" s="28"/>
    </row>
    <row r="41" spans="1:28" ht="12.75" customHeight="1"/>
    <row r="48" spans="1:28" ht="14.4">
      <c r="Z48" s="64"/>
      <c r="AA48" s="64"/>
      <c r="AB48" s="69"/>
    </row>
    <row r="49" spans="10:28" ht="14.4">
      <c r="Z49" s="64"/>
      <c r="AA49" s="64"/>
      <c r="AB49" s="69"/>
    </row>
    <row r="50" spans="10:28" ht="14.4">
      <c r="Z50" s="64"/>
      <c r="AA50" s="64"/>
      <c r="AB50" s="69"/>
    </row>
    <row r="55" spans="10:28">
      <c r="J55" s="29"/>
      <c r="K55" s="35"/>
      <c r="L55" s="36"/>
      <c r="M55" s="36"/>
      <c r="N55" s="35"/>
      <c r="O55" s="35"/>
    </row>
    <row r="56" spans="10:28">
      <c r="K56" s="29"/>
      <c r="L56" s="35"/>
      <c r="M56" s="36"/>
      <c r="N56" s="36"/>
      <c r="O56" s="35"/>
      <c r="P56" s="35"/>
    </row>
    <row r="57" spans="10:28">
      <c r="K57" s="29"/>
      <c r="L57" s="35"/>
      <c r="M57" s="36"/>
      <c r="N57" s="36"/>
      <c r="O57" s="35"/>
      <c r="P57" s="35"/>
    </row>
    <row r="58" spans="10:28">
      <c r="K58" s="29"/>
      <c r="L58" s="35"/>
      <c r="M58" s="36"/>
      <c r="N58" s="36"/>
      <c r="O58" s="35"/>
      <c r="P58" s="35"/>
    </row>
    <row r="59" spans="10:28">
      <c r="K59" s="29"/>
      <c r="L59" s="35"/>
      <c r="M59" s="36"/>
      <c r="N59" s="36"/>
      <c r="O59" s="35"/>
      <c r="P59" s="35"/>
    </row>
    <row r="60" spans="10:28">
      <c r="K60" s="29"/>
      <c r="L60" s="35"/>
      <c r="M60" s="36"/>
      <c r="N60" s="36"/>
      <c r="O60" s="35"/>
      <c r="P60" s="35"/>
    </row>
    <row r="61" spans="10:28">
      <c r="K61" s="29"/>
      <c r="L61" s="35"/>
      <c r="M61" s="36"/>
      <c r="N61" s="36"/>
      <c r="O61" s="35"/>
      <c r="P61" s="35"/>
    </row>
    <row r="62" spans="10:28">
      <c r="K62" s="29"/>
      <c r="L62" s="35"/>
      <c r="M62" s="36"/>
      <c r="N62" s="36"/>
      <c r="O62" s="35"/>
      <c r="P62" s="35"/>
    </row>
    <row r="63" spans="10:28">
      <c r="K63" s="29"/>
      <c r="L63" s="35"/>
      <c r="M63" s="36"/>
      <c r="N63" s="36"/>
      <c r="O63" s="35"/>
      <c r="P63" s="35"/>
    </row>
    <row r="64" spans="10:28">
      <c r="K64" s="29"/>
      <c r="L64" s="35"/>
      <c r="M64" s="36"/>
      <c r="N64" s="36"/>
      <c r="O64" s="35"/>
      <c r="P64" s="35"/>
    </row>
    <row r="65" spans="1:16" s="20" customFormat="1">
      <c r="B65" s="28"/>
      <c r="C65" s="28"/>
      <c r="D65" s="28"/>
      <c r="E65" s="28"/>
      <c r="F65" s="28"/>
      <c r="G65" s="28"/>
      <c r="H65" s="28"/>
      <c r="I65" s="28"/>
      <c r="J65" s="28"/>
      <c r="K65" s="29"/>
      <c r="L65" s="35"/>
      <c r="M65" s="36"/>
      <c r="N65" s="37"/>
      <c r="O65" s="35"/>
      <c r="P65" s="35"/>
    </row>
    <row r="66" spans="1:16" s="20" customFormat="1">
      <c r="B66" s="28"/>
      <c r="C66" s="28"/>
      <c r="D66" s="28"/>
      <c r="E66" s="28"/>
      <c r="F66" s="28"/>
      <c r="G66" s="28"/>
      <c r="H66" s="28"/>
      <c r="I66" s="28"/>
      <c r="J66" s="28"/>
      <c r="K66" s="28"/>
      <c r="L66" s="35"/>
      <c r="M66" s="37"/>
      <c r="N66" s="37"/>
      <c r="O66" s="35"/>
      <c r="P66" s="35"/>
    </row>
    <row r="67" spans="1:16">
      <c r="A67" s="20"/>
      <c r="K67" s="30"/>
      <c r="M67" s="36"/>
      <c r="N67" s="36"/>
      <c r="O67" s="35"/>
      <c r="P67" s="35"/>
    </row>
    <row r="68" spans="1:16">
      <c r="A68" s="20"/>
      <c r="B68" s="20"/>
      <c r="C68" s="20"/>
      <c r="D68" s="37"/>
      <c r="E68" s="37"/>
      <c r="F68" s="37"/>
      <c r="G68" s="37"/>
      <c r="H68" s="37"/>
      <c r="J68" s="34"/>
    </row>
    <row r="69" spans="1:16">
      <c r="J69" s="34"/>
    </row>
    <row r="70" spans="1:16">
      <c r="F70" s="32"/>
      <c r="G70" s="32"/>
      <c r="J70" s="34"/>
    </row>
  </sheetData>
  <mergeCells count="2">
    <mergeCell ref="B10:B12"/>
    <mergeCell ref="B7:B8"/>
  </mergeCells>
  <conditionalFormatting sqref="K67">
    <cfRule type="cellIs" dxfId="1"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86" orientation="landscape" horizontalDpi="355" verticalDpi="355"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9"/>
  <dimension ref="A1:AQ741"/>
  <sheetViews>
    <sheetView tabSelected="1" topLeftCell="A62" zoomScale="106" zoomScaleNormal="93" workbookViewId="0">
      <selection activeCell="G95" sqref="G95"/>
    </sheetView>
  </sheetViews>
  <sheetFormatPr baseColWidth="10" defaultColWidth="16.33203125" defaultRowHeight="13.2"/>
  <cols>
    <col min="1" max="15" width="19.33203125" customWidth="1"/>
    <col min="16" max="16" width="7.6640625" bestFit="1" customWidth="1"/>
    <col min="17" max="18" width="4.5546875" bestFit="1" customWidth="1"/>
    <col min="19" max="25" width="5.33203125" bestFit="1" customWidth="1"/>
    <col min="26" max="26" width="6" bestFit="1" customWidth="1"/>
    <col min="27" max="27" width="6.44140625" bestFit="1" customWidth="1"/>
    <col min="28" max="28" width="7.6640625" bestFit="1" customWidth="1"/>
  </cols>
  <sheetData>
    <row r="1" spans="1:43" ht="15">
      <c r="A1" s="115" t="s">
        <v>123</v>
      </c>
    </row>
    <row r="2" spans="1:43" ht="15">
      <c r="A2" s="119" t="str">
        <f>MID(B5,6,LEN(B5))&amp;" "&amp;MID(B5,1,4)</f>
        <v>Agosto 2025</v>
      </c>
      <c r="D2" s="62"/>
    </row>
    <row r="4" spans="1:43">
      <c r="A4" s="124" t="s">
        <v>27</v>
      </c>
      <c r="B4" s="260" t="s">
        <v>88</v>
      </c>
      <c r="C4" s="261"/>
      <c r="D4" s="261"/>
      <c r="E4" s="261"/>
      <c r="F4" s="261"/>
      <c r="G4" s="261"/>
      <c r="H4" s="261"/>
      <c r="I4" s="261"/>
      <c r="J4" s="261"/>
      <c r="K4" s="261"/>
      <c r="L4" s="261"/>
      <c r="M4" s="261"/>
      <c r="N4" s="261"/>
      <c r="O4" s="261"/>
      <c r="P4" s="261"/>
      <c r="Q4" s="261"/>
      <c r="R4" s="261"/>
      <c r="S4" s="261"/>
      <c r="T4" s="261"/>
      <c r="U4" s="261"/>
      <c r="V4" s="261"/>
      <c r="W4" s="261"/>
      <c r="X4" s="261"/>
      <c r="Y4" s="261"/>
      <c r="Z4" s="261"/>
      <c r="AA4" s="261"/>
      <c r="AB4" s="261"/>
    </row>
    <row r="5" spans="1:43">
      <c r="A5" s="124" t="s">
        <v>87</v>
      </c>
      <c r="B5" s="262" t="s">
        <v>281</v>
      </c>
      <c r="C5" s="262"/>
      <c r="D5" s="262"/>
      <c r="E5" s="262"/>
      <c r="F5" s="262"/>
      <c r="G5" s="262"/>
      <c r="H5" s="262"/>
      <c r="I5" s="262"/>
      <c r="J5" s="262"/>
      <c r="K5" s="262"/>
      <c r="L5" s="262"/>
      <c r="M5" s="262"/>
      <c r="N5" s="262"/>
      <c r="O5" s="262"/>
      <c r="P5" s="262"/>
      <c r="Q5" s="262"/>
      <c r="R5" s="262"/>
      <c r="S5" s="262"/>
      <c r="T5" s="262"/>
      <c r="U5" s="262"/>
      <c r="V5" s="262"/>
      <c r="W5" s="262"/>
      <c r="X5" s="262"/>
      <c r="Y5" s="262"/>
      <c r="Z5" s="262"/>
      <c r="AA5" s="262"/>
      <c r="AB5" s="262"/>
    </row>
    <row r="6" spans="1:43">
      <c r="A6" s="124" t="s">
        <v>115</v>
      </c>
      <c r="B6" s="147" t="s">
        <v>91</v>
      </c>
      <c r="C6" s="147" t="s">
        <v>92</v>
      </c>
      <c r="D6" s="147" t="s">
        <v>93</v>
      </c>
      <c r="E6" s="147" t="s">
        <v>94</v>
      </c>
      <c r="F6" s="147" t="s">
        <v>95</v>
      </c>
      <c r="G6" s="147" t="s">
        <v>96</v>
      </c>
      <c r="H6" s="147" t="s">
        <v>97</v>
      </c>
      <c r="I6" s="147" t="s">
        <v>98</v>
      </c>
      <c r="J6" s="147" t="s">
        <v>99</v>
      </c>
      <c r="K6" s="147" t="s">
        <v>100</v>
      </c>
      <c r="L6" s="147" t="s">
        <v>101</v>
      </c>
      <c r="M6" s="147" t="s">
        <v>102</v>
      </c>
      <c r="N6" s="147" t="s">
        <v>103</v>
      </c>
      <c r="O6" s="147" t="s">
        <v>104</v>
      </c>
      <c r="P6" s="147" t="s">
        <v>105</v>
      </c>
      <c r="Q6" s="147" t="s">
        <v>106</v>
      </c>
      <c r="R6" s="147" t="s">
        <v>107</v>
      </c>
      <c r="S6" s="147" t="s">
        <v>108</v>
      </c>
      <c r="T6" s="147" t="s">
        <v>109</v>
      </c>
      <c r="U6" s="147" t="s">
        <v>110</v>
      </c>
      <c r="V6" s="147" t="s">
        <v>111</v>
      </c>
      <c r="W6" s="147" t="s">
        <v>112</v>
      </c>
      <c r="X6" s="147" t="s">
        <v>113</v>
      </c>
      <c r="Y6" s="147" t="s">
        <v>114</v>
      </c>
      <c r="Z6" s="194">
        <v>25</v>
      </c>
      <c r="AA6" s="194" t="s">
        <v>89</v>
      </c>
      <c r="AB6" s="194" t="s">
        <v>90</v>
      </c>
      <c r="AC6" s="194" t="s">
        <v>191</v>
      </c>
    </row>
    <row r="7" spans="1:43">
      <c r="A7" s="124" t="s">
        <v>124</v>
      </c>
      <c r="B7" s="145"/>
      <c r="C7" s="145"/>
      <c r="D7" s="145"/>
      <c r="E7" s="145"/>
      <c r="F7" s="145"/>
      <c r="G7" s="145"/>
      <c r="H7" s="145"/>
      <c r="I7" s="145"/>
      <c r="J7" s="145"/>
      <c r="K7" s="145"/>
      <c r="L7" s="145"/>
      <c r="M7" s="145"/>
      <c r="N7" s="145"/>
      <c r="O7" s="145"/>
      <c r="P7" s="145"/>
      <c r="Q7" s="145"/>
      <c r="R7" s="145"/>
      <c r="S7" s="145"/>
      <c r="T7" s="145"/>
      <c r="U7" s="145"/>
      <c r="V7" s="145"/>
      <c r="W7" s="145"/>
      <c r="X7" s="145"/>
      <c r="Y7" s="145"/>
      <c r="Z7" s="195"/>
      <c r="AA7" s="195"/>
      <c r="AB7" s="195"/>
      <c r="AC7" s="195"/>
      <c r="AD7" t="s">
        <v>169</v>
      </c>
      <c r="AG7" t="s">
        <v>178</v>
      </c>
      <c r="AI7" t="s">
        <v>179</v>
      </c>
      <c r="AK7" t="s">
        <v>182</v>
      </c>
      <c r="AM7" t="s">
        <v>183</v>
      </c>
      <c r="AN7" t="s">
        <v>241</v>
      </c>
    </row>
    <row r="8" spans="1:43">
      <c r="A8" s="203" t="s">
        <v>250</v>
      </c>
      <c r="B8" s="204">
        <v>102.22</v>
      </c>
      <c r="C8" s="204">
        <v>93.47</v>
      </c>
      <c r="D8" s="204">
        <v>81</v>
      </c>
      <c r="E8" s="204">
        <v>72.55</v>
      </c>
      <c r="F8" s="204">
        <v>63.98</v>
      </c>
      <c r="G8" s="204">
        <v>73.599999999999994</v>
      </c>
      <c r="H8" s="204">
        <v>83.14</v>
      </c>
      <c r="I8" s="204">
        <v>100.62</v>
      </c>
      <c r="J8" s="204">
        <v>100</v>
      </c>
      <c r="K8" s="204">
        <v>65.06</v>
      </c>
      <c r="L8" s="204">
        <v>45.81</v>
      </c>
      <c r="M8" s="205">
        <v>35.08</v>
      </c>
      <c r="N8" s="205">
        <v>31.87</v>
      </c>
      <c r="O8" s="205">
        <v>25.06</v>
      </c>
      <c r="P8" s="206">
        <v>20.010000000000002</v>
      </c>
      <c r="Q8" s="206">
        <v>13.43</v>
      </c>
      <c r="R8" s="206">
        <v>17.420000000000002</v>
      </c>
      <c r="S8" s="205">
        <v>27.47</v>
      </c>
      <c r="T8" s="205">
        <v>44.8</v>
      </c>
      <c r="U8" s="204">
        <v>70.12</v>
      </c>
      <c r="V8" s="204">
        <v>87.34</v>
      </c>
      <c r="W8" s="204">
        <v>103.02</v>
      </c>
      <c r="X8" s="204">
        <v>102.52</v>
      </c>
      <c r="Y8" s="204">
        <v>95.41</v>
      </c>
      <c r="Z8" s="204"/>
      <c r="AA8" s="207">
        <v>13.43</v>
      </c>
      <c r="AB8" s="207">
        <v>103.02</v>
      </c>
      <c r="AC8" s="208">
        <v>59.128955699043701</v>
      </c>
      <c r="AD8" s="162">
        <v>68.444690860214948</v>
      </c>
      <c r="AE8" s="175">
        <v>-0.24830930724651901</v>
      </c>
      <c r="AF8" s="173">
        <v>-0.24830930724651878</v>
      </c>
      <c r="AG8" s="169">
        <v>91.054327956989169</v>
      </c>
      <c r="AI8" s="173">
        <v>-0.24830930724626521</v>
      </c>
      <c r="AK8" s="169">
        <v>70.014650537634338</v>
      </c>
      <c r="AM8" s="173">
        <v>-2.2423302342636231E-2</v>
      </c>
      <c r="AN8" s="62">
        <f>AB8-AA8</f>
        <v>89.59</v>
      </c>
      <c r="AQ8" s="121">
        <v>1</v>
      </c>
    </row>
    <row r="9" spans="1:43">
      <c r="A9" s="203" t="s">
        <v>251</v>
      </c>
      <c r="B9" s="204">
        <v>97.8</v>
      </c>
      <c r="C9" s="204">
        <v>77.08</v>
      </c>
      <c r="D9" s="204">
        <v>65.27</v>
      </c>
      <c r="E9" s="204">
        <v>49.56</v>
      </c>
      <c r="F9" s="205">
        <v>43.33</v>
      </c>
      <c r="G9" s="205">
        <v>44.29</v>
      </c>
      <c r="H9" s="204">
        <v>51.08</v>
      </c>
      <c r="I9" s="204">
        <v>49.81</v>
      </c>
      <c r="J9" s="205">
        <v>37.33</v>
      </c>
      <c r="K9" s="206">
        <v>3.52</v>
      </c>
      <c r="L9" s="206">
        <v>1.06</v>
      </c>
      <c r="M9" s="209">
        <v>0</v>
      </c>
      <c r="N9" s="209">
        <v>0</v>
      </c>
      <c r="O9" s="209">
        <v>0</v>
      </c>
      <c r="P9" s="209">
        <v>0</v>
      </c>
      <c r="Q9" s="209">
        <v>0</v>
      </c>
      <c r="R9" s="209">
        <v>0</v>
      </c>
      <c r="S9" s="206">
        <v>0.65</v>
      </c>
      <c r="T9" s="206">
        <v>3.52</v>
      </c>
      <c r="U9" s="206">
        <v>15.2</v>
      </c>
      <c r="V9" s="204">
        <v>74.53</v>
      </c>
      <c r="W9" s="204">
        <v>99.64</v>
      </c>
      <c r="X9" s="204">
        <v>99.64</v>
      </c>
      <c r="Y9" s="204">
        <v>80.5</v>
      </c>
      <c r="Z9" s="204"/>
      <c r="AA9" s="207">
        <v>0</v>
      </c>
      <c r="AB9" s="207">
        <v>99.64</v>
      </c>
      <c r="AC9" s="208">
        <v>31.2569841997392</v>
      </c>
      <c r="AD9" s="62"/>
      <c r="AN9" s="62">
        <f t="shared" ref="AN9:AN37" si="0">AB9-AA9</f>
        <v>99.64</v>
      </c>
      <c r="AQ9" s="121">
        <v>2</v>
      </c>
    </row>
    <row r="10" spans="1:43">
      <c r="A10" s="203" t="s">
        <v>252</v>
      </c>
      <c r="B10" s="204">
        <v>80.400000000000006</v>
      </c>
      <c r="C10" s="204">
        <v>69.260000000000005</v>
      </c>
      <c r="D10" s="205">
        <v>42.96</v>
      </c>
      <c r="E10" s="205">
        <v>37.380000000000003</v>
      </c>
      <c r="F10" s="205">
        <v>30.02</v>
      </c>
      <c r="G10" s="205">
        <v>30.2</v>
      </c>
      <c r="H10" s="205">
        <v>32.03</v>
      </c>
      <c r="I10" s="205">
        <v>26.28</v>
      </c>
      <c r="J10" s="206">
        <v>6.16</v>
      </c>
      <c r="K10" s="209">
        <v>0</v>
      </c>
      <c r="L10" s="206">
        <v>-1.01</v>
      </c>
      <c r="M10" s="206">
        <v>-2.1</v>
      </c>
      <c r="N10" s="206">
        <v>-3</v>
      </c>
      <c r="O10" s="206">
        <v>-5</v>
      </c>
      <c r="P10" s="206">
        <v>-4</v>
      </c>
      <c r="Q10" s="206">
        <v>-4.9800000000000004</v>
      </c>
      <c r="R10" s="206">
        <v>-1.49</v>
      </c>
      <c r="S10" s="206">
        <v>-0.01</v>
      </c>
      <c r="T10" s="206">
        <v>0.01</v>
      </c>
      <c r="U10" s="205">
        <v>27.08</v>
      </c>
      <c r="V10" s="204">
        <v>78.2</v>
      </c>
      <c r="W10" s="204">
        <v>96.13</v>
      </c>
      <c r="X10" s="204">
        <v>97.4</v>
      </c>
      <c r="Y10" s="204">
        <v>85.09</v>
      </c>
      <c r="Z10" s="204"/>
      <c r="AA10" s="207">
        <v>-5</v>
      </c>
      <c r="AB10" s="207">
        <v>97.4</v>
      </c>
      <c r="AC10" s="208">
        <v>27.554483269998101</v>
      </c>
      <c r="AN10" s="62">
        <f t="shared" si="0"/>
        <v>102.4</v>
      </c>
      <c r="AQ10" s="121">
        <v>3</v>
      </c>
    </row>
    <row r="11" spans="1:43">
      <c r="A11" s="203" t="s">
        <v>253</v>
      </c>
      <c r="B11" s="204">
        <v>80.989999999999995</v>
      </c>
      <c r="C11" s="204">
        <v>80.400000000000006</v>
      </c>
      <c r="D11" s="204">
        <v>80</v>
      </c>
      <c r="E11" s="204">
        <v>80.400000000000006</v>
      </c>
      <c r="F11" s="204">
        <v>85.27</v>
      </c>
      <c r="G11" s="204">
        <v>85.27</v>
      </c>
      <c r="H11" s="204">
        <v>95.67</v>
      </c>
      <c r="I11" s="204">
        <v>106.23</v>
      </c>
      <c r="J11" s="204">
        <v>97.81</v>
      </c>
      <c r="K11" s="204">
        <v>52.57</v>
      </c>
      <c r="L11" s="205">
        <v>30</v>
      </c>
      <c r="M11" s="206">
        <v>13.75</v>
      </c>
      <c r="N11" s="206">
        <v>6.76</v>
      </c>
      <c r="O11" s="206">
        <v>4.05</v>
      </c>
      <c r="P11" s="206">
        <v>3.52</v>
      </c>
      <c r="Q11" s="206">
        <v>3.52</v>
      </c>
      <c r="R11" s="206">
        <v>5.79</v>
      </c>
      <c r="S11" s="205">
        <v>26.35</v>
      </c>
      <c r="T11" s="205">
        <v>38.94</v>
      </c>
      <c r="U11" s="204">
        <v>70.77</v>
      </c>
      <c r="V11" s="204">
        <v>103.25</v>
      </c>
      <c r="W11" s="204">
        <v>168.02</v>
      </c>
      <c r="X11" s="204">
        <v>138.80000000000001</v>
      </c>
      <c r="Y11" s="204">
        <v>115.04</v>
      </c>
      <c r="Z11" s="204"/>
      <c r="AA11" s="207">
        <v>3.52</v>
      </c>
      <c r="AB11" s="207">
        <v>168.02</v>
      </c>
      <c r="AC11" s="208">
        <v>60.725387578170803</v>
      </c>
      <c r="AN11" s="62">
        <f t="shared" si="0"/>
        <v>164.5</v>
      </c>
      <c r="AQ11" s="121">
        <v>4</v>
      </c>
    </row>
    <row r="12" spans="1:43">
      <c r="A12" s="203" t="s">
        <v>254</v>
      </c>
      <c r="B12" s="204">
        <v>140.69999999999999</v>
      </c>
      <c r="C12" s="204">
        <v>107.94</v>
      </c>
      <c r="D12" s="204">
        <v>95.4</v>
      </c>
      <c r="E12" s="204">
        <v>95.4</v>
      </c>
      <c r="F12" s="204">
        <v>94.5</v>
      </c>
      <c r="G12" s="204">
        <v>91.25</v>
      </c>
      <c r="H12" s="204">
        <v>101.42</v>
      </c>
      <c r="I12" s="204">
        <v>106.22</v>
      </c>
      <c r="J12" s="204">
        <v>80</v>
      </c>
      <c r="K12" s="205">
        <v>30.1</v>
      </c>
      <c r="L12" s="206">
        <v>5</v>
      </c>
      <c r="M12" s="206">
        <v>1.72</v>
      </c>
      <c r="N12" s="206">
        <v>0.8</v>
      </c>
      <c r="O12" s="206">
        <v>0.85</v>
      </c>
      <c r="P12" s="206">
        <v>1</v>
      </c>
      <c r="Q12" s="206">
        <v>1.01</v>
      </c>
      <c r="R12" s="206">
        <v>1.72</v>
      </c>
      <c r="S12" s="206">
        <v>0.66</v>
      </c>
      <c r="T12" s="206">
        <v>3</v>
      </c>
      <c r="U12" s="204">
        <v>46.4</v>
      </c>
      <c r="V12" s="204">
        <v>83.4</v>
      </c>
      <c r="W12" s="204">
        <v>102.62</v>
      </c>
      <c r="X12" s="204">
        <v>98.36</v>
      </c>
      <c r="Y12" s="204">
        <v>83.16</v>
      </c>
      <c r="Z12" s="204"/>
      <c r="AA12" s="207">
        <v>0.66</v>
      </c>
      <c r="AB12" s="207">
        <v>140.69999999999999</v>
      </c>
      <c r="AC12" s="208">
        <v>45.083897249607404</v>
      </c>
      <c r="AN12" s="62">
        <f t="shared" si="0"/>
        <v>140.04</v>
      </c>
      <c r="AQ12" s="121">
        <v>5</v>
      </c>
    </row>
    <row r="13" spans="1:43">
      <c r="A13" s="203" t="s">
        <v>255</v>
      </c>
      <c r="B13" s="204">
        <v>80.97</v>
      </c>
      <c r="C13" s="204">
        <v>75.260000000000005</v>
      </c>
      <c r="D13" s="204">
        <v>80</v>
      </c>
      <c r="E13" s="204">
        <v>80.400000000000006</v>
      </c>
      <c r="F13" s="204">
        <v>85.72</v>
      </c>
      <c r="G13" s="204">
        <v>97.35</v>
      </c>
      <c r="H13" s="204">
        <v>94</v>
      </c>
      <c r="I13" s="204">
        <v>104.41</v>
      </c>
      <c r="J13" s="204">
        <v>97.35</v>
      </c>
      <c r="K13" s="204">
        <v>76.95</v>
      </c>
      <c r="L13" s="204">
        <v>51</v>
      </c>
      <c r="M13" s="205">
        <v>27.67</v>
      </c>
      <c r="N13" s="205">
        <v>28.4</v>
      </c>
      <c r="O13" s="205">
        <v>27.2</v>
      </c>
      <c r="P13" s="205">
        <v>27.2</v>
      </c>
      <c r="Q13" s="205">
        <v>27.2</v>
      </c>
      <c r="R13" s="205">
        <v>28.8</v>
      </c>
      <c r="S13" s="204">
        <v>52</v>
      </c>
      <c r="T13" s="204">
        <v>80.319999999999993</v>
      </c>
      <c r="U13" s="204">
        <v>106.22</v>
      </c>
      <c r="V13" s="204">
        <v>114.64</v>
      </c>
      <c r="W13" s="204">
        <v>170</v>
      </c>
      <c r="X13" s="204">
        <v>150.01</v>
      </c>
      <c r="Y13" s="204">
        <v>115.43</v>
      </c>
      <c r="Z13" s="204"/>
      <c r="AA13" s="207">
        <v>27.2</v>
      </c>
      <c r="AB13" s="207">
        <v>170</v>
      </c>
      <c r="AC13" s="208">
        <v>71.808849500298706</v>
      </c>
      <c r="AN13" s="62">
        <f t="shared" si="0"/>
        <v>142.80000000000001</v>
      </c>
      <c r="AQ13" s="121">
        <v>6</v>
      </c>
    </row>
    <row r="14" spans="1:43">
      <c r="A14" s="203" t="s">
        <v>256</v>
      </c>
      <c r="B14" s="204">
        <v>116.95</v>
      </c>
      <c r="C14" s="204">
        <v>108.66</v>
      </c>
      <c r="D14" s="204">
        <v>105</v>
      </c>
      <c r="E14" s="204">
        <v>108.62</v>
      </c>
      <c r="F14" s="204">
        <v>107.96</v>
      </c>
      <c r="G14" s="204">
        <v>108.59</v>
      </c>
      <c r="H14" s="204">
        <v>114.7</v>
      </c>
      <c r="I14" s="204">
        <v>119.28</v>
      </c>
      <c r="J14" s="204">
        <v>119.22</v>
      </c>
      <c r="K14" s="204">
        <v>80.430000000000007</v>
      </c>
      <c r="L14" s="204">
        <v>50</v>
      </c>
      <c r="M14" s="205">
        <v>26.39</v>
      </c>
      <c r="N14" s="205">
        <v>26.39</v>
      </c>
      <c r="O14" s="205">
        <v>28.42</v>
      </c>
      <c r="P14" s="205">
        <v>27.2</v>
      </c>
      <c r="Q14" s="205">
        <v>26.39</v>
      </c>
      <c r="R14" s="205">
        <v>27.2</v>
      </c>
      <c r="S14" s="204">
        <v>48.97</v>
      </c>
      <c r="T14" s="204">
        <v>70</v>
      </c>
      <c r="U14" s="204">
        <v>101.53</v>
      </c>
      <c r="V14" s="204">
        <v>115.42</v>
      </c>
      <c r="W14" s="204">
        <v>145.01</v>
      </c>
      <c r="X14" s="204">
        <v>125.16</v>
      </c>
      <c r="Y14" s="204">
        <v>110</v>
      </c>
      <c r="Z14" s="204"/>
      <c r="AA14" s="207">
        <v>26.39</v>
      </c>
      <c r="AB14" s="207">
        <v>145.01</v>
      </c>
      <c r="AC14" s="208">
        <v>77.142369741145501</v>
      </c>
      <c r="AN14" s="62">
        <f t="shared" si="0"/>
        <v>118.61999999999999</v>
      </c>
      <c r="AQ14" s="121">
        <v>7</v>
      </c>
    </row>
    <row r="15" spans="1:43">
      <c r="A15" s="203" t="s">
        <v>257</v>
      </c>
      <c r="B15" s="204">
        <v>106.54</v>
      </c>
      <c r="C15" s="204">
        <v>103.4</v>
      </c>
      <c r="D15" s="204">
        <v>104.4</v>
      </c>
      <c r="E15" s="204">
        <v>103.52</v>
      </c>
      <c r="F15" s="204">
        <v>102.39</v>
      </c>
      <c r="G15" s="204">
        <v>104.72</v>
      </c>
      <c r="H15" s="204">
        <v>105.68</v>
      </c>
      <c r="I15" s="204">
        <v>110.46</v>
      </c>
      <c r="J15" s="204">
        <v>104.72</v>
      </c>
      <c r="K15" s="204">
        <v>68.650000000000006</v>
      </c>
      <c r="L15" s="205">
        <v>41.13</v>
      </c>
      <c r="M15" s="206">
        <v>9</v>
      </c>
      <c r="N15" s="206">
        <v>5</v>
      </c>
      <c r="O15" s="206">
        <v>1.5</v>
      </c>
      <c r="P15" s="206">
        <v>1.5</v>
      </c>
      <c r="Q15" s="206">
        <v>0.74</v>
      </c>
      <c r="R15" s="206">
        <v>10.49</v>
      </c>
      <c r="S15" s="204">
        <v>49.77</v>
      </c>
      <c r="T15" s="204">
        <v>68.62</v>
      </c>
      <c r="U15" s="204">
        <v>104.07</v>
      </c>
      <c r="V15" s="204">
        <v>109.9</v>
      </c>
      <c r="W15" s="204">
        <v>136.87</v>
      </c>
      <c r="X15" s="204">
        <v>115.97</v>
      </c>
      <c r="Y15" s="204">
        <v>109</v>
      </c>
      <c r="Z15" s="204"/>
      <c r="AA15" s="207">
        <v>0.74</v>
      </c>
      <c r="AB15" s="207">
        <v>136.87</v>
      </c>
      <c r="AC15" s="208">
        <v>65.302391860184002</v>
      </c>
      <c r="AN15" s="62">
        <f t="shared" si="0"/>
        <v>136.13</v>
      </c>
      <c r="AQ15" s="121">
        <v>8</v>
      </c>
    </row>
    <row r="16" spans="1:43">
      <c r="A16" s="203" t="s">
        <v>258</v>
      </c>
      <c r="B16" s="204">
        <v>105.43</v>
      </c>
      <c r="C16" s="204">
        <v>105.43</v>
      </c>
      <c r="D16" s="204">
        <v>105.43</v>
      </c>
      <c r="E16" s="204">
        <v>105.41</v>
      </c>
      <c r="F16" s="204">
        <v>104.72</v>
      </c>
      <c r="G16" s="204">
        <v>104.72</v>
      </c>
      <c r="H16" s="204">
        <v>110.7</v>
      </c>
      <c r="I16" s="204">
        <v>113.12</v>
      </c>
      <c r="J16" s="204">
        <v>102.07</v>
      </c>
      <c r="K16" s="205">
        <v>43.09</v>
      </c>
      <c r="L16" s="206">
        <v>0.85</v>
      </c>
      <c r="M16" s="209">
        <v>0</v>
      </c>
      <c r="N16" s="206">
        <v>-0.01</v>
      </c>
      <c r="O16" s="209">
        <v>0</v>
      </c>
      <c r="P16" s="209">
        <v>0</v>
      </c>
      <c r="Q16" s="206">
        <v>-0.01</v>
      </c>
      <c r="R16" s="209">
        <v>0</v>
      </c>
      <c r="S16" s="206">
        <v>3.52</v>
      </c>
      <c r="T16" s="205">
        <v>28.61</v>
      </c>
      <c r="U16" s="204">
        <v>69.989999999999995</v>
      </c>
      <c r="V16" s="204">
        <v>94</v>
      </c>
      <c r="W16" s="204">
        <v>100.26</v>
      </c>
      <c r="X16" s="204">
        <v>96.64</v>
      </c>
      <c r="Y16" s="204">
        <v>94.78</v>
      </c>
      <c r="Z16" s="204"/>
      <c r="AA16" s="207">
        <v>-0.01</v>
      </c>
      <c r="AB16" s="207">
        <v>113.12</v>
      </c>
      <c r="AC16" s="208">
        <v>52.435990559069701</v>
      </c>
      <c r="AN16" s="62">
        <f t="shared" si="0"/>
        <v>113.13000000000001</v>
      </c>
      <c r="AQ16" s="121">
        <v>9</v>
      </c>
    </row>
    <row r="17" spans="1:43">
      <c r="A17" s="203" t="s">
        <v>259</v>
      </c>
      <c r="B17" s="204">
        <v>104.72</v>
      </c>
      <c r="C17" s="204">
        <v>85.44</v>
      </c>
      <c r="D17" s="204">
        <v>79</v>
      </c>
      <c r="E17" s="204">
        <v>68</v>
      </c>
      <c r="F17" s="204">
        <v>85</v>
      </c>
      <c r="G17" s="204">
        <v>90.5</v>
      </c>
      <c r="H17" s="204">
        <v>96.44</v>
      </c>
      <c r="I17" s="204">
        <v>90</v>
      </c>
      <c r="J17" s="204">
        <v>49.9</v>
      </c>
      <c r="K17" s="209">
        <v>0</v>
      </c>
      <c r="L17" s="206">
        <v>-0.44</v>
      </c>
      <c r="M17" s="206">
        <v>-0.99</v>
      </c>
      <c r="N17" s="206">
        <v>-1</v>
      </c>
      <c r="O17" s="206">
        <v>-0.62</v>
      </c>
      <c r="P17" s="206">
        <v>-0.6</v>
      </c>
      <c r="Q17" s="206">
        <v>-0.6</v>
      </c>
      <c r="R17" s="206">
        <v>-0.5</v>
      </c>
      <c r="S17" s="206">
        <v>1.72</v>
      </c>
      <c r="T17" s="205">
        <v>26.5</v>
      </c>
      <c r="U17" s="204">
        <v>80.5</v>
      </c>
      <c r="V17" s="204">
        <v>98.01</v>
      </c>
      <c r="W17" s="204">
        <v>130</v>
      </c>
      <c r="X17" s="204">
        <v>136.87</v>
      </c>
      <c r="Y17" s="204">
        <v>112.98</v>
      </c>
      <c r="Z17" s="204"/>
      <c r="AA17" s="207">
        <v>-1</v>
      </c>
      <c r="AB17" s="207">
        <v>136.87</v>
      </c>
      <c r="AC17" s="208">
        <v>48.394327874918503</v>
      </c>
      <c r="AN17" s="62">
        <f t="shared" si="0"/>
        <v>137.87</v>
      </c>
      <c r="AQ17" s="121">
        <v>10</v>
      </c>
    </row>
    <row r="18" spans="1:43">
      <c r="A18" s="203" t="s">
        <v>260</v>
      </c>
      <c r="B18" s="204">
        <v>109.7</v>
      </c>
      <c r="C18" s="204">
        <v>100.43</v>
      </c>
      <c r="D18" s="204">
        <v>100</v>
      </c>
      <c r="E18" s="204">
        <v>99.89</v>
      </c>
      <c r="F18" s="204">
        <v>99.18</v>
      </c>
      <c r="G18" s="204">
        <v>99.89</v>
      </c>
      <c r="H18" s="204">
        <v>99.65</v>
      </c>
      <c r="I18" s="204">
        <v>105.43</v>
      </c>
      <c r="J18" s="204">
        <v>100.61</v>
      </c>
      <c r="K18" s="204">
        <v>63.6</v>
      </c>
      <c r="L18" s="204">
        <v>45</v>
      </c>
      <c r="M18" s="206">
        <v>22.51</v>
      </c>
      <c r="N18" s="206">
        <v>15</v>
      </c>
      <c r="O18" s="206">
        <v>15</v>
      </c>
      <c r="P18" s="206">
        <v>10</v>
      </c>
      <c r="Q18" s="206">
        <v>9</v>
      </c>
      <c r="R18" s="205">
        <v>44.5</v>
      </c>
      <c r="S18" s="204">
        <v>57.97</v>
      </c>
      <c r="T18" s="204">
        <v>90</v>
      </c>
      <c r="U18" s="204">
        <v>111.24</v>
      </c>
      <c r="V18" s="204">
        <v>135.09</v>
      </c>
      <c r="W18" s="204">
        <v>144.41</v>
      </c>
      <c r="X18" s="204">
        <v>133.51</v>
      </c>
      <c r="Y18" s="204">
        <v>110.91</v>
      </c>
      <c r="Z18" s="204"/>
      <c r="AA18" s="207">
        <v>9</v>
      </c>
      <c r="AB18" s="207">
        <v>144.41</v>
      </c>
      <c r="AC18" s="208">
        <v>71.899164717328404</v>
      </c>
      <c r="AN18" s="62">
        <f t="shared" si="0"/>
        <v>135.41</v>
      </c>
      <c r="AQ18" s="121">
        <v>11</v>
      </c>
    </row>
    <row r="19" spans="1:43">
      <c r="A19" s="203" t="s">
        <v>261</v>
      </c>
      <c r="B19" s="204">
        <v>109.13</v>
      </c>
      <c r="C19" s="204">
        <v>99.94</v>
      </c>
      <c r="D19" s="204">
        <v>104.72</v>
      </c>
      <c r="E19" s="204">
        <v>104.38</v>
      </c>
      <c r="F19" s="204">
        <v>103</v>
      </c>
      <c r="G19" s="204">
        <v>104.38</v>
      </c>
      <c r="H19" s="204">
        <v>99.18</v>
      </c>
      <c r="I19" s="204">
        <v>109.7</v>
      </c>
      <c r="J19" s="204">
        <v>98.69</v>
      </c>
      <c r="K19" s="204">
        <v>96.13</v>
      </c>
      <c r="L19" s="204">
        <v>66.34</v>
      </c>
      <c r="M19" s="205">
        <v>40.94</v>
      </c>
      <c r="N19" s="205">
        <v>27.2</v>
      </c>
      <c r="O19" s="205">
        <v>26.28</v>
      </c>
      <c r="P19" s="205">
        <v>27.2</v>
      </c>
      <c r="Q19" s="205">
        <v>35.049999999999997</v>
      </c>
      <c r="R19" s="204">
        <v>63.8</v>
      </c>
      <c r="S19" s="204">
        <v>85.82</v>
      </c>
      <c r="T19" s="204">
        <v>96.78</v>
      </c>
      <c r="U19" s="204">
        <v>121.86</v>
      </c>
      <c r="V19" s="204">
        <v>154.93</v>
      </c>
      <c r="W19" s="204">
        <v>140.81</v>
      </c>
      <c r="X19" s="204">
        <v>126.87</v>
      </c>
      <c r="Y19" s="204">
        <v>109.7</v>
      </c>
      <c r="Z19" s="204"/>
      <c r="AA19" s="207">
        <v>26.28</v>
      </c>
      <c r="AB19" s="207">
        <v>154.93</v>
      </c>
      <c r="AC19" s="208">
        <v>84.329073438026398</v>
      </c>
      <c r="AN19" s="62">
        <f t="shared" si="0"/>
        <v>128.65</v>
      </c>
      <c r="AQ19" s="121">
        <v>12</v>
      </c>
    </row>
    <row r="20" spans="1:43">
      <c r="A20" s="203" t="s">
        <v>262</v>
      </c>
      <c r="B20" s="204">
        <v>109.73</v>
      </c>
      <c r="C20" s="204">
        <v>110.7</v>
      </c>
      <c r="D20" s="204">
        <v>109.98</v>
      </c>
      <c r="E20" s="204">
        <v>105.55</v>
      </c>
      <c r="F20" s="204">
        <v>104.32</v>
      </c>
      <c r="G20" s="204">
        <v>104.32</v>
      </c>
      <c r="H20" s="204">
        <v>105</v>
      </c>
      <c r="I20" s="204">
        <v>121.17</v>
      </c>
      <c r="J20" s="204">
        <v>118.24</v>
      </c>
      <c r="K20" s="204">
        <v>94.1</v>
      </c>
      <c r="L20" s="204">
        <v>90</v>
      </c>
      <c r="M20" s="204">
        <v>71</v>
      </c>
      <c r="N20" s="204">
        <v>63.48</v>
      </c>
      <c r="O20" s="204">
        <v>60</v>
      </c>
      <c r="P20" s="204">
        <v>63.22</v>
      </c>
      <c r="Q20" s="204">
        <v>70.900000000000006</v>
      </c>
      <c r="R20" s="204">
        <v>84.15</v>
      </c>
      <c r="S20" s="204">
        <v>93.1</v>
      </c>
      <c r="T20" s="204">
        <v>105</v>
      </c>
      <c r="U20" s="204">
        <v>107.23</v>
      </c>
      <c r="V20" s="204">
        <v>155.1</v>
      </c>
      <c r="W20" s="204">
        <v>153</v>
      </c>
      <c r="X20" s="204">
        <v>123.21</v>
      </c>
      <c r="Y20" s="204">
        <v>106.27</v>
      </c>
      <c r="Z20" s="204"/>
      <c r="AA20" s="207">
        <v>60</v>
      </c>
      <c r="AB20" s="207">
        <v>155.1</v>
      </c>
      <c r="AC20" s="208">
        <v>98.606385324666604</v>
      </c>
      <c r="AN20" s="62">
        <f t="shared" si="0"/>
        <v>95.1</v>
      </c>
      <c r="AQ20" s="121">
        <v>13</v>
      </c>
    </row>
    <row r="21" spans="1:43">
      <c r="A21" s="203" t="s">
        <v>263</v>
      </c>
      <c r="B21" s="204">
        <v>126.87</v>
      </c>
      <c r="C21" s="204">
        <v>115.7</v>
      </c>
      <c r="D21" s="204">
        <v>110.28</v>
      </c>
      <c r="E21" s="204">
        <v>105.27</v>
      </c>
      <c r="F21" s="204">
        <v>102</v>
      </c>
      <c r="G21" s="204">
        <v>101.12</v>
      </c>
      <c r="H21" s="204">
        <v>107</v>
      </c>
      <c r="I21" s="204">
        <v>109.65</v>
      </c>
      <c r="J21" s="204">
        <v>99.31</v>
      </c>
      <c r="K21" s="204">
        <v>90.92</v>
      </c>
      <c r="L21" s="204">
        <v>71.67</v>
      </c>
      <c r="M21" s="204">
        <v>67.400000000000006</v>
      </c>
      <c r="N21" s="204">
        <v>54.01</v>
      </c>
      <c r="O21" s="205">
        <v>40.909999999999997</v>
      </c>
      <c r="P21" s="204">
        <v>54.9</v>
      </c>
      <c r="Q21" s="204">
        <v>69.430000000000007</v>
      </c>
      <c r="R21" s="204">
        <v>71.67</v>
      </c>
      <c r="S21" s="204">
        <v>80</v>
      </c>
      <c r="T21" s="204">
        <v>102</v>
      </c>
      <c r="U21" s="204">
        <v>115.78</v>
      </c>
      <c r="V21" s="204">
        <v>137.99</v>
      </c>
      <c r="W21" s="204">
        <v>149.02000000000001</v>
      </c>
      <c r="X21" s="204">
        <v>125.88</v>
      </c>
      <c r="Y21" s="204">
        <v>111.92</v>
      </c>
      <c r="Z21" s="204"/>
      <c r="AA21" s="207">
        <v>40.909999999999997</v>
      </c>
      <c r="AB21" s="207">
        <v>149.02000000000001</v>
      </c>
      <c r="AC21" s="208">
        <v>93.758028406786494</v>
      </c>
      <c r="AN21" s="62">
        <f t="shared" si="0"/>
        <v>108.11000000000001</v>
      </c>
      <c r="AQ21" s="121">
        <v>14</v>
      </c>
    </row>
    <row r="22" spans="1:43">
      <c r="A22" s="203" t="s">
        <v>264</v>
      </c>
      <c r="B22" s="204">
        <v>119.07</v>
      </c>
      <c r="C22" s="204">
        <v>105.3</v>
      </c>
      <c r="D22" s="204">
        <v>99.9</v>
      </c>
      <c r="E22" s="204">
        <v>96.22</v>
      </c>
      <c r="F22" s="204">
        <v>93.66</v>
      </c>
      <c r="G22" s="204">
        <v>91.16</v>
      </c>
      <c r="H22" s="204">
        <v>98.5</v>
      </c>
      <c r="I22" s="204">
        <v>97.52</v>
      </c>
      <c r="J22" s="204">
        <v>71.89</v>
      </c>
      <c r="K22" s="205">
        <v>43.97</v>
      </c>
      <c r="L22" s="206">
        <v>6</v>
      </c>
      <c r="M22" s="206">
        <v>3</v>
      </c>
      <c r="N22" s="206">
        <v>0.08</v>
      </c>
      <c r="O22" s="209">
        <v>0</v>
      </c>
      <c r="P22" s="209">
        <v>0</v>
      </c>
      <c r="Q22" s="206">
        <v>1.72</v>
      </c>
      <c r="R22" s="206">
        <v>23.53</v>
      </c>
      <c r="S22" s="205">
        <v>33.229999999999997</v>
      </c>
      <c r="T22" s="204">
        <v>61.12</v>
      </c>
      <c r="U22" s="204">
        <v>100.82</v>
      </c>
      <c r="V22" s="204">
        <v>111.39</v>
      </c>
      <c r="W22" s="204">
        <v>144.75</v>
      </c>
      <c r="X22" s="204">
        <v>142</v>
      </c>
      <c r="Y22" s="204">
        <v>117.63</v>
      </c>
      <c r="Z22" s="204"/>
      <c r="AA22" s="207">
        <v>0</v>
      </c>
      <c r="AB22" s="207">
        <v>144.75</v>
      </c>
      <c r="AC22" s="208">
        <v>61.402836118177703</v>
      </c>
      <c r="AN22" s="62">
        <f t="shared" si="0"/>
        <v>144.75</v>
      </c>
      <c r="AQ22" s="121">
        <v>15</v>
      </c>
    </row>
    <row r="23" spans="1:43">
      <c r="A23" s="203" t="s">
        <v>265</v>
      </c>
      <c r="B23" s="204">
        <v>118.82</v>
      </c>
      <c r="C23" s="204">
        <v>114.32</v>
      </c>
      <c r="D23" s="204">
        <v>109.69</v>
      </c>
      <c r="E23" s="204">
        <v>105</v>
      </c>
      <c r="F23" s="204">
        <v>104.28</v>
      </c>
      <c r="G23" s="204">
        <v>105.35</v>
      </c>
      <c r="H23" s="204">
        <v>108.43</v>
      </c>
      <c r="I23" s="204">
        <v>111.19</v>
      </c>
      <c r="J23" s="204">
        <v>103.67</v>
      </c>
      <c r="K23" s="204">
        <v>60.93</v>
      </c>
      <c r="L23" s="205">
        <v>26.28</v>
      </c>
      <c r="M23" s="206">
        <v>3.8</v>
      </c>
      <c r="N23" s="206">
        <v>0.65</v>
      </c>
      <c r="O23" s="206">
        <v>0.65</v>
      </c>
      <c r="P23" s="206">
        <v>0.66</v>
      </c>
      <c r="Q23" s="206">
        <v>1.1000000000000001</v>
      </c>
      <c r="R23" s="206">
        <v>3.6</v>
      </c>
      <c r="S23" s="206">
        <v>21.52</v>
      </c>
      <c r="T23" s="204">
        <v>68.8</v>
      </c>
      <c r="U23" s="204">
        <v>100</v>
      </c>
      <c r="V23" s="204">
        <v>111.05</v>
      </c>
      <c r="W23" s="204">
        <v>144</v>
      </c>
      <c r="X23" s="204">
        <v>137</v>
      </c>
      <c r="Y23" s="204">
        <v>117.65</v>
      </c>
      <c r="Z23" s="204"/>
      <c r="AA23" s="207">
        <v>0.65</v>
      </c>
      <c r="AB23" s="207">
        <v>144</v>
      </c>
      <c r="AC23" s="208">
        <v>65.313314319531401</v>
      </c>
      <c r="AN23" s="62">
        <f t="shared" si="0"/>
        <v>143.35</v>
      </c>
      <c r="AQ23" s="121">
        <v>16</v>
      </c>
    </row>
    <row r="24" spans="1:43">
      <c r="A24" s="203" t="s">
        <v>266</v>
      </c>
      <c r="B24" s="204">
        <v>118.58</v>
      </c>
      <c r="C24" s="204">
        <v>113.12</v>
      </c>
      <c r="D24" s="204">
        <v>106.27</v>
      </c>
      <c r="E24" s="204">
        <v>104.59</v>
      </c>
      <c r="F24" s="204">
        <v>104.66</v>
      </c>
      <c r="G24" s="204">
        <v>105.01</v>
      </c>
      <c r="H24" s="204">
        <v>104.34</v>
      </c>
      <c r="I24" s="204">
        <v>96.99</v>
      </c>
      <c r="J24" s="204">
        <v>101.12</v>
      </c>
      <c r="K24" s="205">
        <v>27.2</v>
      </c>
      <c r="L24" s="206">
        <v>9.6999999999999993</v>
      </c>
      <c r="M24" s="206">
        <v>0.65</v>
      </c>
      <c r="N24" s="206">
        <v>0.65</v>
      </c>
      <c r="O24" s="206">
        <v>0.65</v>
      </c>
      <c r="P24" s="206">
        <v>0.65</v>
      </c>
      <c r="Q24" s="206">
        <v>0.65</v>
      </c>
      <c r="R24" s="206">
        <v>5.13</v>
      </c>
      <c r="S24" s="206">
        <v>16.72</v>
      </c>
      <c r="T24" s="204">
        <v>51.45</v>
      </c>
      <c r="U24" s="204">
        <v>94.03</v>
      </c>
      <c r="V24" s="204">
        <v>113.12</v>
      </c>
      <c r="W24" s="204">
        <v>124.65</v>
      </c>
      <c r="X24" s="204">
        <v>131.25</v>
      </c>
      <c r="Y24" s="204">
        <v>117.67</v>
      </c>
      <c r="Z24" s="204"/>
      <c r="AA24" s="207">
        <v>0.65</v>
      </c>
      <c r="AB24" s="207">
        <v>131.25</v>
      </c>
      <c r="AC24" s="208">
        <v>60.406288221161603</v>
      </c>
      <c r="AN24" s="62">
        <f t="shared" si="0"/>
        <v>130.6</v>
      </c>
      <c r="AQ24" s="121">
        <v>17</v>
      </c>
    </row>
    <row r="25" spans="1:43">
      <c r="A25" s="203" t="s">
        <v>267</v>
      </c>
      <c r="B25" s="204">
        <v>109.52</v>
      </c>
      <c r="C25" s="204">
        <v>105.54</v>
      </c>
      <c r="D25" s="204">
        <v>104.3</v>
      </c>
      <c r="E25" s="204">
        <v>103.1</v>
      </c>
      <c r="F25" s="204">
        <v>99.82</v>
      </c>
      <c r="G25" s="204">
        <v>101.12</v>
      </c>
      <c r="H25" s="204">
        <v>105.34</v>
      </c>
      <c r="I25" s="204">
        <v>106.54</v>
      </c>
      <c r="J25" s="204">
        <v>106.54</v>
      </c>
      <c r="K25" s="204">
        <v>104.56</v>
      </c>
      <c r="L25" s="204">
        <v>97.52</v>
      </c>
      <c r="M25" s="204">
        <v>75.59</v>
      </c>
      <c r="N25" s="204">
        <v>69</v>
      </c>
      <c r="O25" s="204">
        <v>69</v>
      </c>
      <c r="P25" s="204">
        <v>67.900000000000006</v>
      </c>
      <c r="Q25" s="204">
        <v>60</v>
      </c>
      <c r="R25" s="204">
        <v>69.260000000000005</v>
      </c>
      <c r="S25" s="204">
        <v>84.53</v>
      </c>
      <c r="T25" s="204">
        <v>104.07</v>
      </c>
      <c r="U25" s="204">
        <v>115.06</v>
      </c>
      <c r="V25" s="204">
        <v>120</v>
      </c>
      <c r="W25" s="204">
        <v>120.76</v>
      </c>
      <c r="X25" s="204">
        <v>114.32</v>
      </c>
      <c r="Y25" s="204">
        <v>106.84</v>
      </c>
      <c r="Z25" s="204"/>
      <c r="AA25" s="207">
        <v>60</v>
      </c>
      <c r="AB25" s="207">
        <v>120.76</v>
      </c>
      <c r="AC25" s="208">
        <v>94.572237261266693</v>
      </c>
      <c r="AN25" s="62">
        <f t="shared" si="0"/>
        <v>60.760000000000005</v>
      </c>
      <c r="AQ25" s="121">
        <v>18</v>
      </c>
    </row>
    <row r="26" spans="1:43">
      <c r="A26" s="203" t="s">
        <v>268</v>
      </c>
      <c r="B26" s="204">
        <v>103.06</v>
      </c>
      <c r="C26" s="204">
        <v>101.12</v>
      </c>
      <c r="D26" s="204">
        <v>98.1</v>
      </c>
      <c r="E26" s="204">
        <v>92.41</v>
      </c>
      <c r="F26" s="204">
        <v>90.37</v>
      </c>
      <c r="G26" s="204">
        <v>91.4</v>
      </c>
      <c r="H26" s="204">
        <v>99</v>
      </c>
      <c r="I26" s="204">
        <v>102.82</v>
      </c>
      <c r="J26" s="204">
        <v>98.1</v>
      </c>
      <c r="K26" s="204">
        <v>88.57</v>
      </c>
      <c r="L26" s="204">
        <v>69.64</v>
      </c>
      <c r="M26" s="205">
        <v>43.23</v>
      </c>
      <c r="N26" s="205">
        <v>30</v>
      </c>
      <c r="O26" s="205">
        <v>29.14</v>
      </c>
      <c r="P26" s="205">
        <v>30.91</v>
      </c>
      <c r="Q26" s="205">
        <v>40.54</v>
      </c>
      <c r="R26" s="204">
        <v>46.8</v>
      </c>
      <c r="S26" s="204">
        <v>48.7</v>
      </c>
      <c r="T26" s="204">
        <v>62.2</v>
      </c>
      <c r="U26" s="204">
        <v>88.97</v>
      </c>
      <c r="V26" s="204">
        <v>97.74</v>
      </c>
      <c r="W26" s="204">
        <v>106.85</v>
      </c>
      <c r="X26" s="204">
        <v>106.54</v>
      </c>
      <c r="Y26" s="204">
        <v>99</v>
      </c>
      <c r="Z26" s="204"/>
      <c r="AA26" s="207">
        <v>29.14</v>
      </c>
      <c r="AB26" s="207">
        <v>106.85</v>
      </c>
      <c r="AC26" s="208">
        <v>71.764688444959901</v>
      </c>
      <c r="AN26" s="62">
        <f t="shared" si="0"/>
        <v>77.709999999999994</v>
      </c>
      <c r="AQ26" s="121">
        <v>19</v>
      </c>
    </row>
    <row r="27" spans="1:43">
      <c r="A27" s="203" t="s">
        <v>269</v>
      </c>
      <c r="B27" s="204">
        <v>95.58</v>
      </c>
      <c r="C27" s="204">
        <v>88.03</v>
      </c>
      <c r="D27" s="204">
        <v>83</v>
      </c>
      <c r="E27" s="204">
        <v>81</v>
      </c>
      <c r="F27" s="204">
        <v>76.2</v>
      </c>
      <c r="G27" s="204">
        <v>82</v>
      </c>
      <c r="H27" s="204">
        <v>88.46</v>
      </c>
      <c r="I27" s="204">
        <v>96.54</v>
      </c>
      <c r="J27" s="204">
        <v>89.81</v>
      </c>
      <c r="K27" s="204">
        <v>71.55</v>
      </c>
      <c r="L27" s="204">
        <v>49.8</v>
      </c>
      <c r="M27" s="204">
        <v>49.9</v>
      </c>
      <c r="N27" s="204">
        <v>49.02</v>
      </c>
      <c r="O27" s="205">
        <v>35</v>
      </c>
      <c r="P27" s="205">
        <v>31.53</v>
      </c>
      <c r="Q27" s="205">
        <v>27.2</v>
      </c>
      <c r="R27" s="205">
        <v>27.99</v>
      </c>
      <c r="S27" s="205">
        <v>37</v>
      </c>
      <c r="T27" s="204">
        <v>49.27</v>
      </c>
      <c r="U27" s="204">
        <v>69.27</v>
      </c>
      <c r="V27" s="204">
        <v>78.73</v>
      </c>
      <c r="W27" s="204">
        <v>100.07</v>
      </c>
      <c r="X27" s="204">
        <v>97.52</v>
      </c>
      <c r="Y27" s="204">
        <v>84.98</v>
      </c>
      <c r="Z27" s="204"/>
      <c r="AA27" s="207">
        <v>27.2</v>
      </c>
      <c r="AB27" s="207">
        <v>100.07</v>
      </c>
      <c r="AC27" s="208">
        <v>62.431425082784202</v>
      </c>
      <c r="AN27" s="62">
        <f t="shared" si="0"/>
        <v>72.86999999999999</v>
      </c>
      <c r="AQ27" s="121">
        <v>20</v>
      </c>
    </row>
    <row r="28" spans="1:43">
      <c r="A28" s="203" t="s">
        <v>270</v>
      </c>
      <c r="B28" s="204">
        <v>95.28</v>
      </c>
      <c r="C28" s="204">
        <v>88.88</v>
      </c>
      <c r="D28" s="204">
        <v>85.26</v>
      </c>
      <c r="E28" s="204">
        <v>83.68</v>
      </c>
      <c r="F28" s="204">
        <v>82.1</v>
      </c>
      <c r="G28" s="204">
        <v>84</v>
      </c>
      <c r="H28" s="204">
        <v>85.82</v>
      </c>
      <c r="I28" s="204">
        <v>101.12</v>
      </c>
      <c r="J28" s="204">
        <v>85.26</v>
      </c>
      <c r="K28" s="204">
        <v>50.2</v>
      </c>
      <c r="L28" s="205">
        <v>25.67</v>
      </c>
      <c r="M28" s="206">
        <v>10</v>
      </c>
      <c r="N28" s="206">
        <v>7.89</v>
      </c>
      <c r="O28" s="206">
        <v>5.1100000000000003</v>
      </c>
      <c r="P28" s="206">
        <v>5.1100000000000003</v>
      </c>
      <c r="Q28" s="206">
        <v>3.52</v>
      </c>
      <c r="R28" s="206">
        <v>5.79</v>
      </c>
      <c r="S28" s="206">
        <v>6</v>
      </c>
      <c r="T28" s="206">
        <v>25</v>
      </c>
      <c r="U28" s="204">
        <v>50</v>
      </c>
      <c r="V28" s="204">
        <v>77.84</v>
      </c>
      <c r="W28" s="204">
        <v>83.26</v>
      </c>
      <c r="X28" s="204">
        <v>75</v>
      </c>
      <c r="Y28" s="204">
        <v>71.599999999999994</v>
      </c>
      <c r="Z28" s="204"/>
      <c r="AA28" s="207">
        <v>3.52</v>
      </c>
      <c r="AB28" s="207">
        <v>101.12</v>
      </c>
      <c r="AC28" s="208">
        <v>43.9104129370794</v>
      </c>
      <c r="AN28" s="62">
        <f t="shared" si="0"/>
        <v>97.600000000000009</v>
      </c>
      <c r="AQ28" s="121">
        <v>21</v>
      </c>
    </row>
    <row r="29" spans="1:43">
      <c r="A29" s="203" t="s">
        <v>271</v>
      </c>
      <c r="B29" s="204">
        <v>77.099999999999994</v>
      </c>
      <c r="C29" s="204">
        <v>72</v>
      </c>
      <c r="D29" s="204">
        <v>68.010000000000005</v>
      </c>
      <c r="E29" s="204">
        <v>65.2</v>
      </c>
      <c r="F29" s="204">
        <v>70.010000000000005</v>
      </c>
      <c r="G29" s="204">
        <v>69.81</v>
      </c>
      <c r="H29" s="204">
        <v>71.03</v>
      </c>
      <c r="I29" s="204">
        <v>78.06</v>
      </c>
      <c r="J29" s="204">
        <v>75.099999999999994</v>
      </c>
      <c r="K29" s="204">
        <v>49.67</v>
      </c>
      <c r="L29" s="206">
        <v>15.57</v>
      </c>
      <c r="M29" s="206">
        <v>5.1100000000000003</v>
      </c>
      <c r="N29" s="206">
        <v>4.3099999999999996</v>
      </c>
      <c r="O29" s="206">
        <v>5.79</v>
      </c>
      <c r="P29" s="206">
        <v>5.37</v>
      </c>
      <c r="Q29" s="206">
        <v>5.01</v>
      </c>
      <c r="R29" s="206">
        <v>5.79</v>
      </c>
      <c r="S29" s="206">
        <v>20</v>
      </c>
      <c r="T29" s="205">
        <v>35.200000000000003</v>
      </c>
      <c r="U29" s="204">
        <v>84.56</v>
      </c>
      <c r="V29" s="204">
        <v>104.53</v>
      </c>
      <c r="W29" s="204">
        <v>103.49</v>
      </c>
      <c r="X29" s="204">
        <v>101.59</v>
      </c>
      <c r="Y29" s="204">
        <v>94.37</v>
      </c>
      <c r="Z29" s="204"/>
      <c r="AA29" s="207">
        <v>4.3099999999999996</v>
      </c>
      <c r="AB29" s="207">
        <v>104.53</v>
      </c>
      <c r="AC29" s="208">
        <v>45.007060280095203</v>
      </c>
      <c r="AN29" s="62">
        <f t="shared" si="0"/>
        <v>100.22</v>
      </c>
      <c r="AQ29" s="121">
        <v>22</v>
      </c>
    </row>
    <row r="30" spans="1:43">
      <c r="A30" s="203" t="s">
        <v>272</v>
      </c>
      <c r="B30" s="204">
        <v>95.33</v>
      </c>
      <c r="C30" s="204">
        <v>89.32</v>
      </c>
      <c r="D30" s="204">
        <v>80.94</v>
      </c>
      <c r="E30" s="204">
        <v>78.209999999999994</v>
      </c>
      <c r="F30" s="204">
        <v>76.06</v>
      </c>
      <c r="G30" s="204">
        <v>79.099999999999994</v>
      </c>
      <c r="H30" s="204">
        <v>84.28</v>
      </c>
      <c r="I30" s="204">
        <v>86.42</v>
      </c>
      <c r="J30" s="204">
        <v>79.150000000000006</v>
      </c>
      <c r="K30" s="204">
        <v>55.02</v>
      </c>
      <c r="L30" s="206">
        <v>15.85</v>
      </c>
      <c r="M30" s="206">
        <v>3.46</v>
      </c>
      <c r="N30" s="206">
        <v>1.82</v>
      </c>
      <c r="O30" s="206">
        <v>0.75</v>
      </c>
      <c r="P30" s="206">
        <v>0.65</v>
      </c>
      <c r="Q30" s="206">
        <v>3.52</v>
      </c>
      <c r="R30" s="206">
        <v>11.99</v>
      </c>
      <c r="S30" s="205">
        <v>38.380000000000003</v>
      </c>
      <c r="T30" s="204">
        <v>64.64</v>
      </c>
      <c r="U30" s="204">
        <v>106.96</v>
      </c>
      <c r="V30" s="204">
        <v>118.85</v>
      </c>
      <c r="W30" s="204">
        <v>130.87</v>
      </c>
      <c r="X30" s="204">
        <v>111.16</v>
      </c>
      <c r="Y30" s="204">
        <v>108.96</v>
      </c>
      <c r="Z30" s="204"/>
      <c r="AA30" s="207">
        <v>0.65</v>
      </c>
      <c r="AB30" s="207">
        <v>130.87</v>
      </c>
      <c r="AC30" s="208">
        <v>54.289692965211103</v>
      </c>
      <c r="AN30" s="62">
        <f t="shared" si="0"/>
        <v>130.22</v>
      </c>
      <c r="AQ30" s="121">
        <v>23</v>
      </c>
    </row>
    <row r="31" spans="1:43">
      <c r="A31" s="203" t="s">
        <v>273</v>
      </c>
      <c r="B31" s="204">
        <v>106</v>
      </c>
      <c r="C31" s="204">
        <v>101.12</v>
      </c>
      <c r="D31" s="204">
        <v>97.52</v>
      </c>
      <c r="E31" s="204">
        <v>94.24</v>
      </c>
      <c r="F31" s="204">
        <v>93.76</v>
      </c>
      <c r="G31" s="204">
        <v>94</v>
      </c>
      <c r="H31" s="204">
        <v>94.24</v>
      </c>
      <c r="I31" s="204">
        <v>95.96</v>
      </c>
      <c r="J31" s="204">
        <v>75</v>
      </c>
      <c r="K31" s="206">
        <v>25</v>
      </c>
      <c r="L31" s="209">
        <v>0</v>
      </c>
      <c r="M31" s="206">
        <v>-0.05</v>
      </c>
      <c r="N31" s="206">
        <v>-0.6</v>
      </c>
      <c r="O31" s="206">
        <v>-0.6</v>
      </c>
      <c r="P31" s="206">
        <v>-0.5</v>
      </c>
      <c r="Q31" s="206">
        <v>-0.1</v>
      </c>
      <c r="R31" s="209">
        <v>0</v>
      </c>
      <c r="S31" s="206">
        <v>12.93</v>
      </c>
      <c r="T31" s="204">
        <v>61.15</v>
      </c>
      <c r="U31" s="204">
        <v>98.57</v>
      </c>
      <c r="V31" s="204">
        <v>114.99</v>
      </c>
      <c r="W31" s="204">
        <v>114.32</v>
      </c>
      <c r="X31" s="204">
        <v>111.92</v>
      </c>
      <c r="Y31" s="204">
        <v>105.77</v>
      </c>
      <c r="Z31" s="204"/>
      <c r="AA31" s="207">
        <v>-0.6</v>
      </c>
      <c r="AB31" s="207">
        <v>114.99</v>
      </c>
      <c r="AC31" s="208">
        <v>52.736417610723699</v>
      </c>
      <c r="AN31" s="62">
        <f t="shared" si="0"/>
        <v>115.58999999999999</v>
      </c>
      <c r="AQ31" s="121">
        <v>24</v>
      </c>
    </row>
    <row r="32" spans="1:43">
      <c r="A32" s="203" t="s">
        <v>274</v>
      </c>
      <c r="B32" s="204">
        <v>111.92</v>
      </c>
      <c r="C32" s="204">
        <v>107.5</v>
      </c>
      <c r="D32" s="204">
        <v>104.99</v>
      </c>
      <c r="E32" s="204">
        <v>101.12</v>
      </c>
      <c r="F32" s="204">
        <v>98.35</v>
      </c>
      <c r="G32" s="204">
        <v>104.99</v>
      </c>
      <c r="H32" s="204">
        <v>108.73</v>
      </c>
      <c r="I32" s="204">
        <v>114.32</v>
      </c>
      <c r="J32" s="204">
        <v>114.32</v>
      </c>
      <c r="K32" s="204">
        <v>108.32</v>
      </c>
      <c r="L32" s="204">
        <v>89.51</v>
      </c>
      <c r="M32" s="204">
        <v>65.010000000000005</v>
      </c>
      <c r="N32" s="204">
        <v>55.2</v>
      </c>
      <c r="O32" s="205">
        <v>35</v>
      </c>
      <c r="P32" s="205">
        <v>26.17</v>
      </c>
      <c r="Q32" s="205">
        <v>25.2</v>
      </c>
      <c r="R32" s="204">
        <v>56.43</v>
      </c>
      <c r="S32" s="204">
        <v>70.099999999999994</v>
      </c>
      <c r="T32" s="204">
        <v>97.43</v>
      </c>
      <c r="U32" s="204">
        <v>114.78</v>
      </c>
      <c r="V32" s="204">
        <v>125.95</v>
      </c>
      <c r="W32" s="204">
        <v>142</v>
      </c>
      <c r="X32" s="204">
        <v>123.11</v>
      </c>
      <c r="Y32" s="204">
        <v>114.68</v>
      </c>
      <c r="Z32" s="204"/>
      <c r="AA32" s="207">
        <v>25.2</v>
      </c>
      <c r="AB32" s="207">
        <v>142</v>
      </c>
      <c r="AC32" s="208">
        <v>85.494981067359902</v>
      </c>
      <c r="AN32" s="62">
        <f t="shared" si="0"/>
        <v>116.8</v>
      </c>
      <c r="AQ32" s="121">
        <v>25</v>
      </c>
    </row>
    <row r="33" spans="1:43">
      <c r="A33" s="203" t="s">
        <v>275</v>
      </c>
      <c r="B33" s="204">
        <v>106.76</v>
      </c>
      <c r="C33" s="204">
        <v>102.4</v>
      </c>
      <c r="D33" s="204">
        <v>99.99</v>
      </c>
      <c r="E33" s="204">
        <v>99.6</v>
      </c>
      <c r="F33" s="204">
        <v>100.78</v>
      </c>
      <c r="G33" s="204">
        <v>102.4</v>
      </c>
      <c r="H33" s="204">
        <v>109.52</v>
      </c>
      <c r="I33" s="204">
        <v>125.95</v>
      </c>
      <c r="J33" s="204">
        <v>112.79</v>
      </c>
      <c r="K33" s="204">
        <v>97.52</v>
      </c>
      <c r="L33" s="204">
        <v>70</v>
      </c>
      <c r="M33" s="204">
        <v>60.65</v>
      </c>
      <c r="N33" s="205">
        <v>41.25</v>
      </c>
      <c r="O33" s="205">
        <v>26.28</v>
      </c>
      <c r="P33" s="205">
        <v>38.049999999999997</v>
      </c>
      <c r="Q33" s="204">
        <v>47.44</v>
      </c>
      <c r="R33" s="204">
        <v>60</v>
      </c>
      <c r="S33" s="204">
        <v>65.03</v>
      </c>
      <c r="T33" s="204">
        <v>76.099999999999994</v>
      </c>
      <c r="U33" s="204">
        <v>103.14</v>
      </c>
      <c r="V33" s="204">
        <v>117</v>
      </c>
      <c r="W33" s="204">
        <v>123.46</v>
      </c>
      <c r="X33" s="204">
        <v>113.12</v>
      </c>
      <c r="Y33" s="204">
        <v>106.79</v>
      </c>
      <c r="Z33" s="204"/>
      <c r="AA33" s="207">
        <v>26.28</v>
      </c>
      <c r="AB33" s="207">
        <v>125.95</v>
      </c>
      <c r="AC33" s="208">
        <v>81.961743742508304</v>
      </c>
      <c r="AN33" s="62">
        <f t="shared" si="0"/>
        <v>99.67</v>
      </c>
      <c r="AQ33" s="121">
        <v>26</v>
      </c>
    </row>
    <row r="34" spans="1:43">
      <c r="A34" s="203" t="s">
        <v>276</v>
      </c>
      <c r="B34" s="204">
        <v>109.1</v>
      </c>
      <c r="C34" s="204">
        <v>102.84</v>
      </c>
      <c r="D34" s="204">
        <v>101.12</v>
      </c>
      <c r="E34" s="204">
        <v>97.54</v>
      </c>
      <c r="F34" s="204">
        <v>93.05</v>
      </c>
      <c r="G34" s="204">
        <v>93.05</v>
      </c>
      <c r="H34" s="204">
        <v>102.84</v>
      </c>
      <c r="I34" s="204">
        <v>113.12</v>
      </c>
      <c r="J34" s="204">
        <v>113.64</v>
      </c>
      <c r="K34" s="204">
        <v>101.63</v>
      </c>
      <c r="L34" s="204">
        <v>85.21</v>
      </c>
      <c r="M34" s="204">
        <v>77.75</v>
      </c>
      <c r="N34" s="204">
        <v>63.65</v>
      </c>
      <c r="O34" s="204">
        <v>49.85</v>
      </c>
      <c r="P34" s="204">
        <v>50.62</v>
      </c>
      <c r="Q34" s="204">
        <v>50.62</v>
      </c>
      <c r="R34" s="204">
        <v>51.14</v>
      </c>
      <c r="S34" s="204">
        <v>51.4</v>
      </c>
      <c r="T34" s="204">
        <v>64.900000000000006</v>
      </c>
      <c r="U34" s="204">
        <v>99</v>
      </c>
      <c r="V34" s="204">
        <v>109.1</v>
      </c>
      <c r="W34" s="204">
        <v>114.32</v>
      </c>
      <c r="X34" s="204">
        <v>113.63</v>
      </c>
      <c r="Y34" s="204">
        <v>103.57</v>
      </c>
      <c r="Z34" s="204"/>
      <c r="AA34" s="207">
        <v>49.85</v>
      </c>
      <c r="AB34" s="207">
        <v>114.32</v>
      </c>
      <c r="AC34" s="208">
        <v>83.604757897564298</v>
      </c>
      <c r="AN34" s="62">
        <f t="shared" si="0"/>
        <v>64.47</v>
      </c>
      <c r="AQ34" s="121">
        <v>27</v>
      </c>
    </row>
    <row r="35" spans="1:43">
      <c r="A35" s="203" t="s">
        <v>277</v>
      </c>
      <c r="B35" s="204">
        <v>97.15</v>
      </c>
      <c r="C35" s="204">
        <v>90.14</v>
      </c>
      <c r="D35" s="204">
        <v>86.07</v>
      </c>
      <c r="E35" s="204">
        <v>73.25</v>
      </c>
      <c r="F35" s="204">
        <v>69.400000000000006</v>
      </c>
      <c r="G35" s="204">
        <v>76.42</v>
      </c>
      <c r="H35" s="204">
        <v>83.38</v>
      </c>
      <c r="I35" s="204">
        <v>90.38</v>
      </c>
      <c r="J35" s="204">
        <v>90.38</v>
      </c>
      <c r="K35" s="204">
        <v>69.400000000000006</v>
      </c>
      <c r="L35" s="206">
        <v>17.350000000000001</v>
      </c>
      <c r="M35" s="206">
        <v>3.52</v>
      </c>
      <c r="N35" s="206">
        <v>1.72</v>
      </c>
      <c r="O35" s="206">
        <v>1.5</v>
      </c>
      <c r="P35" s="206">
        <v>0.65</v>
      </c>
      <c r="Q35" s="206">
        <v>0.01</v>
      </c>
      <c r="R35" s="206">
        <v>0.65</v>
      </c>
      <c r="S35" s="206">
        <v>1.5</v>
      </c>
      <c r="T35" s="206">
        <v>5.1100000000000003</v>
      </c>
      <c r="U35" s="204">
        <v>65.28</v>
      </c>
      <c r="V35" s="204">
        <v>90</v>
      </c>
      <c r="W35" s="204">
        <v>97.08</v>
      </c>
      <c r="X35" s="204">
        <v>93.77</v>
      </c>
      <c r="Y35" s="204">
        <v>88.09</v>
      </c>
      <c r="Z35" s="204"/>
      <c r="AA35" s="207">
        <v>0.01</v>
      </c>
      <c r="AB35" s="207">
        <v>97.15</v>
      </c>
      <c r="AC35" s="208">
        <v>43.010134541380197</v>
      </c>
      <c r="AE35" s="62"/>
      <c r="AN35" s="62">
        <f t="shared" si="0"/>
        <v>97.14</v>
      </c>
      <c r="AQ35" s="121">
        <v>28</v>
      </c>
    </row>
    <row r="36" spans="1:43">
      <c r="A36" s="203" t="s">
        <v>278</v>
      </c>
      <c r="B36" s="204">
        <v>82.7</v>
      </c>
      <c r="C36" s="204">
        <v>79.64</v>
      </c>
      <c r="D36" s="204">
        <v>72.2</v>
      </c>
      <c r="E36" s="204">
        <v>60</v>
      </c>
      <c r="F36" s="204">
        <v>54.43</v>
      </c>
      <c r="G36" s="204">
        <v>54.6</v>
      </c>
      <c r="H36" s="204">
        <v>75.010000000000005</v>
      </c>
      <c r="I36" s="204">
        <v>80.2</v>
      </c>
      <c r="J36" s="204">
        <v>70.09</v>
      </c>
      <c r="K36" s="205">
        <v>42.47</v>
      </c>
      <c r="L36" s="206">
        <v>5</v>
      </c>
      <c r="M36" s="206">
        <v>0.83</v>
      </c>
      <c r="N36" s="206">
        <v>0.65</v>
      </c>
      <c r="O36" s="206">
        <v>0.01</v>
      </c>
      <c r="P36" s="209">
        <v>0</v>
      </c>
      <c r="Q36" s="209">
        <v>0</v>
      </c>
      <c r="R36" s="209">
        <v>0</v>
      </c>
      <c r="S36" s="209">
        <v>0</v>
      </c>
      <c r="T36" s="206">
        <v>3.52</v>
      </c>
      <c r="U36" s="204">
        <v>53.55</v>
      </c>
      <c r="V36" s="204">
        <v>81.8</v>
      </c>
      <c r="W36" s="204">
        <v>100.01</v>
      </c>
      <c r="X36" s="204">
        <v>95.14</v>
      </c>
      <c r="Y36" s="204">
        <v>86.17</v>
      </c>
      <c r="Z36" s="204"/>
      <c r="AA36" s="207">
        <v>0</v>
      </c>
      <c r="AB36" s="207">
        <v>100.01</v>
      </c>
      <c r="AC36" s="208">
        <v>37.494890057633</v>
      </c>
      <c r="AN36" s="62">
        <f t="shared" si="0"/>
        <v>100.01</v>
      </c>
      <c r="AQ36" s="121">
        <v>29</v>
      </c>
    </row>
    <row r="37" spans="1:43">
      <c r="A37" s="203" t="s">
        <v>279</v>
      </c>
      <c r="B37" s="204">
        <v>91.56</v>
      </c>
      <c r="C37" s="204">
        <v>86.64</v>
      </c>
      <c r="D37" s="204">
        <v>87.56</v>
      </c>
      <c r="E37" s="204">
        <v>83.48</v>
      </c>
      <c r="F37" s="204">
        <v>80.88</v>
      </c>
      <c r="G37" s="204">
        <v>80.64</v>
      </c>
      <c r="H37" s="204">
        <v>85.06</v>
      </c>
      <c r="I37" s="204">
        <v>88.29</v>
      </c>
      <c r="J37" s="204">
        <v>77</v>
      </c>
      <c r="K37" s="205">
        <v>32</v>
      </c>
      <c r="L37" s="206">
        <v>9.5</v>
      </c>
      <c r="M37" s="206">
        <v>0.65</v>
      </c>
      <c r="N37" s="209">
        <v>0</v>
      </c>
      <c r="O37" s="206">
        <v>-0.01</v>
      </c>
      <c r="P37" s="206">
        <v>-0.01</v>
      </c>
      <c r="Q37" s="209">
        <v>0</v>
      </c>
      <c r="R37" s="209">
        <v>0</v>
      </c>
      <c r="S37" s="209">
        <v>0</v>
      </c>
      <c r="T37" s="206">
        <v>8.16</v>
      </c>
      <c r="U37" s="204">
        <v>57.97</v>
      </c>
      <c r="V37" s="204">
        <v>89.93</v>
      </c>
      <c r="W37" s="204">
        <v>107.12</v>
      </c>
      <c r="X37" s="204">
        <v>101.12</v>
      </c>
      <c r="Y37" s="204">
        <v>95</v>
      </c>
      <c r="Z37" s="204"/>
      <c r="AA37" s="207">
        <v>-0.01</v>
      </c>
      <c r="AB37" s="207">
        <v>107.12</v>
      </c>
      <c r="AC37" s="208">
        <v>43.127067408764702</v>
      </c>
      <c r="AN37" s="62">
        <f t="shared" si="0"/>
        <v>107.13000000000001</v>
      </c>
      <c r="AQ37" s="121">
        <v>30</v>
      </c>
    </row>
    <row r="38" spans="1:43">
      <c r="A38" s="203" t="s">
        <v>280</v>
      </c>
      <c r="B38" s="204">
        <v>81.06</v>
      </c>
      <c r="C38" s="204">
        <v>75.400000000000006</v>
      </c>
      <c r="D38" s="204">
        <v>70.5</v>
      </c>
      <c r="E38" s="204">
        <v>67</v>
      </c>
      <c r="F38" s="204">
        <v>70.12</v>
      </c>
      <c r="G38" s="204">
        <v>70.12</v>
      </c>
      <c r="H38" s="204">
        <v>70.12</v>
      </c>
      <c r="I38" s="204">
        <v>75.400000000000006</v>
      </c>
      <c r="J38" s="204">
        <v>45</v>
      </c>
      <c r="K38" s="206">
        <v>3.6</v>
      </c>
      <c r="L38" s="209">
        <v>0</v>
      </c>
      <c r="M38" s="206">
        <v>-0.01</v>
      </c>
      <c r="N38" s="206">
        <v>-0.08</v>
      </c>
      <c r="O38" s="206">
        <v>-0.95</v>
      </c>
      <c r="P38" s="206">
        <v>-0.6</v>
      </c>
      <c r="Q38" s="206">
        <v>-0.62</v>
      </c>
      <c r="R38" s="206">
        <v>-0.98</v>
      </c>
      <c r="S38" s="206">
        <v>-0.27</v>
      </c>
      <c r="T38" s="209">
        <v>0</v>
      </c>
      <c r="U38" s="206">
        <v>3.52</v>
      </c>
      <c r="V38" s="204">
        <v>59.55</v>
      </c>
      <c r="W38" s="204">
        <v>73.88</v>
      </c>
      <c r="X38" s="204">
        <v>71.400000000000006</v>
      </c>
      <c r="Y38" s="204">
        <v>62</v>
      </c>
      <c r="Z38" s="204"/>
      <c r="AA38" s="207">
        <v>-0.98</v>
      </c>
      <c r="AB38" s="207">
        <v>81.06</v>
      </c>
      <c r="AC38" s="208">
        <v>30.341850607813601</v>
      </c>
      <c r="AN38" s="62">
        <f>AB38-AA38</f>
        <v>82.04</v>
      </c>
      <c r="AQ38" s="121">
        <v>31</v>
      </c>
    </row>
    <row r="41" spans="1:43">
      <c r="A41" s="124" t="s">
        <v>27</v>
      </c>
      <c r="B41" s="260" t="s">
        <v>45</v>
      </c>
      <c r="C41" s="261"/>
      <c r="D41" s="261"/>
      <c r="E41" s="261"/>
      <c r="F41" s="261"/>
      <c r="G41" s="261"/>
      <c r="H41" s="261"/>
      <c r="I41" s="261"/>
      <c r="J41" s="261"/>
      <c r="K41" s="261"/>
      <c r="L41" s="261"/>
      <c r="M41" s="261"/>
      <c r="N41" s="261"/>
    </row>
    <row r="42" spans="1:43">
      <c r="A42" s="124" t="s">
        <v>116</v>
      </c>
      <c r="B42" s="222">
        <v>202408</v>
      </c>
      <c r="C42" s="222">
        <v>202409</v>
      </c>
      <c r="D42" s="222">
        <v>202410</v>
      </c>
      <c r="E42" s="222">
        <v>202411</v>
      </c>
      <c r="F42" s="222">
        <v>202412</v>
      </c>
      <c r="G42" s="222">
        <v>202501</v>
      </c>
      <c r="H42" s="222">
        <v>202502</v>
      </c>
      <c r="I42" s="222">
        <v>202503</v>
      </c>
      <c r="J42" s="222">
        <v>202504</v>
      </c>
      <c r="K42" s="222">
        <v>202505</v>
      </c>
      <c r="L42" s="222">
        <v>202506</v>
      </c>
      <c r="M42" s="222">
        <v>202507</v>
      </c>
      <c r="N42" s="224">
        <v>202508</v>
      </c>
    </row>
    <row r="43" spans="1:43">
      <c r="A43" s="124" t="s">
        <v>87</v>
      </c>
      <c r="B43" s="223" t="s">
        <v>211</v>
      </c>
      <c r="C43" s="223" t="s">
        <v>213</v>
      </c>
      <c r="D43" s="223" t="s">
        <v>215</v>
      </c>
      <c r="E43" s="223" t="s">
        <v>218</v>
      </c>
      <c r="F43" s="223" t="s">
        <v>220</v>
      </c>
      <c r="G43" s="223" t="s">
        <v>224</v>
      </c>
      <c r="H43" s="223" t="s">
        <v>226</v>
      </c>
      <c r="I43" s="223" t="s">
        <v>229</v>
      </c>
      <c r="J43" s="223" t="s">
        <v>239</v>
      </c>
      <c r="K43" s="223" t="s">
        <v>242</v>
      </c>
      <c r="L43" s="223" t="s">
        <v>244</v>
      </c>
      <c r="M43" s="223" t="s">
        <v>247</v>
      </c>
      <c r="N43" s="224" t="s">
        <v>281</v>
      </c>
    </row>
    <row r="44" spans="1:43">
      <c r="A44" s="124" t="s">
        <v>117</v>
      </c>
      <c r="B44" s="145"/>
      <c r="C44" s="145"/>
      <c r="D44" s="145"/>
      <c r="E44" s="145"/>
      <c r="F44" s="145"/>
      <c r="G44" s="145"/>
      <c r="H44" s="145"/>
      <c r="I44" s="145"/>
      <c r="J44" s="145"/>
      <c r="K44" s="145"/>
      <c r="L44" s="145"/>
      <c r="M44" s="145"/>
      <c r="N44" s="145"/>
    </row>
    <row r="45" spans="1:43">
      <c r="A45" s="126" t="s">
        <v>46</v>
      </c>
      <c r="B45" s="210">
        <v>20980202.612</v>
      </c>
      <c r="C45" s="197">
        <v>18713237.050999999</v>
      </c>
      <c r="D45" s="197">
        <v>19034122.653999999</v>
      </c>
      <c r="E45" s="197">
        <v>18668177.702</v>
      </c>
      <c r="F45" s="197">
        <v>20394640.105</v>
      </c>
      <c r="G45" s="197">
        <v>21682201.73</v>
      </c>
      <c r="H45" s="197">
        <v>19177656.296</v>
      </c>
      <c r="I45" s="197">
        <v>20774405.912</v>
      </c>
      <c r="J45" s="197">
        <v>17721496.469000001</v>
      </c>
      <c r="K45" s="197">
        <v>18561646.811999999</v>
      </c>
      <c r="L45" s="240">
        <v>20686961.293000001</v>
      </c>
      <c r="M45" s="211">
        <v>21808081.568</v>
      </c>
      <c r="N45" s="242">
        <v>20633368.473999999</v>
      </c>
      <c r="O45" s="62"/>
      <c r="P45" s="193"/>
      <c r="Q45" s="126"/>
    </row>
    <row r="46" spans="1:43">
      <c r="A46" s="126" t="s">
        <v>47</v>
      </c>
      <c r="B46" s="212">
        <v>100</v>
      </c>
      <c r="C46" s="213">
        <v>100</v>
      </c>
      <c r="D46" s="213">
        <v>100</v>
      </c>
      <c r="E46" s="213">
        <v>100</v>
      </c>
      <c r="F46" s="198">
        <v>100</v>
      </c>
      <c r="G46" s="198">
        <v>100</v>
      </c>
      <c r="H46" s="198">
        <v>100</v>
      </c>
      <c r="I46" s="198">
        <v>100</v>
      </c>
      <c r="J46" s="213">
        <v>100</v>
      </c>
      <c r="K46" s="213">
        <v>100</v>
      </c>
      <c r="L46" s="241">
        <v>100</v>
      </c>
      <c r="M46" s="214">
        <v>100</v>
      </c>
      <c r="N46" s="243">
        <v>100</v>
      </c>
      <c r="Q46" s="126"/>
    </row>
    <row r="47" spans="1:43">
      <c r="A47" s="126" t="s">
        <v>48</v>
      </c>
      <c r="B47" s="215">
        <v>91.3</v>
      </c>
      <c r="C47" s="188">
        <v>72.87</v>
      </c>
      <c r="D47" s="188">
        <v>70.11</v>
      </c>
      <c r="E47" s="188">
        <v>106.72</v>
      </c>
      <c r="F47" s="188">
        <v>113.97</v>
      </c>
      <c r="G47" s="216">
        <v>100.3</v>
      </c>
      <c r="H47" s="188">
        <v>110.76</v>
      </c>
      <c r="I47" s="188">
        <v>55.56</v>
      </c>
      <c r="J47" s="188">
        <v>27.66</v>
      </c>
      <c r="K47" s="188">
        <v>17.440000000000001</v>
      </c>
      <c r="L47" s="205">
        <v>72.47</v>
      </c>
      <c r="M47" s="217">
        <v>71.069999999999993</v>
      </c>
      <c r="N47" s="244">
        <v>68.709999999999994</v>
      </c>
      <c r="Q47" s="183"/>
    </row>
    <row r="48" spans="1:43">
      <c r="A48" s="126" t="s">
        <v>49</v>
      </c>
      <c r="B48" s="215">
        <v>3.4</v>
      </c>
      <c r="C48" s="188">
        <v>4.46</v>
      </c>
      <c r="D48" s="188">
        <v>4.8499999999999996</v>
      </c>
      <c r="E48" s="188">
        <v>4.97</v>
      </c>
      <c r="F48" s="188">
        <v>4.0999999999999996</v>
      </c>
      <c r="G48" s="216">
        <v>4.21</v>
      </c>
      <c r="H48" s="188">
        <v>4.08</v>
      </c>
      <c r="I48" s="188">
        <v>6.62</v>
      </c>
      <c r="J48" s="188">
        <v>11.07</v>
      </c>
      <c r="K48" s="188">
        <v>21.45</v>
      </c>
      <c r="L48" s="205">
        <v>9.7100000000000009</v>
      </c>
      <c r="M48" s="217">
        <v>8.58</v>
      </c>
      <c r="N48" s="244">
        <v>8.4600000000000009</v>
      </c>
      <c r="Q48" s="126"/>
    </row>
    <row r="49" spans="1:17">
      <c r="A49" s="126" t="s">
        <v>50</v>
      </c>
      <c r="B49" s="215">
        <v>3.17</v>
      </c>
      <c r="C49" s="188">
        <v>3.61</v>
      </c>
      <c r="D49" s="188">
        <v>5.5</v>
      </c>
      <c r="E49" s="188">
        <v>4.03</v>
      </c>
      <c r="F49" s="188">
        <v>3.59</v>
      </c>
      <c r="G49" s="216">
        <v>3.57</v>
      </c>
      <c r="H49" s="188">
        <v>7.11</v>
      </c>
      <c r="I49" s="188">
        <v>5.86</v>
      </c>
      <c r="J49" s="188">
        <v>4.26</v>
      </c>
      <c r="K49" s="188">
        <v>2.86</v>
      </c>
      <c r="L49" s="205">
        <v>4.58</v>
      </c>
      <c r="M49" s="217">
        <v>4.93</v>
      </c>
      <c r="N49" s="244">
        <v>3.16</v>
      </c>
      <c r="Q49" s="183"/>
    </row>
    <row r="50" spans="1:17">
      <c r="A50" s="126" t="s">
        <v>51</v>
      </c>
      <c r="B50" s="215">
        <v>-0.13</v>
      </c>
      <c r="C50" s="188">
        <v>-0.09</v>
      </c>
      <c r="D50" s="188">
        <v>-7.0000000000000007E-2</v>
      </c>
      <c r="E50" s="188">
        <v>-0.09</v>
      </c>
      <c r="F50" s="188">
        <v>-0.08</v>
      </c>
      <c r="G50" s="216">
        <v>-0.1</v>
      </c>
      <c r="H50" s="188">
        <v>-0.1</v>
      </c>
      <c r="I50" s="188">
        <v>-0.1</v>
      </c>
      <c r="J50" s="188">
        <v>-0.01</v>
      </c>
      <c r="K50" s="188">
        <v>-7.0000000000000007E-2</v>
      </c>
      <c r="L50" s="205">
        <v>-0.13</v>
      </c>
      <c r="M50" s="217">
        <v>-0.16</v>
      </c>
      <c r="N50" s="244">
        <v>-0.11</v>
      </c>
      <c r="Q50" s="126"/>
    </row>
    <row r="51" spans="1:17">
      <c r="A51" s="126" t="s">
        <v>52</v>
      </c>
      <c r="B51" s="215">
        <v>0</v>
      </c>
      <c r="C51" s="188">
        <v>0</v>
      </c>
      <c r="D51" s="188">
        <v>0</v>
      </c>
      <c r="E51" s="188">
        <v>0</v>
      </c>
      <c r="F51" s="188">
        <v>0</v>
      </c>
      <c r="G51" s="188">
        <v>0</v>
      </c>
      <c r="H51" s="188">
        <v>0</v>
      </c>
      <c r="I51" s="188">
        <v>0</v>
      </c>
      <c r="J51" s="188">
        <v>0</v>
      </c>
      <c r="K51" s="188">
        <v>0</v>
      </c>
      <c r="L51" s="205">
        <v>0</v>
      </c>
      <c r="M51" s="217">
        <v>0</v>
      </c>
      <c r="N51" s="244">
        <v>0</v>
      </c>
      <c r="Q51" s="183"/>
    </row>
    <row r="52" spans="1:17">
      <c r="A52" s="126" t="s">
        <v>53</v>
      </c>
      <c r="B52" s="215">
        <v>0</v>
      </c>
      <c r="C52" s="188">
        <v>0</v>
      </c>
      <c r="D52" s="188">
        <v>0</v>
      </c>
      <c r="E52" s="188">
        <v>0</v>
      </c>
      <c r="F52" s="188">
        <v>0</v>
      </c>
      <c r="G52" s="188">
        <v>0</v>
      </c>
      <c r="H52" s="188">
        <v>0</v>
      </c>
      <c r="I52" s="215">
        <v>0</v>
      </c>
      <c r="J52" s="188">
        <v>0</v>
      </c>
      <c r="K52" s="188">
        <v>0</v>
      </c>
      <c r="L52" s="205">
        <v>0</v>
      </c>
      <c r="M52" s="217">
        <v>0</v>
      </c>
      <c r="N52" s="244">
        <v>0</v>
      </c>
      <c r="Q52" s="126"/>
    </row>
    <row r="53" spans="1:17">
      <c r="A53" s="126" t="s">
        <v>199</v>
      </c>
      <c r="B53" s="215">
        <v>1.63</v>
      </c>
      <c r="C53" s="188">
        <v>2.09</v>
      </c>
      <c r="D53" s="188">
        <v>3.03</v>
      </c>
      <c r="E53" s="188">
        <v>3.16</v>
      </c>
      <c r="F53" s="188">
        <v>3.62</v>
      </c>
      <c r="G53" s="188">
        <v>3.22</v>
      </c>
      <c r="H53" s="188">
        <v>3.47</v>
      </c>
      <c r="I53" s="215">
        <v>2.524</v>
      </c>
      <c r="J53" s="188">
        <v>1.6659999999999999</v>
      </c>
      <c r="K53" s="188">
        <v>1.29</v>
      </c>
      <c r="L53" s="205">
        <v>1.26</v>
      </c>
      <c r="M53" s="217">
        <v>1.843</v>
      </c>
      <c r="N53" s="244">
        <v>2.15</v>
      </c>
      <c r="Q53" s="183"/>
    </row>
    <row r="54" spans="1:17">
      <c r="A54" s="126" t="s">
        <v>197</v>
      </c>
      <c r="B54" s="215">
        <v>0.03</v>
      </c>
      <c r="C54" s="188">
        <v>0.04</v>
      </c>
      <c r="D54" s="188">
        <v>0.05</v>
      </c>
      <c r="E54" s="188">
        <v>0.06</v>
      </c>
      <c r="F54" s="188">
        <v>0.06</v>
      </c>
      <c r="G54" s="188">
        <v>0.08</v>
      </c>
      <c r="H54" s="188">
        <v>0.05</v>
      </c>
      <c r="I54" s="215">
        <v>0.03</v>
      </c>
      <c r="J54" s="188">
        <v>3.5999999999999997E-2</v>
      </c>
      <c r="K54" s="188">
        <v>0.02</v>
      </c>
      <c r="L54" s="205">
        <v>0.03</v>
      </c>
      <c r="M54" s="217">
        <v>0.04</v>
      </c>
      <c r="N54" s="244">
        <v>0.04</v>
      </c>
      <c r="Q54" s="126"/>
    </row>
    <row r="55" spans="1:17">
      <c r="A55" s="126" t="s">
        <v>54</v>
      </c>
      <c r="B55" s="215">
        <v>-0.08</v>
      </c>
      <c r="C55" s="188">
        <v>-0.1</v>
      </c>
      <c r="D55" s="188">
        <v>-0.12</v>
      </c>
      <c r="E55" s="188">
        <v>-0.52</v>
      </c>
      <c r="F55" s="188">
        <v>-0.99</v>
      </c>
      <c r="G55" s="188">
        <v>-0.73</v>
      </c>
      <c r="H55" s="188">
        <v>-0.81</v>
      </c>
      <c r="I55" s="215">
        <v>-0.6</v>
      </c>
      <c r="J55" s="188">
        <v>-0.41</v>
      </c>
      <c r="K55" s="188">
        <v>-0.19</v>
      </c>
      <c r="L55" s="205">
        <v>-0.49</v>
      </c>
      <c r="M55" s="217">
        <v>-0.4</v>
      </c>
      <c r="N55" s="244">
        <v>-0.41</v>
      </c>
      <c r="Q55" s="183"/>
    </row>
    <row r="56" spans="1:17">
      <c r="A56" s="126" t="s">
        <v>55</v>
      </c>
      <c r="B56" s="215">
        <v>0.42</v>
      </c>
      <c r="C56" s="188">
        <v>0.4</v>
      </c>
      <c r="D56" s="188">
        <v>0.42</v>
      </c>
      <c r="E56" s="188">
        <v>0.3</v>
      </c>
      <c r="F56" s="188">
        <v>0.35</v>
      </c>
      <c r="G56" s="188">
        <v>0.59</v>
      </c>
      <c r="H56" s="188">
        <v>0.51</v>
      </c>
      <c r="I56" s="215">
        <v>0.5</v>
      </c>
      <c r="J56" s="188">
        <v>0.53</v>
      </c>
      <c r="K56" s="188">
        <v>0.28999999999999998</v>
      </c>
      <c r="L56" s="205">
        <v>0.39</v>
      </c>
      <c r="M56" s="217">
        <v>0.51300000000000001</v>
      </c>
      <c r="N56" s="244">
        <v>0.23</v>
      </c>
      <c r="Q56" s="126"/>
    </row>
    <row r="57" spans="1:17">
      <c r="A57" s="126" t="s">
        <v>56</v>
      </c>
      <c r="B57" s="215">
        <v>0.23</v>
      </c>
      <c r="C57" s="188">
        <v>0.47</v>
      </c>
      <c r="D57" s="188">
        <v>0.66</v>
      </c>
      <c r="E57" s="188">
        <v>0.08</v>
      </c>
      <c r="F57" s="188">
        <v>-0.08</v>
      </c>
      <c r="G57" s="188">
        <v>0.1</v>
      </c>
      <c r="H57" s="188">
        <v>1.55</v>
      </c>
      <c r="I57" s="215">
        <v>0.59</v>
      </c>
      <c r="J57" s="188">
        <v>0.1</v>
      </c>
      <c r="K57" s="188">
        <v>-0.27</v>
      </c>
      <c r="L57" s="205">
        <v>-0.6</v>
      </c>
      <c r="M57" s="217">
        <v>-0.39</v>
      </c>
      <c r="N57" s="244">
        <v>0.08</v>
      </c>
      <c r="Q57" s="183"/>
    </row>
    <row r="58" spans="1:17">
      <c r="A58" s="126" t="s">
        <v>22</v>
      </c>
      <c r="B58" s="215">
        <v>-0.1</v>
      </c>
      <c r="C58" s="188">
        <v>-0.12</v>
      </c>
      <c r="D58" s="188">
        <v>-0.11</v>
      </c>
      <c r="E58" s="188">
        <v>-0.12</v>
      </c>
      <c r="F58" s="188">
        <v>-0.11</v>
      </c>
      <c r="G58" s="188">
        <v>-0.12</v>
      </c>
      <c r="H58" s="188">
        <v>-0.09</v>
      </c>
      <c r="I58" s="215">
        <v>-0.1</v>
      </c>
      <c r="J58" s="188">
        <v>-0.11</v>
      </c>
      <c r="K58" s="188">
        <v>-0.11</v>
      </c>
      <c r="L58" s="205">
        <v>-0.09</v>
      </c>
      <c r="M58" s="217">
        <v>-0.1</v>
      </c>
      <c r="N58" s="244">
        <v>-0.09</v>
      </c>
      <c r="Q58" s="126"/>
    </row>
    <row r="59" spans="1:17">
      <c r="A59" s="126" t="s">
        <v>57</v>
      </c>
      <c r="B59" s="215">
        <v>0.16</v>
      </c>
      <c r="C59" s="188">
        <v>0.16</v>
      </c>
      <c r="D59" s="188">
        <v>0.16</v>
      </c>
      <c r="E59" s="188">
        <v>0.19</v>
      </c>
      <c r="F59" s="188">
        <v>0.28000000000000003</v>
      </c>
      <c r="G59" s="188">
        <v>0.27</v>
      </c>
      <c r="H59" s="188">
        <v>0.27</v>
      </c>
      <c r="I59" s="215">
        <v>0.18</v>
      </c>
      <c r="J59" s="188">
        <v>0.14000000000000001</v>
      </c>
      <c r="K59" s="188">
        <v>0.13</v>
      </c>
      <c r="L59" s="205">
        <v>0.15</v>
      </c>
      <c r="M59" s="217">
        <v>0.27</v>
      </c>
      <c r="N59" s="244">
        <v>0.14000000000000001</v>
      </c>
      <c r="Q59" s="183"/>
    </row>
    <row r="60" spans="1:17">
      <c r="A60" s="126" t="s">
        <v>200</v>
      </c>
      <c r="B60" s="215">
        <v>0</v>
      </c>
      <c r="C60" s="188">
        <v>0</v>
      </c>
      <c r="D60" s="188">
        <v>0</v>
      </c>
      <c r="E60" s="188">
        <v>0</v>
      </c>
      <c r="F60" s="188">
        <v>0</v>
      </c>
      <c r="G60" s="188">
        <v>0</v>
      </c>
      <c r="H60" s="188">
        <v>0</v>
      </c>
      <c r="I60" s="215">
        <v>0</v>
      </c>
      <c r="J60" s="188">
        <v>0</v>
      </c>
      <c r="K60" s="188">
        <v>0</v>
      </c>
      <c r="L60" s="205">
        <v>0</v>
      </c>
      <c r="M60" s="217">
        <v>0</v>
      </c>
      <c r="N60" s="244">
        <v>0</v>
      </c>
      <c r="Q60" s="126"/>
    </row>
    <row r="61" spans="1:17">
      <c r="A61" s="126" t="s">
        <v>58</v>
      </c>
      <c r="B61" s="215">
        <v>0.04</v>
      </c>
      <c r="C61" s="188">
        <v>0.04</v>
      </c>
      <c r="D61" s="188">
        <v>0.06</v>
      </c>
      <c r="E61" s="188">
        <v>0.06</v>
      </c>
      <c r="F61" s="188">
        <v>0.02</v>
      </c>
      <c r="G61" s="188">
        <v>0.05</v>
      </c>
      <c r="H61" s="188">
        <v>0.05</v>
      </c>
      <c r="I61" s="215">
        <v>0.05</v>
      </c>
      <c r="J61" s="188">
        <v>0.04</v>
      </c>
      <c r="K61" s="188">
        <v>0.04</v>
      </c>
      <c r="L61" s="205">
        <v>0.05</v>
      </c>
      <c r="M61" s="217">
        <v>0.03</v>
      </c>
      <c r="N61" s="244">
        <v>0.03</v>
      </c>
      <c r="Q61" s="183"/>
    </row>
    <row r="62" spans="1:17">
      <c r="A62" s="126" t="s">
        <v>198</v>
      </c>
      <c r="B62" s="215">
        <v>0</v>
      </c>
      <c r="C62" s="188">
        <v>0</v>
      </c>
      <c r="D62" s="188">
        <v>0</v>
      </c>
      <c r="E62" s="188">
        <v>0</v>
      </c>
      <c r="F62" s="188">
        <v>0</v>
      </c>
      <c r="G62" s="188">
        <v>0</v>
      </c>
      <c r="H62" s="188">
        <v>0</v>
      </c>
      <c r="I62" s="215">
        <v>0</v>
      </c>
      <c r="J62" s="188">
        <v>0</v>
      </c>
      <c r="K62" s="188">
        <v>0</v>
      </c>
      <c r="L62" s="205">
        <v>0</v>
      </c>
      <c r="M62" s="217">
        <v>0</v>
      </c>
      <c r="N62" s="244">
        <v>0</v>
      </c>
      <c r="Q62" s="126"/>
    </row>
    <row r="63" spans="1:17">
      <c r="A63" s="126" t="s">
        <v>184</v>
      </c>
      <c r="B63" s="215">
        <v>0</v>
      </c>
      <c r="C63" s="188">
        <v>0</v>
      </c>
      <c r="D63" s="188">
        <v>0</v>
      </c>
      <c r="E63" s="188">
        <v>0</v>
      </c>
      <c r="F63" s="188">
        <v>0</v>
      </c>
      <c r="G63" s="188">
        <v>0</v>
      </c>
      <c r="H63" s="188">
        <v>0</v>
      </c>
      <c r="I63" s="215">
        <v>0</v>
      </c>
      <c r="J63" s="188">
        <v>0</v>
      </c>
      <c r="K63" s="188">
        <v>0</v>
      </c>
      <c r="L63" s="205">
        <v>0</v>
      </c>
      <c r="M63" s="217">
        <v>0</v>
      </c>
      <c r="N63" s="244">
        <v>0</v>
      </c>
      <c r="Q63" s="183"/>
    </row>
    <row r="64" spans="1:17">
      <c r="A64" s="126" t="s">
        <v>185</v>
      </c>
      <c r="B64" s="215">
        <v>0</v>
      </c>
      <c r="C64" s="188">
        <v>0</v>
      </c>
      <c r="D64" s="188">
        <v>0</v>
      </c>
      <c r="E64" s="188">
        <v>0</v>
      </c>
      <c r="F64" s="188">
        <v>0</v>
      </c>
      <c r="G64" s="188">
        <v>0</v>
      </c>
      <c r="H64" s="188">
        <v>0</v>
      </c>
      <c r="I64" s="215">
        <v>0</v>
      </c>
      <c r="J64" s="188">
        <v>0</v>
      </c>
      <c r="K64" s="188">
        <v>0</v>
      </c>
      <c r="L64" s="205">
        <v>0</v>
      </c>
      <c r="M64" s="217">
        <v>0</v>
      </c>
      <c r="N64" s="244">
        <v>0</v>
      </c>
      <c r="Q64" s="183"/>
    </row>
    <row r="65" spans="1:17">
      <c r="A65" s="126" t="s">
        <v>186</v>
      </c>
      <c r="B65" s="215">
        <v>0</v>
      </c>
      <c r="C65" s="188">
        <v>0</v>
      </c>
      <c r="D65" s="188">
        <v>0</v>
      </c>
      <c r="E65" s="188">
        <v>0</v>
      </c>
      <c r="F65" s="188">
        <v>0</v>
      </c>
      <c r="G65" s="188">
        <v>0</v>
      </c>
      <c r="H65" s="188">
        <v>0</v>
      </c>
      <c r="I65" s="215">
        <v>0</v>
      </c>
      <c r="J65" s="188">
        <v>0</v>
      </c>
      <c r="K65" s="188">
        <v>0</v>
      </c>
      <c r="L65" s="205">
        <v>0</v>
      </c>
      <c r="M65" s="217">
        <v>0</v>
      </c>
      <c r="N65" s="244">
        <v>0</v>
      </c>
      <c r="O65" s="141">
        <f>(N71/M71-1)</f>
        <v>-4.4513553657631211E-2</v>
      </c>
      <c r="P65" s="141">
        <f>(N71/B71-1)</f>
        <v>-0.17692922830867686</v>
      </c>
      <c r="Q65" s="183"/>
    </row>
    <row r="66" spans="1:17">
      <c r="A66" s="126" t="s">
        <v>201</v>
      </c>
      <c r="B66" s="215">
        <v>-0.56999999999999995</v>
      </c>
      <c r="C66" s="188">
        <v>-0.63</v>
      </c>
      <c r="D66" s="188">
        <v>-0.68</v>
      </c>
      <c r="E66" s="188">
        <v>-0.61</v>
      </c>
      <c r="F66" s="188">
        <v>-0.54</v>
      </c>
      <c r="G66" s="188">
        <v>-1.1000000000000001</v>
      </c>
      <c r="H66" s="188">
        <v>-1.1599999999999999</v>
      </c>
      <c r="I66" s="215">
        <v>-1.1339999999999999</v>
      </c>
      <c r="J66" s="188">
        <v>-1.2</v>
      </c>
      <c r="K66" s="188">
        <v>-1.34</v>
      </c>
      <c r="L66" s="205">
        <v>-1.1299999999999999</v>
      </c>
      <c r="M66" s="217">
        <v>-1.1299999999999999</v>
      </c>
      <c r="N66" s="244">
        <v>-1.1200000000000001</v>
      </c>
      <c r="Q66" s="183"/>
    </row>
    <row r="67" spans="1:17">
      <c r="A67" s="126" t="s">
        <v>202</v>
      </c>
      <c r="B67" s="215">
        <v>0.04</v>
      </c>
      <c r="C67" s="188">
        <v>0.02</v>
      </c>
      <c r="D67" s="188">
        <v>0.03</v>
      </c>
      <c r="E67" s="188">
        <v>0.02</v>
      </c>
      <c r="F67" s="188">
        <v>0.04</v>
      </c>
      <c r="G67" s="188">
        <v>0.03</v>
      </c>
      <c r="H67" s="188">
        <v>0.01</v>
      </c>
      <c r="I67" s="215">
        <v>0.01</v>
      </c>
      <c r="J67" s="188">
        <v>0.02</v>
      </c>
      <c r="K67" s="188">
        <v>7.0000000000000007E-2</v>
      </c>
      <c r="L67" s="205">
        <v>0.03</v>
      </c>
      <c r="M67" s="217">
        <v>0.03</v>
      </c>
      <c r="N67" s="244">
        <v>7.0000000000000007E-2</v>
      </c>
      <c r="Q67" s="183"/>
    </row>
    <row r="68" spans="1:17">
      <c r="A68" s="126" t="s">
        <v>203</v>
      </c>
      <c r="B68" s="215">
        <v>0.5</v>
      </c>
      <c r="C68" s="188">
        <v>0.54</v>
      </c>
      <c r="D68" s="188">
        <v>0.59</v>
      </c>
      <c r="E68" s="188">
        <v>0.56000000000000005</v>
      </c>
      <c r="F68" s="188">
        <v>0.47</v>
      </c>
      <c r="G68" s="188">
        <v>0.98</v>
      </c>
      <c r="H68" s="188">
        <v>1.0900000000000001</v>
      </c>
      <c r="I68" s="215">
        <v>1.04</v>
      </c>
      <c r="J68" s="188">
        <v>1.0900000000000001</v>
      </c>
      <c r="K68" s="188">
        <v>1.1399999999999999</v>
      </c>
      <c r="L68" s="205">
        <v>1.02</v>
      </c>
      <c r="M68" s="217">
        <v>1.04</v>
      </c>
      <c r="N68" s="244">
        <v>0.99</v>
      </c>
      <c r="Q68" s="183"/>
    </row>
    <row r="69" spans="1:17">
      <c r="A69" s="126" t="s">
        <v>204</v>
      </c>
      <c r="B69" s="215">
        <v>0.01</v>
      </c>
      <c r="C69" s="188">
        <v>0.01</v>
      </c>
      <c r="D69" s="188">
        <v>0.01</v>
      </c>
      <c r="E69" s="188">
        <v>0.01</v>
      </c>
      <c r="F69" s="188">
        <v>0.01</v>
      </c>
      <c r="G69" s="188">
        <v>0.02</v>
      </c>
      <c r="H69" s="188">
        <v>0.03</v>
      </c>
      <c r="I69" s="215">
        <v>0.02</v>
      </c>
      <c r="J69" s="188">
        <v>0.02</v>
      </c>
      <c r="K69" s="188">
        <v>0.02</v>
      </c>
      <c r="L69" s="205">
        <v>0.03</v>
      </c>
      <c r="M69" s="217">
        <v>0.02</v>
      </c>
      <c r="N69" s="244">
        <v>0.02</v>
      </c>
      <c r="Q69" s="183"/>
    </row>
    <row r="70" spans="1:17">
      <c r="A70" s="126" t="s">
        <v>245</v>
      </c>
      <c r="B70" s="218">
        <v>-0.01</v>
      </c>
      <c r="C70" s="218">
        <v>-0.01</v>
      </c>
      <c r="D70" s="218">
        <v>-0.01</v>
      </c>
      <c r="E70" s="219">
        <v>-0.01</v>
      </c>
      <c r="F70" s="220">
        <v>-0.01</v>
      </c>
      <c r="G70" s="220">
        <v>-0.01</v>
      </c>
      <c r="H70" s="220">
        <v>-0.01</v>
      </c>
      <c r="I70" s="220">
        <v>-0.01</v>
      </c>
      <c r="J70" s="219">
        <v>-0.01</v>
      </c>
      <c r="K70" s="219">
        <v>-0.01</v>
      </c>
      <c r="L70" s="219">
        <v>0</v>
      </c>
      <c r="M70" s="221">
        <v>-0.01</v>
      </c>
      <c r="N70" s="245">
        <v>-0.01</v>
      </c>
      <c r="Q70" s="183"/>
    </row>
    <row r="71" spans="1:17">
      <c r="A71" s="126" t="s">
        <v>59</v>
      </c>
      <c r="B71" s="199">
        <v>100.04</v>
      </c>
      <c r="C71" s="199">
        <v>83.760000000000019</v>
      </c>
      <c r="D71" s="199">
        <v>84.48</v>
      </c>
      <c r="E71" s="199">
        <v>118.81</v>
      </c>
      <c r="F71" s="199">
        <v>124.7</v>
      </c>
      <c r="G71" s="199">
        <v>111.36</v>
      </c>
      <c r="H71" s="199">
        <v>126.81</v>
      </c>
      <c r="I71" s="199">
        <v>71.040000000000006</v>
      </c>
      <c r="J71" s="199">
        <v>44.89</v>
      </c>
      <c r="K71" s="199">
        <v>42.760000000000005</v>
      </c>
      <c r="L71" s="199">
        <v>87.28</v>
      </c>
      <c r="M71" s="199">
        <v>86.176000000000002</v>
      </c>
      <c r="N71" s="199">
        <v>82.339999999999975</v>
      </c>
    </row>
    <row r="72" spans="1:17">
      <c r="A72" s="62"/>
      <c r="B72" s="62"/>
      <c r="C72" s="62"/>
      <c r="E72" s="62"/>
      <c r="F72" s="62"/>
      <c r="G72" s="62"/>
      <c r="H72" s="62"/>
      <c r="I72" s="62"/>
      <c r="J72" s="62"/>
      <c r="K72" s="62"/>
      <c r="L72" s="62"/>
      <c r="M72" s="62"/>
      <c r="N72" s="62"/>
    </row>
    <row r="73" spans="1:17">
      <c r="D73" s="62"/>
      <c r="N73" s="141">
        <f>N71/M71-1</f>
        <v>-4.4513553657631211E-2</v>
      </c>
    </row>
    <row r="74" spans="1:17">
      <c r="N74" s="141">
        <f>N71/B71-1</f>
        <v>-0.17692922830867686</v>
      </c>
    </row>
    <row r="75" spans="1:17">
      <c r="M75" s="62"/>
      <c r="N75" s="62"/>
    </row>
    <row r="80" spans="1:17">
      <c r="A80" s="182" t="s">
        <v>18</v>
      </c>
      <c r="B80" s="182"/>
      <c r="C80" s="182"/>
      <c r="D80" s="89"/>
      <c r="E80" s="90"/>
      <c r="F80" s="90"/>
      <c r="G80" s="90"/>
      <c r="H80" s="90"/>
      <c r="I80" s="90"/>
      <c r="J80" s="90"/>
      <c r="K80" s="90"/>
      <c r="L80" s="90"/>
      <c r="M80" s="90"/>
      <c r="N80" s="90"/>
    </row>
    <row r="81" spans="1:16">
      <c r="A81" s="86"/>
      <c r="B81" s="91" t="str">
        <f>MID(B43,6,1)</f>
        <v>A</v>
      </c>
      <c r="C81" s="91" t="str">
        <f t="shared" ref="C81:N81" si="1">MID(C43,6,1)</f>
        <v>S</v>
      </c>
      <c r="D81" s="91" t="str">
        <f t="shared" si="1"/>
        <v>O</v>
      </c>
      <c r="E81" s="91" t="str">
        <f t="shared" si="1"/>
        <v>N</v>
      </c>
      <c r="F81" s="91" t="str">
        <f t="shared" si="1"/>
        <v>D</v>
      </c>
      <c r="G81" s="91" t="str">
        <f t="shared" si="1"/>
        <v>E</v>
      </c>
      <c r="H81" s="91" t="str">
        <f t="shared" si="1"/>
        <v>F</v>
      </c>
      <c r="I81" s="91" t="str">
        <f t="shared" si="1"/>
        <v>M</v>
      </c>
      <c r="J81" s="91" t="str">
        <f t="shared" si="1"/>
        <v>A</v>
      </c>
      <c r="K81" s="91" t="str">
        <f t="shared" si="1"/>
        <v>M</v>
      </c>
      <c r="L81" s="91" t="str">
        <f t="shared" si="1"/>
        <v>J</v>
      </c>
      <c r="M81" s="91" t="str">
        <f t="shared" si="1"/>
        <v>J</v>
      </c>
      <c r="N81" s="91" t="str">
        <f t="shared" si="1"/>
        <v>A</v>
      </c>
    </row>
    <row r="82" spans="1:16">
      <c r="A82" s="87" t="s">
        <v>20</v>
      </c>
      <c r="B82" s="92">
        <f>VLOOKUP("Restricciones PBF",$A$45:$N$71,2,FALSE)</f>
        <v>3.4</v>
      </c>
      <c r="C82" s="92">
        <f>VLOOKUP("Restricciones PBF",$A$45:$N$71,3,FALSE)</f>
        <v>4.46</v>
      </c>
      <c r="D82" s="92">
        <f>VLOOKUP("Restricciones PBF",$A$45:$N$71,4,FALSE)</f>
        <v>4.8499999999999996</v>
      </c>
      <c r="E82" s="92">
        <f>VLOOKUP("Restricciones PBF",$A$45:$N$71,5,FALSE)</f>
        <v>4.97</v>
      </c>
      <c r="F82" s="92">
        <f>VLOOKUP("Restricciones PBF",$A$45:$N$71,6,FALSE)</f>
        <v>4.0999999999999996</v>
      </c>
      <c r="G82" s="92">
        <f>VLOOKUP("Restricciones PBF",$A$45:$N$71,7,FALSE)</f>
        <v>4.21</v>
      </c>
      <c r="H82" s="92">
        <f>VLOOKUP("Restricciones PBF",$A$45:$N$71,8,FALSE)</f>
        <v>4.08</v>
      </c>
      <c r="I82" s="92">
        <f>VLOOKUP("Restricciones PBF",$A$45:$N$71,9,FALSE)</f>
        <v>6.62</v>
      </c>
      <c r="J82" s="92">
        <f>VLOOKUP("Restricciones PBF",$A$45:$N$71,10,FALSE)</f>
        <v>11.07</v>
      </c>
      <c r="K82" s="92">
        <f>VLOOKUP("Restricciones PBF",$A$45:$N$71,11,FALSE)</f>
        <v>21.45</v>
      </c>
      <c r="L82" s="92">
        <f>VLOOKUP("Restricciones PBF",$A$45:$N$71,12,FALSE)</f>
        <v>9.7100000000000009</v>
      </c>
      <c r="M82" s="92">
        <f>VLOOKUP("Restricciones PBF",$A$45:$N$71,13,FALSE)</f>
        <v>8.58</v>
      </c>
      <c r="N82" s="92">
        <f>VLOOKUP("Restricciones PBF",$A$45:$N$71,14,FALSE)</f>
        <v>8.4600000000000009</v>
      </c>
    </row>
    <row r="83" spans="1:16">
      <c r="A83" s="87" t="s">
        <v>24</v>
      </c>
      <c r="B83" s="92">
        <f>VLOOKUP("Restricciones TR",$A$45:$N$71,2,FALSE)</f>
        <v>3.17</v>
      </c>
      <c r="C83" s="92">
        <f>VLOOKUP("Restricciones TR",$A$45:$N$71,3,FALSE)</f>
        <v>3.61</v>
      </c>
      <c r="D83" s="92">
        <f>VLOOKUP("Restricciones TR",$A$45:$N$71,4,FALSE)</f>
        <v>5.5</v>
      </c>
      <c r="E83" s="92">
        <f>VLOOKUP("Restricciones TR",$A$45:$N$71,5,FALSE)</f>
        <v>4.03</v>
      </c>
      <c r="F83" s="92">
        <f>VLOOKUP("Restricciones TR",$A$45:$N$71,6,FALSE)</f>
        <v>3.59</v>
      </c>
      <c r="G83" s="92">
        <f>VLOOKUP("Restricciones TR",$A$45:$N$71,7,FALSE)</f>
        <v>3.57</v>
      </c>
      <c r="H83" s="92">
        <f>VLOOKUP("Restricciones TR",$A$45:$N$71,8,FALSE)</f>
        <v>7.11</v>
      </c>
      <c r="I83" s="92">
        <f>VLOOKUP("Restricciones TR",$A$45:$N$71,9,FALSE)</f>
        <v>5.86</v>
      </c>
      <c r="J83" s="92">
        <f>VLOOKUP("Restricciones TR",$A$45:$N$71,10,FALSE)</f>
        <v>4.26</v>
      </c>
      <c r="K83" s="92">
        <f>VLOOKUP("Restricciones TR",$A$45:$N$71,11,FALSE)</f>
        <v>2.86</v>
      </c>
      <c r="L83" s="92">
        <f>VLOOKUP("Restricciones TR",$A$45:$N$71,12,FALSE)</f>
        <v>4.58</v>
      </c>
      <c r="M83" s="92">
        <f>VLOOKUP("Restricciones TR",$A$45:$N$71,13,FALSE)</f>
        <v>4.93</v>
      </c>
      <c r="N83" s="92">
        <f>VLOOKUP("Restricciones TR",$A$45:$N$71,14,FALSE)</f>
        <v>3.16</v>
      </c>
    </row>
    <row r="84" spans="1:16">
      <c r="A84" s="87" t="s">
        <v>188</v>
      </c>
      <c r="B84" s="92">
        <f>B53+B54+B68+B69</f>
        <v>2.17</v>
      </c>
      <c r="C84" s="92">
        <f t="shared" ref="C84:H84" si="2">C53+C54+C68+C69</f>
        <v>2.6799999999999997</v>
      </c>
      <c r="D84" s="92">
        <f t="shared" si="2"/>
        <v>3.6799999999999993</v>
      </c>
      <c r="E84" s="92">
        <f t="shared" si="2"/>
        <v>3.79</v>
      </c>
      <c r="F84" s="92">
        <f t="shared" si="2"/>
        <v>4.16</v>
      </c>
      <c r="G84" s="92">
        <f>G53+G54+G68+G69</f>
        <v>4.3</v>
      </c>
      <c r="H84" s="92">
        <f t="shared" si="2"/>
        <v>4.6400000000000006</v>
      </c>
      <c r="I84" s="92">
        <f t="shared" ref="I84:N84" si="3">I53+I54+I68+I69</f>
        <v>3.6139999999999999</v>
      </c>
      <c r="J84" s="92">
        <f t="shared" si="3"/>
        <v>2.8119999999999998</v>
      </c>
      <c r="K84" s="92">
        <f t="shared" si="3"/>
        <v>2.4700000000000002</v>
      </c>
      <c r="L84" s="92">
        <f>L53+L54+L68+L69</f>
        <v>2.34</v>
      </c>
      <c r="M84" s="92">
        <f t="shared" si="3"/>
        <v>2.9430000000000001</v>
      </c>
      <c r="N84" s="92">
        <f t="shared" si="3"/>
        <v>3.1999999999999997</v>
      </c>
    </row>
    <row r="85" spans="1:16">
      <c r="A85" s="87" t="s">
        <v>54</v>
      </c>
      <c r="B85" s="92">
        <f>VLOOKUP("Incumplimiento energía balance",$A$45:$N$71,2,FALSE)</f>
        <v>-0.08</v>
      </c>
      <c r="C85" s="92">
        <f>VLOOKUP("Incumplimiento energía balance",$A$45:$N$71,3,FALSE)</f>
        <v>-0.1</v>
      </c>
      <c r="D85" s="92">
        <f>VLOOKUP("Incumplimiento energía balance",$A$45:$N$71,4,FALSE)</f>
        <v>-0.12</v>
      </c>
      <c r="E85" s="92">
        <f>VLOOKUP("Incumplimiento energía balance",$A$45:$N$71,5,FALSE)</f>
        <v>-0.52</v>
      </c>
      <c r="F85" s="92">
        <f>VLOOKUP("Incumplimiento energía balance",$A$45:$N$71,6,FALSE)</f>
        <v>-0.99</v>
      </c>
      <c r="G85" s="92">
        <f>VLOOKUP("Incumplimiento energía balance",$A$45:$N$71,7,FALSE)</f>
        <v>-0.73</v>
      </c>
      <c r="H85" s="92">
        <f>VLOOKUP("Incumplimiento energía balance",$A$45:$N$71,8,FALSE)</f>
        <v>-0.81</v>
      </c>
      <c r="I85" s="92">
        <f>VLOOKUP("Incumplimiento energía balance",$A$45:$N$71,9,FALSE)</f>
        <v>-0.6</v>
      </c>
      <c r="J85" s="92">
        <f>VLOOKUP("Incumplimiento energía balance",$A$45:$N$71,10,FALSE)</f>
        <v>-0.41</v>
      </c>
      <c r="K85" s="92">
        <f>VLOOKUP("Incumplimiento energía balance",$A$45:$N$71,11,FALSE)</f>
        <v>-0.19</v>
      </c>
      <c r="L85" s="92">
        <f>VLOOKUP("Incumplimiento energía balance",$A$45:$N$71,12,FALSE)</f>
        <v>-0.49</v>
      </c>
      <c r="M85" s="92">
        <f>VLOOKUP("Incumplimiento energía balance",$A$45:$N$71,13,FALSE)</f>
        <v>-0.4</v>
      </c>
      <c r="N85" s="92">
        <f>VLOOKUP("Incumplimiento energía balance",$A$45:$N$71,14,FALSE)</f>
        <v>-0.41</v>
      </c>
    </row>
    <row r="86" spans="1:16">
      <c r="A86" s="87" t="s">
        <v>55</v>
      </c>
      <c r="B86" s="92">
        <f>VLOOKUP("Coste desvíos",$A$45:$N$71,2,FALSE)</f>
        <v>0.42</v>
      </c>
      <c r="C86" s="92">
        <f>VLOOKUP("Coste desvíos",$A$45:$N$71,3,FALSE)</f>
        <v>0.4</v>
      </c>
      <c r="D86" s="92">
        <f>VLOOKUP("Coste desvíos",$A$45:$N$71,4,FALSE)</f>
        <v>0.42</v>
      </c>
      <c r="E86" s="92">
        <f>VLOOKUP("Coste desvíos",$A$45:$N$71,5,FALSE)</f>
        <v>0.3</v>
      </c>
      <c r="F86" s="92">
        <f>VLOOKUP("Coste desvíos",$A$45:$N$71,6,FALSE)</f>
        <v>0.35</v>
      </c>
      <c r="G86" s="92">
        <f>VLOOKUP("Coste desvíos",$A$45:$N$71,7,FALSE)</f>
        <v>0.59</v>
      </c>
      <c r="H86" s="92">
        <f>VLOOKUP("Coste desvíos",$A$45:$N$71,8,FALSE)</f>
        <v>0.51</v>
      </c>
      <c r="I86" s="92">
        <f>VLOOKUP("Coste desvíos",$A$45:$N$71,9,FALSE)</f>
        <v>0.5</v>
      </c>
      <c r="J86" s="92">
        <f>VLOOKUP("Coste desvíos",$A$45:$N$71,10,FALSE)</f>
        <v>0.53</v>
      </c>
      <c r="K86" s="92">
        <f>VLOOKUP("Coste desvíos",$A$45:$N$71,11,FALSE)</f>
        <v>0.28999999999999998</v>
      </c>
      <c r="L86" s="92">
        <f>VLOOKUP("Coste desvíos",$A$45:$N$71,12,FALSE)</f>
        <v>0.39</v>
      </c>
      <c r="M86" s="92">
        <f>VLOOKUP("Coste desvíos",$A$45:$N$71,13,FALSE)</f>
        <v>0.51300000000000001</v>
      </c>
      <c r="N86" s="92">
        <f>VLOOKUP("Coste desvíos",$A$45:$N$71,14,FALSE)</f>
        <v>0.23</v>
      </c>
    </row>
    <row r="87" spans="1:16">
      <c r="A87" s="87" t="s">
        <v>56</v>
      </c>
      <c r="B87" s="92">
        <f>VLOOKUP("Saldo desvíos",$A$45:$N$71,2,FALSE)</f>
        <v>0.23</v>
      </c>
      <c r="C87" s="92">
        <f>VLOOKUP("Saldo desvíos",$A$45:$N$71,3,FALSE)</f>
        <v>0.47</v>
      </c>
      <c r="D87" s="92">
        <f>VLOOKUP("Saldo desvíos",$A$45:$N$71,4,FALSE)</f>
        <v>0.66</v>
      </c>
      <c r="E87" s="92">
        <f>VLOOKUP("Saldo desvíos",$A$45:$N$71,5,FALSE)</f>
        <v>0.08</v>
      </c>
      <c r="F87" s="92">
        <f>VLOOKUP("Saldo desvíos",$A$45:$N$71,6,FALSE)</f>
        <v>-0.08</v>
      </c>
      <c r="G87" s="92">
        <f>VLOOKUP("Saldo desvíos",$A$45:$N$71,7,FALSE)</f>
        <v>0.1</v>
      </c>
      <c r="H87" s="92">
        <f>VLOOKUP("Saldo desvíos",$A$45:$N$71,8,FALSE)</f>
        <v>1.55</v>
      </c>
      <c r="I87" s="92">
        <f>VLOOKUP("Saldo desvíos",$A$45:$N$71,9,FALSE)</f>
        <v>0.59</v>
      </c>
      <c r="J87" s="92">
        <f>VLOOKUP("Saldo desvíos",$A$45:$N$71,10,FALSE)</f>
        <v>0.1</v>
      </c>
      <c r="K87" s="92">
        <f>VLOOKUP("Saldo desvíos",$A$45:$N$71,11,FALSE)</f>
        <v>-0.27</v>
      </c>
      <c r="L87" s="92">
        <f>VLOOKUP("Saldo desvíos",$A$45:$N$71,12,FALSE)</f>
        <v>-0.6</v>
      </c>
      <c r="M87" s="92">
        <f>VLOOKUP("Saldo desvíos",$A$45:$N$71,13,FALSE)</f>
        <v>-0.39</v>
      </c>
      <c r="N87" s="92">
        <f>VLOOKUP("Saldo desvíos",$A$45:$N$71,14,FALSE)</f>
        <v>0.08</v>
      </c>
    </row>
    <row r="88" spans="1:16">
      <c r="A88" s="87" t="s">
        <v>22</v>
      </c>
      <c r="B88" s="92">
        <f>VLOOKUP("Control del factor de potencia",$A$45:$N$71,2,FALSE)</f>
        <v>-0.1</v>
      </c>
      <c r="C88" s="92">
        <f>VLOOKUP("Control del factor de potencia",$A$45:$N$71,3,FALSE)</f>
        <v>-0.12</v>
      </c>
      <c r="D88" s="92">
        <f>VLOOKUP("Control del factor de potencia",$A$45:$N$71,4,FALSE)</f>
        <v>-0.11</v>
      </c>
      <c r="E88" s="92">
        <f>VLOOKUP("Control del factor de potencia",$A$45:$N$71,5,FALSE)</f>
        <v>-0.12</v>
      </c>
      <c r="F88" s="92">
        <f>VLOOKUP("Control del factor de potencia",$A$45:$N$71,6,FALSE)</f>
        <v>-0.11</v>
      </c>
      <c r="G88" s="92">
        <f>VLOOKUP("Control del factor de potencia",$A$45:$N$71,7,FALSE)</f>
        <v>-0.12</v>
      </c>
      <c r="H88" s="92">
        <f>VLOOKUP("Control del factor de potencia",$A$45:$N$71,8,FALSE)</f>
        <v>-0.09</v>
      </c>
      <c r="I88" s="92">
        <f>VLOOKUP("Control del factor de potencia",$A$45:$N$71,9,FALSE)</f>
        <v>-0.1</v>
      </c>
      <c r="J88" s="92">
        <f>VLOOKUP("Control del factor de potencia",$A$45:$N$71,10,FALSE)</f>
        <v>-0.11</v>
      </c>
      <c r="K88" s="92">
        <f>VLOOKUP("Control del factor de potencia",$A$45:$N$71,11,FALSE)</f>
        <v>-0.11</v>
      </c>
      <c r="L88" s="92">
        <f>VLOOKUP("Control del factor de potencia",$A$45:$N$71,12,FALSE)</f>
        <v>-0.09</v>
      </c>
      <c r="M88" s="92">
        <f>VLOOKUP("Control del factor de potencia",$A$45:$N$71,13,FALSE)</f>
        <v>-0.1</v>
      </c>
      <c r="N88" s="92">
        <f>VLOOKUP("Control del factor de potencia",$A$45:$N$71,14,FALSE)</f>
        <v>-0.09</v>
      </c>
    </row>
    <row r="89" spans="1:16">
      <c r="A89" s="87" t="s">
        <v>207</v>
      </c>
      <c r="B89" s="92">
        <f>VLOOKUP("Servicio respuesta activa (potencia)",$A$45:$N$71,2,FALSE)+VLOOKUP("Servicio respuesta activa (I)",$A$45:$N$71,2,FALSE)+VLOOKUP("Ingreso control de tensión",$A$45:$N$71,2,FALSE)</f>
        <v>-0.53999999999999992</v>
      </c>
      <c r="C89" s="92">
        <f>VLOOKUP("Servicio respuesta activa (potencia)",$A$45:$N$71,3,FALSE)+VLOOKUP("Servicio respuesta activa (I)",$A$45:$N$71,3,FALSE)+VLOOKUP("Ingreso control de tensión",$A$45:$N$71,3,FALSE)</f>
        <v>-0.62</v>
      </c>
      <c r="D89" s="92">
        <f>VLOOKUP("Servicio respuesta activa (potencia)",$A$45:$N$71,4,FALSE)+VLOOKUP("Servicio respuesta activa (I)",$A$45:$N$71,4,FALSE)+VLOOKUP("Ingreso control de tensión",$A$45:$N$71,4,FALSE)</f>
        <v>-0.66</v>
      </c>
      <c r="E89" s="92">
        <f>VLOOKUP("Servicio respuesta activa (potencia)",$A$45:$N$71,5,FALSE)+VLOOKUP("Servicio respuesta activa (I)",$A$45:$N$71,5,FALSE)+VLOOKUP("Ingreso control de tensión",$A$45:$N$71,5,FALSE)</f>
        <v>-0.6</v>
      </c>
      <c r="F89" s="92">
        <f>VLOOKUP("Servicio respuesta activa (potencia)",$A$45:$N$71,6,FALSE)+VLOOKUP("Servicio respuesta activa (I)",$A$45:$N$71,6,FALSE)+VLOOKUP("Ingreso control de tensión",$A$45:$N$71,6,FALSE)</f>
        <v>-0.51</v>
      </c>
      <c r="G89" s="92">
        <f>VLOOKUP("Servicio respuesta activa (potencia)",$A$45:$N$71,7,FALSE)+VLOOKUP("Servicio respuesta activa (I)",$A$45:$N$71,7,FALSE)+VLOOKUP("Ingreso control de tensión",$A$45:$N$71,7,FALSE)</f>
        <v>-1.08</v>
      </c>
      <c r="H89" s="92">
        <f>VLOOKUP("Servicio respuesta activa (potencia)",$A$45:$N$71,8,FALSE)+VLOOKUP("Servicio respuesta activa (I)",$A$45:$N$71,8,FALSE)+VLOOKUP("Ingreso control de tensión",$A$45:$N$71,8,FALSE)</f>
        <v>-1.1599999999999999</v>
      </c>
      <c r="I89" s="92">
        <f>VLOOKUP("Servicio respuesta activa (potencia)",$A$45:$N$71,9,FALSE)+VLOOKUP("Servicio respuesta activa (I)",$A$45:$N$71,9,FALSE)+VLOOKUP("Ingreso control de tensión",$A$45:$N$71,9,FALSE)</f>
        <v>-1.1339999999999999</v>
      </c>
      <c r="J89" s="92">
        <f>VLOOKUP("Servicio respuesta activa (potencia)",$A$45:$N$71,10,FALSE)+VLOOKUP("Servicio respuesta activa (I)",$A$45:$N$71,10,FALSE)+VLOOKUP("Ingreso control de tensión",$A$45:$N$71,10,FALSE)</f>
        <v>-1.19</v>
      </c>
      <c r="K89" s="92">
        <f>VLOOKUP("Servicio respuesta activa (potencia)",$A$45:$N$71,11,FALSE)+VLOOKUP("Servicio respuesta activa (I)",$A$45:$N$71,11,FALSE)+VLOOKUP("Ingreso control de tensión",$A$45:$N$71,11,FALSE)</f>
        <v>-1.28</v>
      </c>
      <c r="L89" s="92">
        <f>VLOOKUP("Servicio respuesta activa (potencia)",$A$45:$N$71,12,FALSE)+VLOOKUP("Ingreso control de tensión",$A$45:$N$71,12,FALSE)+VLOOKUP("Servicio respuesta activa (I)",$A$45:$N$71,12,FALSE)</f>
        <v>-1.0999999999999999</v>
      </c>
      <c r="M89" s="92">
        <f>VLOOKUP("Servicio respuesta activa (potencia)",$A$45:$N$71,13,FALSE)+VLOOKUP("Ingreso control de tensión",$A$45:$N$71,13,FALSE)+VLOOKUP("Servicio respuesta activa (I)",$A$45:$N$71,13,FALSE)</f>
        <v>-1.1099999999999999</v>
      </c>
      <c r="N89" s="92">
        <f>VLOOKUP("Servicio respuesta activa (potencia)",$A$45:$N$71,14,FALSE)+VLOOKUP("Ingreso control de tensión",$A$45:$N$71,14,FALSE)+VLOOKUP("Servicio respuesta activa (I)",$A$45:$N$71,14,FALSE)</f>
        <v>-1.06</v>
      </c>
    </row>
    <row r="90" spans="1:16" ht="12" customHeight="1">
      <c r="A90" s="88" t="s">
        <v>58</v>
      </c>
      <c r="B90" s="93">
        <f>VLOOKUP("Saldo PO 14.6",$A$45:$N$71,2,FALSE)</f>
        <v>0.04</v>
      </c>
      <c r="C90" s="93">
        <f>VLOOKUP("Saldo PO 14.6",$A$45:$N$71,3,FALSE)</f>
        <v>0.04</v>
      </c>
      <c r="D90" s="93">
        <f>VLOOKUP("Saldo PO 14.6",$A$45:$N$71,4,FALSE)</f>
        <v>0.06</v>
      </c>
      <c r="E90" s="93">
        <f>VLOOKUP("Saldo PO 14.6",$A$45:$N$71,5,FALSE)</f>
        <v>0.06</v>
      </c>
      <c r="F90" s="93">
        <f>VLOOKUP("Saldo PO 14.6",$A$45:$N$71,6,FALSE)</f>
        <v>0.02</v>
      </c>
      <c r="G90" s="93">
        <f>VLOOKUP("Saldo PO 14.6",$A$45:$N$71,7,FALSE)</f>
        <v>0.05</v>
      </c>
      <c r="H90" s="93">
        <f>VLOOKUP("Saldo PO 14.6",$A$45:$N$71,8,FALSE)</f>
        <v>0.05</v>
      </c>
      <c r="I90" s="93">
        <f>VLOOKUP("Saldo PO 14.6",$A$45:$N$71,9,FALSE)</f>
        <v>0.05</v>
      </c>
      <c r="J90" s="93">
        <f>VLOOKUP("Saldo PO 14.6",$A$45:$N$71,10,FALSE)</f>
        <v>0.04</v>
      </c>
      <c r="K90" s="93">
        <f>VLOOKUP("Saldo PO 14.6",$A$45:$N$71,11,FALSE)</f>
        <v>0.04</v>
      </c>
      <c r="L90" s="93">
        <f>VLOOKUP("Saldo PO 14.6",$A$45:$N$71,12,FALSE)</f>
        <v>0.05</v>
      </c>
      <c r="M90" s="93">
        <f>VLOOKUP("Saldo PO 14.6",$A$45:$N$71,13,FALSE)</f>
        <v>0.03</v>
      </c>
      <c r="N90" s="93">
        <f>VLOOKUP("Saldo PO 14.6",$A$45:$N$71,14,FALSE)</f>
        <v>0.03</v>
      </c>
      <c r="O90" s="141">
        <f>(SUM(N82:N90)/SUM(B82:B90)-1)</f>
        <v>0.56142365097588964</v>
      </c>
      <c r="P90" s="153">
        <f>O90*100</f>
        <v>56.142365097588964</v>
      </c>
    </row>
    <row r="91" spans="1:16">
      <c r="L91" s="62"/>
      <c r="M91" s="62"/>
      <c r="N91" s="62">
        <f>SUM(N82:N90)</f>
        <v>13.6</v>
      </c>
    </row>
    <row r="92" spans="1:16">
      <c r="A92" s="106" t="s">
        <v>38</v>
      </c>
      <c r="B92" s="85"/>
      <c r="C92" s="85"/>
      <c r="D92" s="85"/>
      <c r="E92" s="85"/>
      <c r="F92" s="85"/>
      <c r="G92" s="85"/>
      <c r="H92" s="85"/>
      <c r="I92" s="85"/>
      <c r="J92" s="85"/>
      <c r="K92" s="85"/>
      <c r="L92" s="85"/>
      <c r="N92" s="141"/>
    </row>
    <row r="93" spans="1:16" ht="39.6" customHeight="1">
      <c r="A93" s="147"/>
      <c r="B93" s="149" t="s">
        <v>1</v>
      </c>
      <c r="C93" s="149" t="s">
        <v>2</v>
      </c>
      <c r="D93" s="149" t="s">
        <v>39</v>
      </c>
      <c r="E93" s="149" t="s">
        <v>33</v>
      </c>
      <c r="F93" s="149" t="s">
        <v>180</v>
      </c>
      <c r="G93" s="149" t="s">
        <v>16</v>
      </c>
      <c r="H93" s="149" t="s">
        <v>32</v>
      </c>
      <c r="I93" s="147" t="s">
        <v>21</v>
      </c>
      <c r="J93" s="149" t="s">
        <v>36</v>
      </c>
      <c r="K93" s="147" t="s">
        <v>0</v>
      </c>
      <c r="L93" s="147" t="s">
        <v>119</v>
      </c>
    </row>
    <row r="94" spans="1:16">
      <c r="A94" s="83" t="s">
        <v>34</v>
      </c>
      <c r="B94" s="104">
        <f>VLOOKUP("Mercado Diario",$A$45:$N$61,14,FALSE)</f>
        <v>68.709999999999994</v>
      </c>
      <c r="C94" s="104">
        <f>VLOOKUP("Mercado Intradiario",$A$45:$N$61,14,FALSE)</f>
        <v>-0.11</v>
      </c>
      <c r="D94" s="104">
        <f>SUM(B94:C94)</f>
        <v>68.599999999999994</v>
      </c>
      <c r="E94" s="104">
        <f>VLOOKUP("Pago capacidad",$A$45:$N$61,14,FALSE)</f>
        <v>0.14000000000000001</v>
      </c>
      <c r="F94" s="104">
        <f>VLOOKUP("Mecanismo Ajuste RD-L10/2022 Coste OM",$A$45:$N$71,14,FALSE)+VLOOKUP("Mecanismo Ajuste RD-L10/2022 Coste OS",$A$45:$N$71,14,FALSE)+VLOOKUP("Mecanismo Ajuste RD-L10/2022 Ajuste OS",$A$45:$N$71,14,FALSE)</f>
        <v>0</v>
      </c>
      <c r="G94" s="104">
        <f>E466</f>
        <v>13.6</v>
      </c>
      <c r="H94" s="104">
        <f>VLOOKUP("Restricciones PBF",$A$45:$N$61,14,FALSE)</f>
        <v>8.4600000000000009</v>
      </c>
      <c r="I94" s="104">
        <f>N84</f>
        <v>3.1999999999999997</v>
      </c>
      <c r="J94" s="104">
        <f>N83+N85+N86+N87+N88+N89+N90</f>
        <v>1.9400000000000002</v>
      </c>
      <c r="K94" s="104">
        <f>N71</f>
        <v>82.339999999999975</v>
      </c>
      <c r="L94" s="112">
        <f>K94-SUM(D94:G94)</f>
        <v>0</v>
      </c>
    </row>
    <row r="95" spans="1:16">
      <c r="A95" s="84"/>
      <c r="B95" s="84"/>
      <c r="C95" s="84"/>
      <c r="D95" s="178">
        <f>D94/$K$94</f>
        <v>0.83313092057323312</v>
      </c>
      <c r="E95" s="178">
        <f>E94/$K$94</f>
        <v>1.7002671848433332E-3</v>
      </c>
      <c r="F95" s="178">
        <f>F94/$K$94</f>
        <v>0</v>
      </c>
      <c r="G95" s="196">
        <f>G94/$K$94</f>
        <v>0.16516881224192378</v>
      </c>
    </row>
    <row r="96" spans="1:16">
      <c r="A96" s="84" t="s">
        <v>125</v>
      </c>
      <c r="B96" s="84"/>
      <c r="C96" s="84"/>
      <c r="D96" s="84"/>
      <c r="E96" s="84"/>
      <c r="F96" s="84"/>
      <c r="G96" s="84"/>
    </row>
    <row r="97" spans="1:7">
      <c r="A97" s="160"/>
      <c r="B97" s="161"/>
      <c r="C97" s="180" t="str">
        <f>N43</f>
        <v>2025 Agosto</v>
      </c>
      <c r="D97" s="147"/>
      <c r="E97" s="160"/>
      <c r="F97" s="161"/>
      <c r="G97" s="154" t="str">
        <f>B43</f>
        <v>2024 Agosto</v>
      </c>
    </row>
    <row r="98" spans="1:7">
      <c r="A98" s="123" t="s">
        <v>49</v>
      </c>
      <c r="B98" s="92"/>
      <c r="C98" s="92">
        <f>IF(VLOOKUP(A98,Dat_01!$A$46:$N$71,14,FALSE)=0,"-",VLOOKUP(A98,Dat_01!$A$46:$N$71,14,FALSE)*Dat_01!$N$45)</f>
        <v>174558297.29004002</v>
      </c>
      <c r="D98" s="92"/>
      <c r="E98" s="123" t="s">
        <v>49</v>
      </c>
      <c r="F98" s="92"/>
      <c r="G98" s="92">
        <f>IF(VLOOKUP(E98,Dat_01!$A$45:$N$71,2,FALSE)=0,"-",VLOOKUP(E98,Dat_01!$A$45:$N$71,2,FALSE)*Dat_01!$B$45)</f>
        <v>71332688.880799994</v>
      </c>
    </row>
    <row r="99" spans="1:7">
      <c r="A99" s="123" t="s">
        <v>50</v>
      </c>
      <c r="B99" s="92"/>
      <c r="C99" s="92">
        <f>IF(VLOOKUP(A99,Dat_01!$A$45:$N$71,14,FALSE)=0,"-",VLOOKUP(A99,Dat_01!$A$45:$N$71,14,FALSE)*Dat_01!$N$45)</f>
        <v>65201444.377840005</v>
      </c>
      <c r="D99" s="92"/>
      <c r="E99" s="123" t="s">
        <v>50</v>
      </c>
      <c r="F99" s="92"/>
      <c r="G99" s="92">
        <f>IF(VLOOKUP(E99,Dat_01!$A$45:$N$71,2,FALSE)=0,"-",VLOOKUP(E99,Dat_01!$A$45:$N$71,2,FALSE)*Dat_01!$B$45)</f>
        <v>66507242.280039996</v>
      </c>
    </row>
    <row r="100" spans="1:7">
      <c r="A100" s="123" t="s">
        <v>53</v>
      </c>
      <c r="B100" s="92"/>
      <c r="C100" s="92" t="str">
        <f>IF(VLOOKUP(A100,Dat_01!$A$45:$N$71,14,FALSE)=0,"-",VLOOKUP(A100,Dat_01!$A$45:$N$71,14,FALSE)*Dat_01!$N$45)</f>
        <v>-</v>
      </c>
      <c r="D100" s="92"/>
      <c r="E100" s="123" t="s">
        <v>53</v>
      </c>
      <c r="F100" s="92"/>
      <c r="G100" s="92" t="str">
        <f>IF(VLOOKUP(E100,Dat_01!$A$45:$N$71,2,FALSE)=0,"-",VLOOKUP(E100,Dat_01!$A$45:$N$71,2,FALSE)*Dat_01!$B$45)</f>
        <v>-</v>
      </c>
    </row>
    <row r="101" spans="1:7">
      <c r="A101" s="123" t="s">
        <v>223</v>
      </c>
      <c r="B101" s="92"/>
      <c r="C101" s="92">
        <f>IF(VLOOKUP($A$110,Dat_01!$A$45:$N$71,14,FALSE)+VLOOKUP($A$111,Dat_01!$A$45:$N$71,14,FALSE)+VLOOKUP($A$112,Dat_01!$A$45:$N$71,14,FALSE)+VLOOKUP($A$113,Dat_01!$A$45:$N$71,14,FALSE)=0,"-",(VLOOKUP($A$110,Dat_01!$A$45:$N$71,14,FALSE)+VLOOKUP($A$111,Dat_01!$A$45:$N$71,14,FALSE)+VLOOKUP($A$112,Dat_01!$A$45:$N$71,14,FALSE)+VLOOKUP($A$113,Dat_01!$A$45:$N$71,14,FALSE))*Dat_01!$N$45)</f>
        <v>66026779.116799995</v>
      </c>
      <c r="D101" s="92"/>
      <c r="E101" s="123" t="s">
        <v>187</v>
      </c>
      <c r="F101" s="92"/>
      <c r="G101" s="92">
        <f>IF(VLOOKUP($A$110,Dat_01!$A$45:$N$71,2,FALSE)+VLOOKUP($A$111,Dat_01!$A$45:$N$71,2,FALSE)+VLOOKUP($A$112,Dat_01!$A$45:$N$71,2,FALSE)+VLOOKUP($A$113,Dat_01!$A$45:$N$71,2,FALSE)=0,"-",(VLOOKUP($A$110,Dat_01!$A$45:$N$71,2,FALSE)+VLOOKUP($A$111,Dat_01!$A$45:$N$71,2,FALSE)+VLOOKUP($A$112,Dat_01!$A$45:$N$71,2,FALSE)+VLOOKUP($A$113,Dat_01!$A$45:$N$71,2,FALSE))*Dat_01!$B$45)</f>
        <v>45527039.66804</v>
      </c>
    </row>
    <row r="102" spans="1:7">
      <c r="A102" s="123" t="s">
        <v>55</v>
      </c>
      <c r="B102" s="92"/>
      <c r="C102" s="92">
        <f>IF(VLOOKUP(A102,Dat_01!$A$45:$N$71,14,FALSE)=0,"-",VLOOKUP(A102,Dat_01!$A$45:$N$71,14,FALSE)*Dat_01!$N$45)</f>
        <v>4745674.74902</v>
      </c>
      <c r="D102" s="92"/>
      <c r="E102" s="123" t="s">
        <v>55</v>
      </c>
      <c r="F102" s="92"/>
      <c r="G102" s="92">
        <f>IF(VLOOKUP(E102,Dat_01!$A$45:$N$71,2,FALSE)=0,"-",VLOOKUP(E102,Dat_01!$A$45:$N$71,2,FALSE)*Dat_01!$B$45)</f>
        <v>8811685.0970399994</v>
      </c>
    </row>
    <row r="103" spans="1:7">
      <c r="A103" s="123" t="s">
        <v>54</v>
      </c>
      <c r="B103" s="92"/>
      <c r="C103" s="92">
        <f>IF(VLOOKUP(A103,Dat_01!$A$45:$N$71,14,FALSE)=0,"-",VLOOKUP(A103,Dat_01!$A$45:$N$71,14,FALSE)*Dat_01!$N$45)</f>
        <v>-8459681.0743399989</v>
      </c>
      <c r="D103" s="92"/>
      <c r="E103" s="123" t="s">
        <v>54</v>
      </c>
      <c r="F103" s="92"/>
      <c r="G103" s="92">
        <f>IF(VLOOKUP(E103,Dat_01!$A$45:$N$71,2,FALSE)=0,"-",VLOOKUP(E103,Dat_01!$A$45:$N$71,2,FALSE)*Dat_01!$B$45)</f>
        <v>-1678416.20896</v>
      </c>
    </row>
    <row r="104" spans="1:7">
      <c r="A104" s="123" t="s">
        <v>56</v>
      </c>
      <c r="B104" s="92"/>
      <c r="C104" s="92">
        <f>IF(VLOOKUP(A104,Dat_01!$A$45:$N$71,14,FALSE)=0,"-",VLOOKUP(A104,Dat_01!$A$45:$N$71,14,FALSE)*Dat_01!$N$45)</f>
        <v>1650669.47792</v>
      </c>
      <c r="D104" s="92"/>
      <c r="E104" s="123" t="s">
        <v>56</v>
      </c>
      <c r="F104" s="92"/>
      <c r="G104" s="92">
        <f>IF(VLOOKUP(E104,Dat_01!$A$45:$N$71,2,FALSE)=0,"-",VLOOKUP(E104,Dat_01!$A$45:$N$71,2,FALSE)*Dat_01!$B$45)</f>
        <v>4825446.6007599998</v>
      </c>
    </row>
    <row r="105" spans="1:7">
      <c r="A105" s="123" t="s">
        <v>58</v>
      </c>
      <c r="B105" s="92"/>
      <c r="C105" s="92">
        <f>IF(VLOOKUP(A105,Dat_01!$A$45:$N$71,14,FALSE)=0,"-",VLOOKUP(A105,Dat_01!$A$45:$N$71,14,FALSE)*Dat_01!$N$45)</f>
        <v>619001.05421999993</v>
      </c>
      <c r="D105" s="92"/>
      <c r="E105" s="123" t="s">
        <v>58</v>
      </c>
      <c r="F105" s="92"/>
      <c r="G105" s="92">
        <f>IF(VLOOKUP(E105,Dat_01!$A$45:$N$71,2,FALSE)=0,"-",VLOOKUP(E105,Dat_01!$A$45:$N$71,2,FALSE)*Dat_01!$B$45)</f>
        <v>839208.10447999998</v>
      </c>
    </row>
    <row r="106" spans="1:7">
      <c r="A106" s="123" t="s">
        <v>207</v>
      </c>
      <c r="B106" s="92"/>
      <c r="C106" s="92">
        <f>IF(VLOOKUP($A$114,Dat_01!$A$45:$N$71,14,FALSE)+VLOOKUP($A$115,Dat_01!$A$45:$N$71,14,FALSE)+VLOOKUP($A$116,Dat_01!$A$45:$N$71,14,FALSE)=0,"-",(VLOOKUP($A$114,Dat_01!$A$45:$N$71,14,FALSE)+VLOOKUP($A$115,Dat_01!$A$45:$N$71,14,FALSE)+VLOOKUP($A$116,Dat_01!$A$45:$N$71,14,FALSE))*Dat_01!$N$45)</f>
        <v>-21871370.58244</v>
      </c>
      <c r="D106" s="92"/>
      <c r="E106" s="123" t="s">
        <v>189</v>
      </c>
      <c r="F106" s="92"/>
      <c r="G106" s="92">
        <f>IF(VLOOKUP($A$114,Dat_01!$A$45:$N$71,2,FALSE)+VLOOKUP($A$115,Dat_01!$A$45:$N$71,2,FALSE)+VLOOKUP($A$116,Dat_01!$A$45:$N$71,2,FALSE)=0,"-",(VLOOKUP($A$114,Dat_01!$A$45:$N$71,2,FALSE)+VLOOKUP($A$115,Dat_01!$A$45:$N$71,2,FALSE)+VLOOKUP($A$116,Dat_01!$A$45:$N$71,2,FALSE))*Dat_01!$N$45)</f>
        <v>-11142018.975959998</v>
      </c>
    </row>
    <row r="107" spans="1:7">
      <c r="A107" s="88" t="s">
        <v>22</v>
      </c>
      <c r="B107" s="122"/>
      <c r="C107" s="133">
        <f>IF(VLOOKUP(A107,Dat_01!$A$45:$N$71,14,FALSE)=0,"-",VLOOKUP(A107,Dat_01!$A$45:$N$71,14,FALSE)*Dat_01!$N$45)</f>
        <v>-1857003.1626599999</v>
      </c>
      <c r="D107" s="88"/>
      <c r="E107" s="88" t="s">
        <v>22</v>
      </c>
      <c r="F107" s="88"/>
      <c r="G107" s="133">
        <f>IF(VLOOKUP(E107,Dat_01!$A$45:$N$71,2,FALSE)=0,"-",VLOOKUP(E107,Dat_01!$A$45:$N$71,2,FALSE)*Dat_01!$B$45)</f>
        <v>-2098020.2612000001</v>
      </c>
    </row>
    <row r="109" spans="1:7" ht="12.6" customHeight="1">
      <c r="A109" s="191"/>
    </row>
    <row r="110" spans="1:7" ht="12.6" customHeight="1">
      <c r="A110" s="192" t="s">
        <v>199</v>
      </c>
    </row>
    <row r="111" spans="1:7" ht="12.6" customHeight="1">
      <c r="A111" s="192" t="s">
        <v>197</v>
      </c>
    </row>
    <row r="112" spans="1:7" ht="12.6" customHeight="1">
      <c r="A112" s="192" t="s">
        <v>203</v>
      </c>
    </row>
    <row r="113" spans="1:9" ht="12.6" customHeight="1">
      <c r="A113" s="192" t="s">
        <v>204</v>
      </c>
    </row>
    <row r="114" spans="1:9" ht="12.6" customHeight="1">
      <c r="A114" s="192" t="s">
        <v>201</v>
      </c>
    </row>
    <row r="115" spans="1:9" ht="12.6" customHeight="1">
      <c r="A115" s="192" t="s">
        <v>202</v>
      </c>
    </row>
    <row r="116" spans="1:9" ht="12.6" customHeight="1">
      <c r="A116" s="192" t="str">
        <f>A70</f>
        <v>ingreso control de tensión</v>
      </c>
    </row>
    <row r="117" spans="1:9">
      <c r="A117" s="84" t="s">
        <v>170</v>
      </c>
      <c r="B117" s="146"/>
      <c r="C117" s="146"/>
    </row>
    <row r="118" spans="1:9">
      <c r="A118" s="124" t="s">
        <v>27</v>
      </c>
      <c r="B118" s="268"/>
      <c r="C118" s="269"/>
    </row>
    <row r="119" spans="1:9">
      <c r="A119" s="125" t="s">
        <v>87</v>
      </c>
      <c r="B119" s="225" t="s">
        <v>211</v>
      </c>
      <c r="C119" s="224" t="s">
        <v>281</v>
      </c>
    </row>
    <row r="120" spans="1:9">
      <c r="A120" s="124" t="s">
        <v>137</v>
      </c>
      <c r="B120" s="145"/>
      <c r="C120" s="145"/>
    </row>
    <row r="121" spans="1:9">
      <c r="A121" s="126" t="s">
        <v>69</v>
      </c>
      <c r="B121" s="226">
        <v>997.79470000000003</v>
      </c>
      <c r="C121" s="227">
        <v>2436.9612999999999</v>
      </c>
      <c r="D121" t="str">
        <f>A121</f>
        <v>Restricciones Técnicas al PBF</v>
      </c>
      <c r="F121" s="142" t="s">
        <v>154</v>
      </c>
      <c r="H121" s="148">
        <f>SUM(B121:B122)</f>
        <v>1575.7198400000002</v>
      </c>
      <c r="I121" s="148">
        <f>SUM(C121:C122)</f>
        <v>2985.0308279999999</v>
      </c>
    </row>
    <row r="122" spans="1:9">
      <c r="A122" s="126" t="s">
        <v>70</v>
      </c>
      <c r="B122" s="226">
        <v>577.92514000000006</v>
      </c>
      <c r="C122" s="227">
        <v>548.06952799999999</v>
      </c>
      <c r="D122" t="s">
        <v>133</v>
      </c>
      <c r="F122" s="143" t="s">
        <v>155</v>
      </c>
      <c r="H122" s="148">
        <f>SUM(B123:B126)</f>
        <v>1097.558385</v>
      </c>
      <c r="I122" s="148">
        <f>SUM(C123:C126)</f>
        <v>1106.2821630000001</v>
      </c>
    </row>
    <row r="123" spans="1:9">
      <c r="A123" s="126" t="s">
        <v>64</v>
      </c>
      <c r="B123" s="226">
        <v>354.59065299999997</v>
      </c>
      <c r="C123" s="227">
        <v>142.87462500000001</v>
      </c>
      <c r="D123" t="str">
        <f>A123</f>
        <v>Regulación secundaria</v>
      </c>
    </row>
    <row r="124" spans="1:9">
      <c r="A124" s="126" t="s">
        <v>3</v>
      </c>
      <c r="B124" s="226">
        <v>379.55103400000002</v>
      </c>
      <c r="C124" s="227">
        <v>503.98356799999999</v>
      </c>
      <c r="D124" t="str">
        <f>A124</f>
        <v>Regulación terciaria</v>
      </c>
    </row>
    <row r="125" spans="1:9">
      <c r="A125" s="126" t="s">
        <v>149</v>
      </c>
      <c r="B125" s="128">
        <f>B318/1000</f>
        <v>289.79874999999998</v>
      </c>
      <c r="C125" s="128">
        <f>N318/1000</f>
        <v>398.01774999999998</v>
      </c>
      <c r="D125" t="s">
        <v>149</v>
      </c>
    </row>
    <row r="126" spans="1:9">
      <c r="A126" s="126" t="s">
        <v>156</v>
      </c>
      <c r="B126" s="128">
        <f>B395/1000</f>
        <v>73.617947999999998</v>
      </c>
      <c r="C126" s="128">
        <f>N395/1000</f>
        <v>61.406220000000005</v>
      </c>
      <c r="D126" t="s">
        <v>158</v>
      </c>
    </row>
    <row r="127" spans="1:9">
      <c r="B127" s="171"/>
      <c r="C127" s="171"/>
    </row>
    <row r="128" spans="1:9">
      <c r="A128" s="84"/>
    </row>
    <row r="130" spans="1:17">
      <c r="A130" s="84" t="s">
        <v>163</v>
      </c>
      <c r="C130" s="144" t="str">
        <f>MID(C132,6,1)</f>
        <v>A</v>
      </c>
      <c r="D130" s="144" t="str">
        <f t="shared" ref="D130:O130" si="4">MID(D132,6,1)</f>
        <v>S</v>
      </c>
      <c r="E130" s="144" t="str">
        <f t="shared" si="4"/>
        <v>O</v>
      </c>
      <c r="F130" s="144" t="str">
        <f t="shared" si="4"/>
        <v>N</v>
      </c>
      <c r="G130" s="144" t="str">
        <f t="shared" si="4"/>
        <v>D</v>
      </c>
      <c r="H130" s="144" t="str">
        <f t="shared" si="4"/>
        <v>E</v>
      </c>
      <c r="I130" s="144" t="str">
        <f t="shared" si="4"/>
        <v>F</v>
      </c>
      <c r="J130" s="144" t="str">
        <f t="shared" si="4"/>
        <v>M</v>
      </c>
      <c r="K130" s="144" t="str">
        <f t="shared" si="4"/>
        <v>A</v>
      </c>
      <c r="L130" s="144" t="str">
        <f t="shared" si="4"/>
        <v>M</v>
      </c>
      <c r="M130" s="144" t="str">
        <f t="shared" si="4"/>
        <v>J</v>
      </c>
      <c r="N130" s="144" t="str">
        <f t="shared" si="4"/>
        <v>J</v>
      </c>
      <c r="O130" s="144" t="str">
        <f t="shared" si="4"/>
        <v>A</v>
      </c>
      <c r="P130" s="121"/>
      <c r="Q130" s="121"/>
    </row>
    <row r="131" spans="1:17">
      <c r="A131" s="124"/>
      <c r="B131" s="124" t="s">
        <v>27</v>
      </c>
      <c r="C131" s="272" t="s">
        <v>122</v>
      </c>
      <c r="D131" s="273"/>
      <c r="E131" s="273"/>
      <c r="F131" s="273"/>
      <c r="G131" s="273"/>
      <c r="H131" s="273"/>
      <c r="I131" s="273"/>
      <c r="J131" s="273"/>
      <c r="K131" s="273"/>
      <c r="L131" s="273"/>
      <c r="M131" s="273"/>
      <c r="N131" s="273"/>
      <c r="O131" s="273"/>
      <c r="P131" s="121"/>
      <c r="Q131" s="121"/>
    </row>
    <row r="132" spans="1:17">
      <c r="A132" s="124"/>
      <c r="B132" s="125" t="s">
        <v>87</v>
      </c>
      <c r="C132" s="225" t="s">
        <v>211</v>
      </c>
      <c r="D132" s="225" t="s">
        <v>213</v>
      </c>
      <c r="E132" s="225" t="s">
        <v>215</v>
      </c>
      <c r="F132" s="225" t="s">
        <v>218</v>
      </c>
      <c r="G132" s="225" t="s">
        <v>220</v>
      </c>
      <c r="H132" s="225" t="s">
        <v>224</v>
      </c>
      <c r="I132" s="225" t="s">
        <v>226</v>
      </c>
      <c r="J132" s="225" t="s">
        <v>229</v>
      </c>
      <c r="K132" s="225" t="s">
        <v>239</v>
      </c>
      <c r="L132" s="225" t="s">
        <v>242</v>
      </c>
      <c r="M132" s="225" t="s">
        <v>244</v>
      </c>
      <c r="N132" s="225" t="s">
        <v>247</v>
      </c>
      <c r="O132" s="224" t="s">
        <v>281</v>
      </c>
      <c r="P132" s="121"/>
      <c r="Q132" s="121"/>
    </row>
    <row r="133" spans="1:17">
      <c r="A133" s="124" t="s">
        <v>120</v>
      </c>
      <c r="B133" s="124" t="s">
        <v>121</v>
      </c>
      <c r="C133" s="145"/>
      <c r="D133" s="145"/>
      <c r="E133" s="145"/>
      <c r="F133" s="145"/>
      <c r="G133" s="145"/>
      <c r="H133" s="145"/>
      <c r="I133" s="145"/>
      <c r="J133" s="145"/>
      <c r="K133" s="145"/>
      <c r="L133" s="145"/>
      <c r="M133" s="145"/>
      <c r="N133" s="145"/>
      <c r="O133" s="145"/>
      <c r="P133" s="184"/>
      <c r="Q133" s="121"/>
    </row>
    <row r="134" spans="1:17">
      <c r="A134" s="263"/>
      <c r="B134" s="126" t="s">
        <v>19</v>
      </c>
      <c r="C134" s="228">
        <v>0</v>
      </c>
      <c r="D134" s="228">
        <v>0</v>
      </c>
      <c r="E134" s="228">
        <v>0</v>
      </c>
      <c r="F134" s="228">
        <v>0</v>
      </c>
      <c r="G134" s="228">
        <v>0</v>
      </c>
      <c r="H134" s="228">
        <v>58.4</v>
      </c>
      <c r="I134" s="228">
        <v>0</v>
      </c>
      <c r="J134" s="228">
        <v>0</v>
      </c>
      <c r="K134" s="228">
        <v>20382.3</v>
      </c>
      <c r="L134" s="228">
        <v>0</v>
      </c>
      <c r="M134" s="228">
        <v>150</v>
      </c>
      <c r="N134" s="228">
        <v>3396</v>
      </c>
      <c r="O134" s="229">
        <v>6200</v>
      </c>
      <c r="P134" s="184"/>
      <c r="Q134" s="185"/>
    </row>
    <row r="135" spans="1:17">
      <c r="A135" s="255"/>
      <c r="B135" s="126" t="s">
        <v>76</v>
      </c>
      <c r="C135" s="228">
        <v>0</v>
      </c>
      <c r="D135" s="228">
        <v>0</v>
      </c>
      <c r="E135" s="228">
        <v>0</v>
      </c>
      <c r="F135" s="228">
        <v>0</v>
      </c>
      <c r="G135" s="228">
        <v>0</v>
      </c>
      <c r="H135" s="228">
        <v>0</v>
      </c>
      <c r="I135" s="228">
        <v>0</v>
      </c>
      <c r="J135" s="228">
        <v>0</v>
      </c>
      <c r="K135" s="228">
        <v>0</v>
      </c>
      <c r="L135" s="228">
        <v>0</v>
      </c>
      <c r="M135" s="228">
        <v>60.7</v>
      </c>
      <c r="N135" s="228">
        <v>700</v>
      </c>
      <c r="O135" s="229">
        <v>0</v>
      </c>
      <c r="P135" s="184"/>
      <c r="Q135" s="185"/>
    </row>
    <row r="136" spans="1:17">
      <c r="A136" s="255"/>
      <c r="B136" s="126" t="s">
        <v>72</v>
      </c>
      <c r="C136" s="228">
        <v>0</v>
      </c>
      <c r="D136" s="228">
        <v>0</v>
      </c>
      <c r="E136" s="228">
        <v>0</v>
      </c>
      <c r="F136" s="228">
        <v>13528</v>
      </c>
      <c r="G136" s="228">
        <v>0</v>
      </c>
      <c r="H136" s="228">
        <v>1486.2</v>
      </c>
      <c r="I136" s="228">
        <v>0</v>
      </c>
      <c r="J136" s="228">
        <v>260114.1</v>
      </c>
      <c r="K136" s="228">
        <v>267559.5</v>
      </c>
      <c r="L136" s="228">
        <v>363944.9</v>
      </c>
      <c r="M136" s="228">
        <v>25407.8</v>
      </c>
      <c r="N136" s="228">
        <v>19303.400000000001</v>
      </c>
      <c r="O136" s="229">
        <v>3428.3</v>
      </c>
      <c r="P136" s="184"/>
      <c r="Q136" s="185"/>
    </row>
    <row r="137" spans="1:17">
      <c r="A137" s="255"/>
      <c r="B137" s="126" t="s">
        <v>73</v>
      </c>
      <c r="C137" s="228">
        <v>161811</v>
      </c>
      <c r="D137" s="228">
        <v>252325.6</v>
      </c>
      <c r="E137" s="228">
        <v>216291.20000000001</v>
      </c>
      <c r="F137" s="228">
        <v>128228.3</v>
      </c>
      <c r="G137" s="228">
        <v>113359.5</v>
      </c>
      <c r="H137" s="228">
        <v>136200</v>
      </c>
      <c r="I137" s="228">
        <v>176818</v>
      </c>
      <c r="J137" s="228">
        <v>161347</v>
      </c>
      <c r="K137" s="228">
        <v>128080</v>
      </c>
      <c r="L137" s="228">
        <v>122215</v>
      </c>
      <c r="M137" s="228">
        <v>110098</v>
      </c>
      <c r="N137" s="228">
        <v>71343</v>
      </c>
      <c r="O137" s="229">
        <v>0</v>
      </c>
      <c r="P137" s="184"/>
      <c r="Q137" s="185"/>
    </row>
    <row r="138" spans="1:17">
      <c r="A138" s="255"/>
      <c r="B138" s="126" t="s">
        <v>84</v>
      </c>
      <c r="C138" s="228">
        <v>0</v>
      </c>
      <c r="D138" s="228">
        <v>0</v>
      </c>
      <c r="E138" s="228">
        <v>0</v>
      </c>
      <c r="F138" s="228">
        <v>0</v>
      </c>
      <c r="G138" s="228">
        <v>0</v>
      </c>
      <c r="H138" s="228">
        <v>0</v>
      </c>
      <c r="I138" s="228">
        <v>0</v>
      </c>
      <c r="J138" s="228">
        <v>0</v>
      </c>
      <c r="K138" s="228">
        <v>0</v>
      </c>
      <c r="L138" s="228">
        <v>0</v>
      </c>
      <c r="M138" s="228">
        <v>0</v>
      </c>
      <c r="N138" s="228">
        <v>91146</v>
      </c>
      <c r="O138" s="229">
        <v>121642</v>
      </c>
      <c r="P138" s="184"/>
      <c r="Q138" s="185"/>
    </row>
    <row r="139" spans="1:17">
      <c r="A139" s="255"/>
      <c r="B139" s="126" t="s">
        <v>23</v>
      </c>
      <c r="C139" s="228">
        <v>699616.5</v>
      </c>
      <c r="D139" s="228">
        <v>690114.2</v>
      </c>
      <c r="E139" s="228">
        <v>768114.9</v>
      </c>
      <c r="F139" s="228">
        <v>887929.3</v>
      </c>
      <c r="G139" s="228">
        <v>742981.5</v>
      </c>
      <c r="H139" s="228">
        <v>683064</v>
      </c>
      <c r="I139" s="228">
        <v>653295.19999999995</v>
      </c>
      <c r="J139" s="228">
        <v>793527.4</v>
      </c>
      <c r="K139" s="228">
        <v>1154419.5</v>
      </c>
      <c r="L139" s="228">
        <v>2188300.1</v>
      </c>
      <c r="M139" s="228">
        <v>1759263.5</v>
      </c>
      <c r="N139" s="228">
        <v>1466909.1</v>
      </c>
      <c r="O139" s="229">
        <v>1579291.4</v>
      </c>
      <c r="P139" s="184"/>
      <c r="Q139" s="185"/>
    </row>
    <row r="140" spans="1:17">
      <c r="A140" s="255"/>
      <c r="B140" s="126" t="s">
        <v>77</v>
      </c>
      <c r="C140" s="228">
        <v>0</v>
      </c>
      <c r="D140" s="228">
        <v>0</v>
      </c>
      <c r="E140" s="228">
        <v>0</v>
      </c>
      <c r="F140" s="228">
        <v>0</v>
      </c>
      <c r="G140" s="228">
        <v>0</v>
      </c>
      <c r="H140" s="228">
        <v>0</v>
      </c>
      <c r="I140" s="228">
        <v>0</v>
      </c>
      <c r="J140" s="228">
        <v>31.6</v>
      </c>
      <c r="K140" s="228">
        <v>1.3</v>
      </c>
      <c r="L140" s="228">
        <v>0</v>
      </c>
      <c r="M140" s="228">
        <v>0</v>
      </c>
      <c r="N140" s="228">
        <v>0</v>
      </c>
      <c r="O140" s="229">
        <v>0</v>
      </c>
      <c r="P140" s="184"/>
      <c r="Q140" s="185"/>
    </row>
    <row r="141" spans="1:17">
      <c r="A141" s="255"/>
      <c r="B141" s="126" t="s">
        <v>78</v>
      </c>
      <c r="C141" s="228">
        <v>0</v>
      </c>
      <c r="D141" s="228">
        <v>0</v>
      </c>
      <c r="E141" s="228">
        <v>0</v>
      </c>
      <c r="F141" s="228">
        <v>0</v>
      </c>
      <c r="G141" s="228">
        <v>0</v>
      </c>
      <c r="H141" s="228">
        <v>0</v>
      </c>
      <c r="I141" s="228">
        <v>0</v>
      </c>
      <c r="J141" s="228">
        <v>0</v>
      </c>
      <c r="K141" s="228">
        <v>0</v>
      </c>
      <c r="L141" s="228">
        <v>0</v>
      </c>
      <c r="M141" s="228">
        <v>0</v>
      </c>
      <c r="N141" s="228">
        <v>0</v>
      </c>
      <c r="O141" s="229">
        <v>0</v>
      </c>
      <c r="P141" s="184"/>
      <c r="Q141" s="185"/>
    </row>
    <row r="142" spans="1:17">
      <c r="A142" s="255"/>
      <c r="B142" s="126" t="s">
        <v>79</v>
      </c>
      <c r="C142" s="228">
        <v>0</v>
      </c>
      <c r="D142" s="228">
        <v>0</v>
      </c>
      <c r="E142" s="228">
        <v>0</v>
      </c>
      <c r="F142" s="228">
        <v>0</v>
      </c>
      <c r="G142" s="228">
        <v>0</v>
      </c>
      <c r="H142" s="228">
        <v>0</v>
      </c>
      <c r="I142" s="228">
        <v>0</v>
      </c>
      <c r="J142" s="228">
        <v>0</v>
      </c>
      <c r="K142" s="228">
        <v>0</v>
      </c>
      <c r="L142" s="228">
        <v>0</v>
      </c>
      <c r="M142" s="228">
        <v>0</v>
      </c>
      <c r="N142" s="228">
        <v>229.2</v>
      </c>
      <c r="O142" s="229">
        <v>0</v>
      </c>
      <c r="P142" s="184"/>
      <c r="Q142" s="185"/>
    </row>
    <row r="143" spans="1:17">
      <c r="A143" s="255"/>
      <c r="B143" s="126" t="s">
        <v>80</v>
      </c>
      <c r="C143" s="228">
        <v>0</v>
      </c>
      <c r="D143" s="228">
        <v>0</v>
      </c>
      <c r="E143" s="228">
        <v>3132.9</v>
      </c>
      <c r="F143" s="228">
        <v>987.5</v>
      </c>
      <c r="G143" s="228">
        <v>0</v>
      </c>
      <c r="H143" s="228">
        <v>0</v>
      </c>
      <c r="I143" s="228">
        <v>0</v>
      </c>
      <c r="J143" s="228">
        <v>18750.8</v>
      </c>
      <c r="K143" s="228">
        <v>10370.9</v>
      </c>
      <c r="L143" s="228">
        <v>17487.5</v>
      </c>
      <c r="M143" s="228">
        <v>20621.599999999999</v>
      </c>
      <c r="N143" s="228">
        <v>1904.1</v>
      </c>
      <c r="O143" s="229">
        <v>0</v>
      </c>
      <c r="P143" s="184"/>
      <c r="Q143" s="185"/>
    </row>
    <row r="144" spans="1:17">
      <c r="A144" s="255"/>
      <c r="B144" s="126" t="s">
        <v>81</v>
      </c>
      <c r="C144" s="228">
        <v>0</v>
      </c>
      <c r="D144" s="228">
        <v>0</v>
      </c>
      <c r="E144" s="228">
        <v>767.5</v>
      </c>
      <c r="F144" s="228">
        <v>0</v>
      </c>
      <c r="G144" s="228">
        <v>0</v>
      </c>
      <c r="H144" s="228">
        <v>0</v>
      </c>
      <c r="I144" s="228">
        <v>0</v>
      </c>
      <c r="J144" s="228">
        <v>1176.5999999999999</v>
      </c>
      <c r="K144" s="228">
        <v>2988</v>
      </c>
      <c r="L144" s="228">
        <v>3603.7</v>
      </c>
      <c r="M144" s="228">
        <v>1579.6</v>
      </c>
      <c r="N144" s="228">
        <v>198.7</v>
      </c>
      <c r="O144" s="229">
        <v>0</v>
      </c>
      <c r="P144" s="184"/>
      <c r="Q144" s="185"/>
    </row>
    <row r="145" spans="1:17">
      <c r="A145" s="255"/>
      <c r="B145" s="126" t="s">
        <v>86</v>
      </c>
      <c r="C145" s="228">
        <v>0</v>
      </c>
      <c r="D145" s="228">
        <v>0</v>
      </c>
      <c r="E145" s="228">
        <v>0</v>
      </c>
      <c r="F145" s="228">
        <v>0</v>
      </c>
      <c r="G145" s="228">
        <v>0</v>
      </c>
      <c r="H145" s="228">
        <v>0</v>
      </c>
      <c r="I145" s="228">
        <v>0</v>
      </c>
      <c r="J145" s="228">
        <v>0</v>
      </c>
      <c r="K145" s="228">
        <v>0</v>
      </c>
      <c r="L145" s="228">
        <v>0</v>
      </c>
      <c r="M145" s="228">
        <v>0</v>
      </c>
      <c r="N145" s="228">
        <v>0</v>
      </c>
      <c r="O145" s="229">
        <v>0</v>
      </c>
      <c r="P145" s="184"/>
      <c r="Q145" s="185"/>
    </row>
    <row r="146" spans="1:17">
      <c r="A146" s="255"/>
      <c r="B146" s="126" t="s">
        <v>74</v>
      </c>
      <c r="C146" s="228">
        <v>0</v>
      </c>
      <c r="D146" s="228">
        <v>184</v>
      </c>
      <c r="E146" s="228">
        <v>230</v>
      </c>
      <c r="F146" s="228">
        <v>6140.4</v>
      </c>
      <c r="G146" s="228">
        <v>918</v>
      </c>
      <c r="H146" s="228">
        <v>0</v>
      </c>
      <c r="I146" s="228">
        <v>189</v>
      </c>
      <c r="J146" s="228">
        <v>146</v>
      </c>
      <c r="K146" s="228">
        <v>1600</v>
      </c>
      <c r="L146" s="228">
        <v>1600</v>
      </c>
      <c r="M146" s="228">
        <v>936</v>
      </c>
      <c r="N146" s="228">
        <v>2587.5</v>
      </c>
      <c r="O146" s="229">
        <v>6601</v>
      </c>
      <c r="P146" s="184"/>
      <c r="Q146" s="185"/>
    </row>
    <row r="147" spans="1:17">
      <c r="A147" s="255"/>
      <c r="B147" s="126" t="s">
        <v>82</v>
      </c>
      <c r="C147" s="228">
        <v>0</v>
      </c>
      <c r="D147" s="228">
        <v>0</v>
      </c>
      <c r="E147" s="228">
        <v>0</v>
      </c>
      <c r="F147" s="228">
        <v>0</v>
      </c>
      <c r="G147" s="228">
        <v>0</v>
      </c>
      <c r="H147" s="228">
        <v>0</v>
      </c>
      <c r="I147" s="228">
        <v>0</v>
      </c>
      <c r="J147" s="228">
        <v>0</v>
      </c>
      <c r="K147" s="228">
        <v>0</v>
      </c>
      <c r="L147" s="228">
        <v>0</v>
      </c>
      <c r="M147" s="228">
        <v>0</v>
      </c>
      <c r="N147" s="228">
        <v>0</v>
      </c>
      <c r="O147" s="229">
        <v>0</v>
      </c>
      <c r="P147" s="184"/>
      <c r="Q147" s="185"/>
    </row>
    <row r="148" spans="1:17">
      <c r="A148" s="255"/>
      <c r="B148" s="126" t="s">
        <v>83</v>
      </c>
      <c r="C148" s="228">
        <v>0</v>
      </c>
      <c r="D148" s="228">
        <v>0</v>
      </c>
      <c r="E148" s="228">
        <v>0</v>
      </c>
      <c r="F148" s="228">
        <v>0</v>
      </c>
      <c r="G148" s="228">
        <v>0</v>
      </c>
      <c r="H148" s="228">
        <v>0</v>
      </c>
      <c r="I148" s="228">
        <v>0</v>
      </c>
      <c r="J148" s="228">
        <v>0</v>
      </c>
      <c r="K148" s="228">
        <v>0</v>
      </c>
      <c r="L148" s="228">
        <v>0</v>
      </c>
      <c r="M148" s="228">
        <v>0</v>
      </c>
      <c r="N148" s="228">
        <v>0</v>
      </c>
      <c r="O148" s="229">
        <v>0</v>
      </c>
      <c r="P148" s="184"/>
      <c r="Q148" s="185"/>
    </row>
    <row r="149" spans="1:17">
      <c r="A149" s="255"/>
      <c r="B149" s="126" t="s">
        <v>85</v>
      </c>
      <c r="C149" s="228">
        <v>0</v>
      </c>
      <c r="D149" s="228">
        <v>0</v>
      </c>
      <c r="E149" s="228">
        <v>0</v>
      </c>
      <c r="F149" s="228">
        <v>0</v>
      </c>
      <c r="G149" s="228">
        <v>0</v>
      </c>
      <c r="H149" s="228">
        <v>0</v>
      </c>
      <c r="I149" s="228">
        <v>0</v>
      </c>
      <c r="J149" s="228">
        <v>0</v>
      </c>
      <c r="K149" s="228">
        <v>0</v>
      </c>
      <c r="L149" s="228">
        <v>0</v>
      </c>
      <c r="M149" s="228">
        <v>0</v>
      </c>
      <c r="N149" s="228">
        <v>0</v>
      </c>
      <c r="O149" s="229">
        <v>0</v>
      </c>
      <c r="P149" s="184"/>
      <c r="Q149" s="185"/>
    </row>
    <row r="150" spans="1:17">
      <c r="A150" s="255"/>
      <c r="B150" s="126" t="s">
        <v>171</v>
      </c>
      <c r="C150" s="228">
        <v>0</v>
      </c>
      <c r="D150" s="228">
        <v>0</v>
      </c>
      <c r="E150" s="228">
        <v>0</v>
      </c>
      <c r="F150" s="228">
        <v>0</v>
      </c>
      <c r="G150" s="228">
        <v>0</v>
      </c>
      <c r="H150" s="228">
        <v>0</v>
      </c>
      <c r="I150" s="228">
        <v>0</v>
      </c>
      <c r="J150" s="228">
        <v>0</v>
      </c>
      <c r="K150" s="228">
        <v>0</v>
      </c>
      <c r="L150" s="228">
        <v>0</v>
      </c>
      <c r="M150" s="228">
        <v>0</v>
      </c>
      <c r="N150" s="228">
        <v>0</v>
      </c>
      <c r="O150" s="229">
        <v>0</v>
      </c>
      <c r="P150" s="184"/>
      <c r="Q150" s="185"/>
    </row>
    <row r="151" spans="1:17">
      <c r="A151" s="255"/>
      <c r="B151" s="126" t="s">
        <v>209</v>
      </c>
      <c r="C151" s="228">
        <v>0</v>
      </c>
      <c r="D151" s="228">
        <v>0</v>
      </c>
      <c r="E151" s="228">
        <v>0</v>
      </c>
      <c r="F151" s="228">
        <v>0</v>
      </c>
      <c r="G151" s="228">
        <v>0</v>
      </c>
      <c r="H151" s="228">
        <v>0</v>
      </c>
      <c r="I151" s="228">
        <v>0</v>
      </c>
      <c r="J151" s="228">
        <v>0</v>
      </c>
      <c r="K151" s="228">
        <v>0</v>
      </c>
      <c r="L151" s="228">
        <v>0</v>
      </c>
      <c r="M151" s="228">
        <v>0</v>
      </c>
      <c r="N151" s="228">
        <v>0</v>
      </c>
      <c r="O151" s="229">
        <v>0</v>
      </c>
      <c r="P151" s="184"/>
      <c r="Q151" s="185"/>
    </row>
    <row r="152" spans="1:17">
      <c r="A152" s="255"/>
      <c r="B152" s="126" t="s">
        <v>210</v>
      </c>
      <c r="C152" s="228">
        <v>0</v>
      </c>
      <c r="D152" s="228">
        <v>0</v>
      </c>
      <c r="E152" s="228">
        <v>0</v>
      </c>
      <c r="F152" s="228">
        <v>0</v>
      </c>
      <c r="G152" s="228">
        <v>0</v>
      </c>
      <c r="H152" s="228">
        <v>0</v>
      </c>
      <c r="I152" s="228">
        <v>0</v>
      </c>
      <c r="J152" s="228">
        <v>0</v>
      </c>
      <c r="K152" s="228">
        <v>0</v>
      </c>
      <c r="L152" s="228">
        <v>0</v>
      </c>
      <c r="M152" s="228">
        <v>0</v>
      </c>
      <c r="N152" s="228">
        <v>0</v>
      </c>
      <c r="O152" s="229">
        <v>0</v>
      </c>
      <c r="P152" s="157">
        <f>O153/C153-1</f>
        <v>0.99339201499836016</v>
      </c>
      <c r="Q152" s="156"/>
    </row>
    <row r="153" spans="1:17">
      <c r="A153" s="253"/>
      <c r="B153" s="187" t="s">
        <v>0</v>
      </c>
      <c r="C153" s="230">
        <v>861427.5</v>
      </c>
      <c r="D153" s="230">
        <v>942623.8</v>
      </c>
      <c r="E153" s="230">
        <v>988536.5</v>
      </c>
      <c r="F153" s="230">
        <v>1036813.5</v>
      </c>
      <c r="G153" s="230">
        <v>857259</v>
      </c>
      <c r="H153" s="230">
        <v>820808.6</v>
      </c>
      <c r="I153" s="230">
        <v>830302.2</v>
      </c>
      <c r="J153" s="230">
        <v>1235093.5</v>
      </c>
      <c r="K153" s="230">
        <v>1585401.5</v>
      </c>
      <c r="L153" s="230">
        <v>2697151.2</v>
      </c>
      <c r="M153" s="230">
        <v>1918117.2</v>
      </c>
      <c r="N153" s="230">
        <v>1657717</v>
      </c>
      <c r="O153" s="231">
        <v>1717162.7</v>
      </c>
      <c r="P153" s="184"/>
      <c r="Q153" s="157"/>
    </row>
    <row r="154" spans="1:17">
      <c r="A154" s="263"/>
      <c r="B154" s="126" t="s">
        <v>19</v>
      </c>
      <c r="C154" s="228">
        <v>2395.8000000000002</v>
      </c>
      <c r="D154" s="228">
        <v>2369.3000000000002</v>
      </c>
      <c r="E154" s="228">
        <v>2467.9</v>
      </c>
      <c r="F154" s="228">
        <v>3355.5</v>
      </c>
      <c r="G154" s="228">
        <v>2291.6999999999998</v>
      </c>
      <c r="H154" s="228">
        <v>1202</v>
      </c>
      <c r="I154" s="228">
        <v>143.30000000000001</v>
      </c>
      <c r="J154" s="228">
        <v>655.7</v>
      </c>
      <c r="K154" s="228">
        <v>2348.1</v>
      </c>
      <c r="L154" s="228">
        <v>9496.2999999999993</v>
      </c>
      <c r="M154" s="228">
        <v>8559.4</v>
      </c>
      <c r="N154" s="228">
        <v>5351.7</v>
      </c>
      <c r="O154" s="229">
        <v>5333.8</v>
      </c>
      <c r="P154" s="184"/>
      <c r="Q154" s="157"/>
    </row>
    <row r="155" spans="1:17">
      <c r="A155" s="255"/>
      <c r="B155" s="126" t="s">
        <v>76</v>
      </c>
      <c r="C155" s="228">
        <v>0</v>
      </c>
      <c r="D155" s="228">
        <v>464</v>
      </c>
      <c r="E155" s="228">
        <v>0</v>
      </c>
      <c r="F155" s="228">
        <v>1125.2</v>
      </c>
      <c r="G155" s="228">
        <v>346.9</v>
      </c>
      <c r="H155" s="228">
        <v>0</v>
      </c>
      <c r="I155" s="228">
        <v>0</v>
      </c>
      <c r="J155" s="228">
        <v>0</v>
      </c>
      <c r="K155" s="228">
        <v>0</v>
      </c>
      <c r="L155" s="228">
        <v>0</v>
      </c>
      <c r="M155" s="228">
        <v>0</v>
      </c>
      <c r="N155" s="228">
        <v>809</v>
      </c>
      <c r="O155" s="229">
        <v>2955</v>
      </c>
      <c r="P155" s="184"/>
      <c r="Q155" s="157"/>
    </row>
    <row r="156" spans="1:17">
      <c r="A156" s="255"/>
      <c r="B156" s="126" t="s">
        <v>72</v>
      </c>
      <c r="C156" s="228">
        <v>0</v>
      </c>
      <c r="D156" s="228">
        <v>0</v>
      </c>
      <c r="E156" s="228">
        <v>0</v>
      </c>
      <c r="F156" s="228">
        <v>0</v>
      </c>
      <c r="G156" s="228">
        <v>0</v>
      </c>
      <c r="H156" s="228">
        <v>0</v>
      </c>
      <c r="I156" s="228">
        <v>0</v>
      </c>
      <c r="J156" s="228">
        <v>0</v>
      </c>
      <c r="K156" s="228">
        <v>0</v>
      </c>
      <c r="L156" s="228">
        <v>0</v>
      </c>
      <c r="M156" s="228">
        <v>0</v>
      </c>
      <c r="N156" s="228">
        <v>6512</v>
      </c>
      <c r="O156" s="229">
        <v>0</v>
      </c>
      <c r="P156" s="184"/>
      <c r="Q156" s="157"/>
    </row>
    <row r="157" spans="1:17">
      <c r="A157" s="255"/>
      <c r="B157" s="126" t="s">
        <v>73</v>
      </c>
      <c r="C157" s="228">
        <v>0</v>
      </c>
      <c r="D157" s="228">
        <v>0</v>
      </c>
      <c r="E157" s="228">
        <v>0</v>
      </c>
      <c r="F157" s="228">
        <v>0</v>
      </c>
      <c r="G157" s="228">
        <v>0</v>
      </c>
      <c r="H157" s="228">
        <v>0</v>
      </c>
      <c r="I157" s="228">
        <v>0</v>
      </c>
      <c r="J157" s="228">
        <v>0</v>
      </c>
      <c r="K157" s="228">
        <v>0</v>
      </c>
      <c r="L157" s="228">
        <v>0</v>
      </c>
      <c r="M157" s="228">
        <v>0</v>
      </c>
      <c r="N157" s="228">
        <v>0</v>
      </c>
      <c r="O157" s="229">
        <v>0</v>
      </c>
      <c r="P157" s="184"/>
      <c r="Q157" s="157"/>
    </row>
    <row r="158" spans="1:17">
      <c r="A158" s="255"/>
      <c r="B158" s="126" t="s">
        <v>84</v>
      </c>
      <c r="C158" s="228">
        <v>0</v>
      </c>
      <c r="D158" s="228">
        <v>0</v>
      </c>
      <c r="E158" s="228">
        <v>0</v>
      </c>
      <c r="F158" s="228">
        <v>0</v>
      </c>
      <c r="G158" s="228">
        <v>0</v>
      </c>
      <c r="H158" s="228">
        <v>0</v>
      </c>
      <c r="I158" s="228">
        <v>0</v>
      </c>
      <c r="J158" s="228">
        <v>0</v>
      </c>
      <c r="K158" s="228">
        <v>0</v>
      </c>
      <c r="L158" s="228">
        <v>0</v>
      </c>
      <c r="M158" s="228">
        <v>0</v>
      </c>
      <c r="N158" s="228">
        <v>0</v>
      </c>
      <c r="O158" s="229">
        <v>0</v>
      </c>
      <c r="P158" s="184"/>
      <c r="Q158" s="157"/>
    </row>
    <row r="159" spans="1:17">
      <c r="A159" s="255"/>
      <c r="B159" s="126" t="s">
        <v>23</v>
      </c>
      <c r="C159" s="228">
        <v>168.2</v>
      </c>
      <c r="D159" s="228">
        <v>1706.2</v>
      </c>
      <c r="E159" s="228">
        <v>2400.8000000000002</v>
      </c>
      <c r="F159" s="228">
        <v>0</v>
      </c>
      <c r="G159" s="228">
        <v>15185.5</v>
      </c>
      <c r="H159" s="228">
        <v>0</v>
      </c>
      <c r="I159" s="228">
        <v>0</v>
      </c>
      <c r="J159" s="228">
        <v>0</v>
      </c>
      <c r="K159" s="228">
        <v>0</v>
      </c>
      <c r="L159" s="228">
        <v>0</v>
      </c>
      <c r="M159" s="228">
        <v>4</v>
      </c>
      <c r="N159" s="228">
        <v>1003.5</v>
      </c>
      <c r="O159" s="229">
        <v>50</v>
      </c>
      <c r="P159" s="184"/>
      <c r="Q159" s="157"/>
    </row>
    <row r="160" spans="1:17">
      <c r="A160" s="255"/>
      <c r="B160" s="126" t="s">
        <v>77</v>
      </c>
      <c r="C160" s="228">
        <v>45324.7</v>
      </c>
      <c r="D160" s="228">
        <v>86223.9</v>
      </c>
      <c r="E160" s="228">
        <v>68222.2</v>
      </c>
      <c r="F160" s="228">
        <v>231610.6</v>
      </c>
      <c r="G160" s="228">
        <v>118243.7</v>
      </c>
      <c r="H160" s="228">
        <v>118105.1</v>
      </c>
      <c r="I160" s="228">
        <v>19851.3</v>
      </c>
      <c r="J160" s="228">
        <v>29282.9</v>
      </c>
      <c r="K160" s="228">
        <v>23186.2</v>
      </c>
      <c r="L160" s="228">
        <v>17699.400000000001</v>
      </c>
      <c r="M160" s="228">
        <v>18495.599999999999</v>
      </c>
      <c r="N160" s="228">
        <v>208879.1</v>
      </c>
      <c r="O160" s="229">
        <v>56148.9</v>
      </c>
      <c r="P160" s="184"/>
      <c r="Q160" s="157"/>
    </row>
    <row r="161" spans="1:20">
      <c r="A161" s="255"/>
      <c r="B161" s="126" t="s">
        <v>78</v>
      </c>
      <c r="C161" s="228">
        <v>34473.199999999997</v>
      </c>
      <c r="D161" s="228">
        <v>19002.7</v>
      </c>
      <c r="E161" s="228">
        <v>16033.9</v>
      </c>
      <c r="F161" s="228">
        <v>28940.6</v>
      </c>
      <c r="G161" s="228">
        <v>9850</v>
      </c>
      <c r="H161" s="228">
        <v>23597.4</v>
      </c>
      <c r="I161" s="228">
        <v>11181.5</v>
      </c>
      <c r="J161" s="228">
        <v>28184.799999999999</v>
      </c>
      <c r="K161" s="228">
        <v>17070.3</v>
      </c>
      <c r="L161" s="228">
        <v>74426.899999999994</v>
      </c>
      <c r="M161" s="228">
        <v>117687.5</v>
      </c>
      <c r="N161" s="228">
        <v>774289.5</v>
      </c>
      <c r="O161" s="229">
        <v>476231.7</v>
      </c>
      <c r="P161" s="184"/>
      <c r="Q161" s="157"/>
    </row>
    <row r="162" spans="1:20">
      <c r="A162" s="255"/>
      <c r="B162" s="126" t="s">
        <v>79</v>
      </c>
      <c r="C162" s="228">
        <v>45551.6</v>
      </c>
      <c r="D162" s="228">
        <v>4378</v>
      </c>
      <c r="E162" s="228">
        <v>4831.1000000000004</v>
      </c>
      <c r="F162" s="228">
        <v>1321.5</v>
      </c>
      <c r="G162" s="228">
        <v>3510.4</v>
      </c>
      <c r="H162" s="228">
        <v>2970.4</v>
      </c>
      <c r="I162" s="228">
        <v>6509.7</v>
      </c>
      <c r="J162" s="228">
        <v>18812.8</v>
      </c>
      <c r="K162" s="228">
        <v>4704.6000000000004</v>
      </c>
      <c r="L162" s="228">
        <v>35576.1</v>
      </c>
      <c r="M162" s="228">
        <v>41536</v>
      </c>
      <c r="N162" s="228">
        <v>120438.3</v>
      </c>
      <c r="O162" s="229">
        <v>162140.4</v>
      </c>
      <c r="P162" s="184"/>
      <c r="Q162" s="157"/>
    </row>
    <row r="163" spans="1:20">
      <c r="A163" s="255"/>
      <c r="B163" s="126" t="s">
        <v>80</v>
      </c>
      <c r="C163" s="228">
        <v>5587.1</v>
      </c>
      <c r="D163" s="228">
        <v>13252.9</v>
      </c>
      <c r="E163" s="228">
        <v>5966.6</v>
      </c>
      <c r="F163" s="228">
        <v>583</v>
      </c>
      <c r="G163" s="228">
        <v>837.6</v>
      </c>
      <c r="H163" s="228">
        <v>3429</v>
      </c>
      <c r="I163" s="228">
        <v>111.1</v>
      </c>
      <c r="J163" s="228">
        <v>859.2</v>
      </c>
      <c r="K163" s="228">
        <v>4456.8999999999996</v>
      </c>
      <c r="L163" s="228">
        <v>4609.7</v>
      </c>
      <c r="M163" s="228">
        <v>6809.1</v>
      </c>
      <c r="N163" s="228">
        <v>32112.6</v>
      </c>
      <c r="O163" s="229">
        <v>6711.8</v>
      </c>
      <c r="P163" s="184"/>
      <c r="Q163" s="157"/>
      <c r="R163" s="164"/>
      <c r="S163" s="164"/>
      <c r="T163" s="164"/>
    </row>
    <row r="164" spans="1:20">
      <c r="A164" s="255"/>
      <c r="B164" s="126" t="s">
        <v>81</v>
      </c>
      <c r="C164" s="228">
        <v>2766.6</v>
      </c>
      <c r="D164" s="228">
        <v>4253.3</v>
      </c>
      <c r="E164" s="228">
        <v>1216.3</v>
      </c>
      <c r="F164" s="228">
        <v>274.10000000000002</v>
      </c>
      <c r="G164" s="228">
        <v>678.2</v>
      </c>
      <c r="H164" s="228">
        <v>1474.8</v>
      </c>
      <c r="I164" s="228">
        <v>12</v>
      </c>
      <c r="J164" s="228">
        <v>485.5</v>
      </c>
      <c r="K164" s="228">
        <v>2920.3</v>
      </c>
      <c r="L164" s="228">
        <v>3843</v>
      </c>
      <c r="M164" s="228">
        <v>7273.5</v>
      </c>
      <c r="N164" s="228">
        <v>10545</v>
      </c>
      <c r="O164" s="229">
        <v>7511.7</v>
      </c>
      <c r="P164" s="184"/>
      <c r="Q164" s="157"/>
      <c r="R164" s="164"/>
      <c r="S164" s="164"/>
      <c r="T164" s="164"/>
    </row>
    <row r="165" spans="1:20">
      <c r="A165" s="255"/>
      <c r="B165" s="126" t="s">
        <v>86</v>
      </c>
      <c r="C165" s="228">
        <v>100</v>
      </c>
      <c r="D165" s="228">
        <v>0</v>
      </c>
      <c r="E165" s="228">
        <v>0</v>
      </c>
      <c r="F165" s="228">
        <v>0</v>
      </c>
      <c r="G165" s="228">
        <v>0</v>
      </c>
      <c r="H165" s="228">
        <v>0</v>
      </c>
      <c r="I165" s="228">
        <v>0</v>
      </c>
      <c r="J165" s="228">
        <v>0</v>
      </c>
      <c r="K165" s="228">
        <v>0</v>
      </c>
      <c r="L165" s="228">
        <v>0</v>
      </c>
      <c r="M165" s="228">
        <v>0</v>
      </c>
      <c r="N165" s="228">
        <v>3546</v>
      </c>
      <c r="O165" s="229">
        <v>118</v>
      </c>
      <c r="P165" s="184"/>
      <c r="Q165" s="157"/>
      <c r="R165" s="164"/>
      <c r="S165" s="164"/>
      <c r="T165" s="164"/>
    </row>
    <row r="166" spans="1:20">
      <c r="A166" s="255"/>
      <c r="B166" s="126" t="s">
        <v>74</v>
      </c>
      <c r="C166" s="228">
        <v>0</v>
      </c>
      <c r="D166" s="228">
        <v>0</v>
      </c>
      <c r="E166" s="228">
        <v>308</v>
      </c>
      <c r="F166" s="228">
        <v>0</v>
      </c>
      <c r="G166" s="228">
        <v>0</v>
      </c>
      <c r="H166" s="228">
        <v>0</v>
      </c>
      <c r="I166" s="228">
        <v>0</v>
      </c>
      <c r="J166" s="228">
        <v>190</v>
      </c>
      <c r="K166" s="228">
        <v>0</v>
      </c>
      <c r="L166" s="228">
        <v>0</v>
      </c>
      <c r="M166" s="228">
        <v>0</v>
      </c>
      <c r="N166" s="228">
        <v>0</v>
      </c>
      <c r="O166" s="229">
        <v>0</v>
      </c>
      <c r="P166" s="184"/>
      <c r="Q166" s="157"/>
      <c r="R166" s="164"/>
      <c r="S166" s="164"/>
      <c r="T166" s="164"/>
    </row>
    <row r="167" spans="1:20">
      <c r="A167" s="255"/>
      <c r="B167" s="126" t="s">
        <v>82</v>
      </c>
      <c r="C167" s="228">
        <v>0</v>
      </c>
      <c r="D167" s="228">
        <v>0</v>
      </c>
      <c r="E167" s="228">
        <v>0</v>
      </c>
      <c r="F167" s="228">
        <v>0</v>
      </c>
      <c r="G167" s="228">
        <v>0</v>
      </c>
      <c r="H167" s="228">
        <v>0</v>
      </c>
      <c r="I167" s="228">
        <v>0</v>
      </c>
      <c r="J167" s="228">
        <v>0</v>
      </c>
      <c r="K167" s="228">
        <v>0</v>
      </c>
      <c r="L167" s="228">
        <v>0</v>
      </c>
      <c r="M167" s="228">
        <v>0</v>
      </c>
      <c r="N167" s="228">
        <v>0</v>
      </c>
      <c r="O167" s="229">
        <v>0</v>
      </c>
      <c r="P167" s="184"/>
      <c r="Q167" s="157"/>
      <c r="R167" s="164"/>
      <c r="S167" s="164"/>
      <c r="T167" s="164"/>
    </row>
    <row r="168" spans="1:20">
      <c r="A168" s="255"/>
      <c r="B168" s="126" t="s">
        <v>83</v>
      </c>
      <c r="C168" s="228">
        <v>0</v>
      </c>
      <c r="D168" s="228">
        <v>0</v>
      </c>
      <c r="E168" s="228">
        <v>0</v>
      </c>
      <c r="F168" s="228">
        <v>0</v>
      </c>
      <c r="G168" s="228">
        <v>0</v>
      </c>
      <c r="H168" s="228">
        <v>0</v>
      </c>
      <c r="I168" s="228">
        <v>0</v>
      </c>
      <c r="J168" s="228">
        <v>0</v>
      </c>
      <c r="K168" s="228">
        <v>0</v>
      </c>
      <c r="L168" s="228">
        <v>0</v>
      </c>
      <c r="M168" s="228">
        <v>0</v>
      </c>
      <c r="N168" s="228">
        <v>0</v>
      </c>
      <c r="O168" s="229">
        <v>0</v>
      </c>
      <c r="P168" s="184"/>
      <c r="Q168" s="157"/>
      <c r="R168" s="164"/>
      <c r="S168" s="164"/>
      <c r="T168" s="164"/>
    </row>
    <row r="169" spans="1:20">
      <c r="A169" s="255"/>
      <c r="B169" s="126" t="s">
        <v>85</v>
      </c>
      <c r="C169" s="228">
        <v>0</v>
      </c>
      <c r="D169" s="228">
        <v>0</v>
      </c>
      <c r="E169" s="228">
        <v>0</v>
      </c>
      <c r="F169" s="228">
        <v>0</v>
      </c>
      <c r="G169" s="228">
        <v>0</v>
      </c>
      <c r="H169" s="228">
        <v>0</v>
      </c>
      <c r="I169" s="228">
        <v>0</v>
      </c>
      <c r="J169" s="228">
        <v>0</v>
      </c>
      <c r="K169" s="228">
        <v>0</v>
      </c>
      <c r="L169" s="228">
        <v>0</v>
      </c>
      <c r="M169" s="228">
        <v>0</v>
      </c>
      <c r="N169" s="228">
        <v>0</v>
      </c>
      <c r="O169" s="229">
        <v>0</v>
      </c>
      <c r="P169" s="184"/>
      <c r="Q169" s="157"/>
      <c r="R169" s="164"/>
      <c r="S169" s="164"/>
      <c r="T169" s="164"/>
    </row>
    <row r="170" spans="1:20">
      <c r="A170" s="255"/>
      <c r="B170" s="126" t="s">
        <v>171</v>
      </c>
      <c r="C170" s="228">
        <v>0</v>
      </c>
      <c r="D170" s="228">
        <v>0</v>
      </c>
      <c r="E170" s="228">
        <v>0</v>
      </c>
      <c r="F170" s="228">
        <v>0</v>
      </c>
      <c r="G170" s="228">
        <v>0</v>
      </c>
      <c r="H170" s="228">
        <v>0</v>
      </c>
      <c r="I170" s="228">
        <v>0</v>
      </c>
      <c r="J170" s="228">
        <v>0</v>
      </c>
      <c r="K170" s="228">
        <v>0</v>
      </c>
      <c r="L170" s="228">
        <v>0</v>
      </c>
      <c r="M170" s="228">
        <v>0</v>
      </c>
      <c r="N170" s="228">
        <v>0</v>
      </c>
      <c r="O170" s="229">
        <v>0</v>
      </c>
      <c r="P170" s="184"/>
      <c r="Q170" s="157"/>
      <c r="R170" s="164"/>
      <c r="S170" s="164"/>
      <c r="T170" s="164"/>
    </row>
    <row r="171" spans="1:20">
      <c r="A171" s="255"/>
      <c r="B171" s="126" t="s">
        <v>209</v>
      </c>
      <c r="C171" s="228">
        <v>0</v>
      </c>
      <c r="D171" s="228">
        <v>0</v>
      </c>
      <c r="E171" s="228">
        <v>0</v>
      </c>
      <c r="F171" s="228">
        <v>0</v>
      </c>
      <c r="G171" s="228">
        <v>0</v>
      </c>
      <c r="H171" s="228">
        <v>0</v>
      </c>
      <c r="I171" s="228">
        <v>0</v>
      </c>
      <c r="J171" s="228">
        <v>0</v>
      </c>
      <c r="K171" s="228">
        <v>0</v>
      </c>
      <c r="L171" s="228">
        <v>0</v>
      </c>
      <c r="M171" s="228">
        <v>0</v>
      </c>
      <c r="N171" s="228">
        <v>0</v>
      </c>
      <c r="O171" s="229">
        <v>0</v>
      </c>
      <c r="P171" s="157">
        <f>O173/C173-1</f>
        <v>4.2783851248687359</v>
      </c>
      <c r="Q171" s="157"/>
      <c r="R171" s="164"/>
      <c r="S171" s="164"/>
      <c r="T171" s="164"/>
    </row>
    <row r="172" spans="1:20">
      <c r="A172" s="255"/>
      <c r="B172" s="126" t="s">
        <v>210</v>
      </c>
      <c r="C172" s="228">
        <v>0</v>
      </c>
      <c r="D172" s="228">
        <v>0</v>
      </c>
      <c r="E172" s="228">
        <v>242.7</v>
      </c>
      <c r="F172" s="228">
        <v>820.6</v>
      </c>
      <c r="G172" s="228">
        <v>588.70000000000005</v>
      </c>
      <c r="H172" s="228">
        <v>844.6</v>
      </c>
      <c r="I172" s="228">
        <v>129.19999999999999</v>
      </c>
      <c r="J172" s="228">
        <v>1191.4000000000001</v>
      </c>
      <c r="K172" s="228">
        <v>512.9</v>
      </c>
      <c r="L172" s="228">
        <v>3501.6</v>
      </c>
      <c r="M172" s="228">
        <v>9288</v>
      </c>
      <c r="N172" s="228">
        <v>12956.4</v>
      </c>
      <c r="O172" s="229">
        <v>2597.3000000000002</v>
      </c>
      <c r="P172" s="170"/>
      <c r="Q172" s="164"/>
      <c r="R172" s="164"/>
      <c r="S172" s="164"/>
      <c r="T172" s="164"/>
    </row>
    <row r="173" spans="1:20">
      <c r="A173" s="253"/>
      <c r="B173" s="187" t="s">
        <v>0</v>
      </c>
      <c r="C173" s="230">
        <v>136367.20000000001</v>
      </c>
      <c r="D173" s="230">
        <v>131650.29999999999</v>
      </c>
      <c r="E173" s="230">
        <v>101689.5</v>
      </c>
      <c r="F173" s="230">
        <v>268031.09999999998</v>
      </c>
      <c r="G173" s="230">
        <v>151532.70000000001</v>
      </c>
      <c r="H173" s="230">
        <v>151623.29999999999</v>
      </c>
      <c r="I173" s="230">
        <v>37938.1</v>
      </c>
      <c r="J173" s="230">
        <v>79662.3</v>
      </c>
      <c r="K173" s="230">
        <v>55199.3</v>
      </c>
      <c r="L173" s="230">
        <v>149153</v>
      </c>
      <c r="M173" s="230">
        <v>209653.1</v>
      </c>
      <c r="N173" s="230">
        <v>1176443.1000000001</v>
      </c>
      <c r="O173" s="231">
        <v>719798.6</v>
      </c>
      <c r="P173" s="164"/>
      <c r="Q173" s="164"/>
      <c r="R173" s="164"/>
      <c r="S173" s="164"/>
      <c r="T173" s="164"/>
    </row>
    <row r="174" spans="1:20">
      <c r="A174" s="189"/>
      <c r="B174" s="189"/>
      <c r="C174" s="189"/>
      <c r="D174" s="189"/>
      <c r="E174" s="189"/>
      <c r="F174" s="189"/>
      <c r="G174" s="189"/>
      <c r="H174" s="189"/>
      <c r="I174" s="189"/>
      <c r="J174" s="189"/>
      <c r="K174" s="189"/>
      <c r="L174" s="189"/>
      <c r="M174" s="189"/>
      <c r="N174" s="189"/>
      <c r="O174" s="189"/>
      <c r="P174" s="189"/>
      <c r="Q174" s="189"/>
      <c r="R174" s="164"/>
      <c r="S174" s="164"/>
      <c r="T174" s="164"/>
    </row>
    <row r="175" spans="1:20">
      <c r="A175" s="190"/>
      <c r="B175" s="190"/>
      <c r="C175" s="190"/>
      <c r="D175" s="190"/>
      <c r="E175" s="190"/>
      <c r="F175" s="190"/>
      <c r="G175" s="190"/>
      <c r="H175" s="190"/>
      <c r="I175" s="190"/>
      <c r="J175" s="190"/>
      <c r="K175" s="190"/>
      <c r="L175" s="190"/>
      <c r="M175" s="190"/>
      <c r="N175" s="190"/>
      <c r="O175" s="190"/>
      <c r="P175" s="190"/>
      <c r="Q175" s="190"/>
      <c r="R175" s="164"/>
      <c r="S175" s="164"/>
      <c r="T175" s="164"/>
    </row>
    <row r="176" spans="1:20">
      <c r="O176" s="164"/>
      <c r="P176" s="164"/>
      <c r="Q176" s="164"/>
      <c r="R176" s="164"/>
      <c r="S176" s="164"/>
      <c r="T176" s="164"/>
    </row>
    <row r="177" spans="1:21">
      <c r="O177" s="164"/>
      <c r="P177" s="164"/>
      <c r="Q177" s="164"/>
      <c r="R177" s="164"/>
      <c r="S177" s="164"/>
      <c r="T177" s="164"/>
    </row>
    <row r="179" spans="1:21">
      <c r="A179" s="84" t="s">
        <v>221</v>
      </c>
      <c r="B179" s="164"/>
    </row>
    <row r="180" spans="1:21">
      <c r="B180" s="167" t="str">
        <f>MID(B181,6,1)</f>
        <v>A</v>
      </c>
      <c r="C180" s="167" t="str">
        <f t="shared" ref="C180:N180" si="5">MID(C181,6,1)</f>
        <v>S</v>
      </c>
      <c r="D180" s="167" t="str">
        <f t="shared" si="5"/>
        <v>O</v>
      </c>
      <c r="E180" s="167" t="str">
        <f t="shared" si="5"/>
        <v>N</v>
      </c>
      <c r="F180" s="167" t="str">
        <f t="shared" si="5"/>
        <v>D</v>
      </c>
      <c r="G180" s="167" t="str">
        <f t="shared" si="5"/>
        <v>E</v>
      </c>
      <c r="H180" s="167" t="str">
        <f t="shared" si="5"/>
        <v>F</v>
      </c>
      <c r="I180" s="167" t="str">
        <f t="shared" si="5"/>
        <v>M</v>
      </c>
      <c r="J180" s="167" t="str">
        <f t="shared" si="5"/>
        <v>A</v>
      </c>
      <c r="K180" s="167" t="str">
        <f t="shared" si="5"/>
        <v>M</v>
      </c>
      <c r="L180" s="167" t="str">
        <f t="shared" si="5"/>
        <v>J</v>
      </c>
      <c r="M180" s="167" t="str">
        <f t="shared" si="5"/>
        <v>J</v>
      </c>
      <c r="N180" s="167" t="str">
        <f t="shared" si="5"/>
        <v>A</v>
      </c>
    </row>
    <row r="181" spans="1:21">
      <c r="A181" s="124" t="s">
        <v>87</v>
      </c>
      <c r="B181" s="232" t="s">
        <v>211</v>
      </c>
      <c r="C181" s="232" t="s">
        <v>213</v>
      </c>
      <c r="D181" s="232" t="s">
        <v>215</v>
      </c>
      <c r="E181" s="232" t="s">
        <v>218</v>
      </c>
      <c r="F181" s="232" t="s">
        <v>220</v>
      </c>
      <c r="G181" s="232" t="s">
        <v>224</v>
      </c>
      <c r="H181" s="232" t="s">
        <v>226</v>
      </c>
      <c r="I181" s="232" t="s">
        <v>229</v>
      </c>
      <c r="J181" s="232" t="s">
        <v>239</v>
      </c>
      <c r="K181" s="232" t="s">
        <v>242</v>
      </c>
      <c r="L181" s="232" t="s">
        <v>244</v>
      </c>
      <c r="M181" s="232" t="s">
        <v>247</v>
      </c>
      <c r="N181" s="233" t="s">
        <v>281</v>
      </c>
      <c r="P181" s="121"/>
    </row>
    <row r="182" spans="1:21">
      <c r="A182" s="124" t="s">
        <v>27</v>
      </c>
      <c r="B182" s="225"/>
      <c r="C182" s="225"/>
      <c r="D182" s="225"/>
      <c r="E182" s="225"/>
      <c r="F182" s="225"/>
      <c r="G182" s="225"/>
      <c r="H182" s="225"/>
      <c r="I182" s="225"/>
      <c r="J182" s="225"/>
      <c r="K182" s="225"/>
      <c r="L182" s="225"/>
      <c r="M182" s="225"/>
      <c r="N182" s="224"/>
      <c r="P182" s="121"/>
    </row>
    <row r="183" spans="1:21">
      <c r="A183" s="126" t="s">
        <v>60</v>
      </c>
      <c r="B183" s="226">
        <v>896.60181451613005</v>
      </c>
      <c r="C183" s="226">
        <v>904.94791666666754</v>
      </c>
      <c r="D183" s="226">
        <v>1016.824496644295</v>
      </c>
      <c r="E183" s="226">
        <v>1105.60625</v>
      </c>
      <c r="F183" s="226">
        <v>1182.3212365591401</v>
      </c>
      <c r="G183" s="226">
        <v>1150.9126344086026</v>
      </c>
      <c r="H183" s="226">
        <v>1147.5163690476199</v>
      </c>
      <c r="I183" s="226">
        <v>1173.7688425302824</v>
      </c>
      <c r="J183" s="226">
        <v>1181.7873427672951</v>
      </c>
      <c r="K183" s="226">
        <v>1193.7315188172049</v>
      </c>
      <c r="L183" s="226">
        <v>1196.7270833333325</v>
      </c>
      <c r="M183" s="226">
        <v>1194.8914650537624</v>
      </c>
      <c r="N183" s="227">
        <v>1193.3899305555551</v>
      </c>
      <c r="O183" s="158">
        <f>N183/B183-1</f>
        <v>0.33101440487223743</v>
      </c>
      <c r="P183" s="121"/>
    </row>
    <row r="184" spans="1:21">
      <c r="A184" s="126" t="s">
        <v>61</v>
      </c>
      <c r="B184" s="226">
        <v>897.21471774193503</v>
      </c>
      <c r="C184" s="226">
        <v>906.32291666666754</v>
      </c>
      <c r="D184" s="226">
        <v>1012.71845637584</v>
      </c>
      <c r="E184" s="226">
        <v>1105.963194444445</v>
      </c>
      <c r="F184" s="226">
        <v>1174.3723118279574</v>
      </c>
      <c r="G184" s="226">
        <v>1129.192204301075</v>
      </c>
      <c r="H184" s="226">
        <v>1128.565476190475</v>
      </c>
      <c r="I184" s="226">
        <v>1181.1537685060575</v>
      </c>
      <c r="J184" s="226">
        <v>1185.1831761006299</v>
      </c>
      <c r="K184" s="226">
        <v>1194.9334677419349</v>
      </c>
      <c r="L184" s="226">
        <v>1196.130555555555</v>
      </c>
      <c r="M184" s="226">
        <v>1196.6243279569901</v>
      </c>
      <c r="N184" s="227">
        <v>1193.91076388889</v>
      </c>
      <c r="O184" s="158"/>
      <c r="P184" s="121"/>
    </row>
    <row r="185" spans="1:21">
      <c r="C185" s="113"/>
      <c r="P185" s="121"/>
    </row>
    <row r="186" spans="1:21">
      <c r="C186" s="113"/>
      <c r="P186" s="121"/>
    </row>
    <row r="187" spans="1:21">
      <c r="A187" s="84" t="s">
        <v>173</v>
      </c>
      <c r="B187" s="167" t="str">
        <f>MID(B189,6,1)</f>
        <v>A</v>
      </c>
      <c r="C187" s="167" t="str">
        <f t="shared" ref="C187:N187" si="6">MID(C189,6,1)</f>
        <v>S</v>
      </c>
      <c r="D187" s="167" t="str">
        <f t="shared" si="6"/>
        <v>O</v>
      </c>
      <c r="E187" s="167" t="str">
        <f t="shared" si="6"/>
        <v>N</v>
      </c>
      <c r="F187" s="167" t="str">
        <f t="shared" si="6"/>
        <v>D</v>
      </c>
      <c r="G187" s="167" t="str">
        <f t="shared" si="6"/>
        <v>E</v>
      </c>
      <c r="H187" s="167" t="str">
        <f t="shared" si="6"/>
        <v>F</v>
      </c>
      <c r="I187" s="167" t="str">
        <f t="shared" si="6"/>
        <v>M</v>
      </c>
      <c r="J187" s="167" t="str">
        <f t="shared" si="6"/>
        <v>A</v>
      </c>
      <c r="K187" s="167" t="str">
        <f t="shared" si="6"/>
        <v>M</v>
      </c>
      <c r="L187" s="167" t="str">
        <f t="shared" si="6"/>
        <v>J</v>
      </c>
      <c r="M187" s="167" t="str">
        <f t="shared" si="6"/>
        <v>J</v>
      </c>
      <c r="N187" s="167" t="str">
        <f t="shared" si="6"/>
        <v>A</v>
      </c>
      <c r="P187" s="156"/>
      <c r="Q187" s="156"/>
    </row>
    <row r="188" spans="1:21">
      <c r="A188" s="124" t="s">
        <v>27</v>
      </c>
      <c r="B188" s="274" t="s">
        <v>192</v>
      </c>
      <c r="C188" s="275"/>
      <c r="D188" s="275"/>
      <c r="E188" s="275"/>
      <c r="F188" s="275"/>
      <c r="G188" s="275"/>
      <c r="H188" s="275"/>
      <c r="I188" s="275"/>
      <c r="J188" s="275"/>
      <c r="K188" s="275"/>
      <c r="L188" s="275"/>
      <c r="M188" s="275"/>
      <c r="N188" s="275"/>
      <c r="P188" s="156"/>
      <c r="Q188" s="156"/>
    </row>
    <row r="189" spans="1:21">
      <c r="A189" s="124" t="s">
        <v>87</v>
      </c>
      <c r="B189" s="225" t="s">
        <v>211</v>
      </c>
      <c r="C189" s="225" t="s">
        <v>213</v>
      </c>
      <c r="D189" s="225" t="s">
        <v>215</v>
      </c>
      <c r="E189" s="225" t="s">
        <v>218</v>
      </c>
      <c r="F189" s="225" t="s">
        <v>220</v>
      </c>
      <c r="G189" s="225" t="s">
        <v>224</v>
      </c>
      <c r="H189" s="225" t="s">
        <v>226</v>
      </c>
      <c r="I189" s="225" t="s">
        <v>229</v>
      </c>
      <c r="J189" s="225" t="s">
        <v>239</v>
      </c>
      <c r="K189" s="225" t="s">
        <v>242</v>
      </c>
      <c r="L189" s="225" t="s">
        <v>244</v>
      </c>
      <c r="M189" s="225" t="s">
        <v>247</v>
      </c>
      <c r="N189" s="224" t="s">
        <v>281</v>
      </c>
      <c r="P189" s="156"/>
      <c r="Q189" s="156"/>
    </row>
    <row r="190" spans="1:21">
      <c r="A190" s="124" t="s">
        <v>120</v>
      </c>
      <c r="B190" s="225"/>
      <c r="C190" s="225"/>
      <c r="D190" s="225"/>
      <c r="E190" s="225"/>
      <c r="F190" s="225"/>
      <c r="G190" s="225"/>
      <c r="H190" s="225"/>
      <c r="I190" s="225"/>
      <c r="J190" s="225"/>
      <c r="K190" s="225"/>
      <c r="L190" s="225"/>
      <c r="M190" s="225"/>
      <c r="N190" s="224"/>
      <c r="O190" s="158"/>
      <c r="P190" s="156"/>
      <c r="Q190" s="156"/>
    </row>
    <row r="191" spans="1:21">
      <c r="A191" s="126" t="s">
        <v>75</v>
      </c>
      <c r="B191" s="228">
        <v>180.042475</v>
      </c>
      <c r="C191" s="228">
        <v>165.537925</v>
      </c>
      <c r="D191" s="228">
        <v>131.49952500000001</v>
      </c>
      <c r="E191" s="228">
        <v>89.584021000000007</v>
      </c>
      <c r="F191" s="228">
        <v>52.364378000000002</v>
      </c>
      <c r="G191" s="228">
        <v>77.682462000000001</v>
      </c>
      <c r="H191" s="228">
        <v>82.307884999999999</v>
      </c>
      <c r="I191" s="228">
        <v>105.459892</v>
      </c>
      <c r="J191" s="228">
        <v>92.657791000000003</v>
      </c>
      <c r="K191" s="228">
        <v>95.844481999999999</v>
      </c>
      <c r="L191" s="228">
        <v>72.700210999999996</v>
      </c>
      <c r="M191" s="228">
        <v>80.983009999999993</v>
      </c>
      <c r="N191" s="229">
        <v>71.164921000000007</v>
      </c>
      <c r="O191" s="158">
        <f>N191/B191-1</f>
        <v>-0.60473259990455031</v>
      </c>
      <c r="P191" s="156"/>
      <c r="Q191" s="156"/>
      <c r="S191" s="113"/>
      <c r="T191" s="113"/>
      <c r="U191" s="113"/>
    </row>
    <row r="192" spans="1:21">
      <c r="A192" s="126" t="s">
        <v>71</v>
      </c>
      <c r="B192" s="228">
        <v>174.548475</v>
      </c>
      <c r="C192" s="228">
        <v>172.08167499999999</v>
      </c>
      <c r="D192" s="228">
        <v>201.38062500000001</v>
      </c>
      <c r="E192" s="228">
        <v>132.31447800000001</v>
      </c>
      <c r="F192" s="228">
        <v>78.121196999999995</v>
      </c>
      <c r="G192" s="228">
        <v>73.119370000000004</v>
      </c>
      <c r="H192" s="228">
        <v>58.008048000000002</v>
      </c>
      <c r="I192" s="228">
        <v>81.554850999999999</v>
      </c>
      <c r="J192" s="228">
        <v>85.516738000000004</v>
      </c>
      <c r="K192" s="228">
        <v>100.845438</v>
      </c>
      <c r="L192" s="228">
        <v>88.146169</v>
      </c>
      <c r="M192" s="228">
        <v>58.698768000000001</v>
      </c>
      <c r="N192" s="229">
        <v>71.694524000000001</v>
      </c>
      <c r="O192" s="158">
        <f>N192/B192-1</f>
        <v>-0.58925723069193237</v>
      </c>
      <c r="P192" s="158">
        <f>(N191+N192)/(B191+B192)-1</f>
        <v>-0.59711480228133296</v>
      </c>
      <c r="Q192" s="156"/>
      <c r="S192" s="113"/>
      <c r="T192" s="113"/>
      <c r="U192" s="113"/>
    </row>
    <row r="193" spans="1:17">
      <c r="B193" s="171"/>
      <c r="M193" s="171"/>
      <c r="N193" s="171"/>
    </row>
    <row r="194" spans="1:17">
      <c r="A194" s="84" t="s">
        <v>174</v>
      </c>
      <c r="C194" s="144" t="str">
        <f t="shared" ref="C194:O194" si="7">MID(C196,6,1)</f>
        <v>A</v>
      </c>
      <c r="D194" s="144" t="str">
        <f t="shared" si="7"/>
        <v>S</v>
      </c>
      <c r="E194" s="144" t="str">
        <f t="shared" si="7"/>
        <v>O</v>
      </c>
      <c r="F194" s="144" t="str">
        <f t="shared" si="7"/>
        <v>N</v>
      </c>
      <c r="G194" s="144" t="str">
        <f t="shared" si="7"/>
        <v>D</v>
      </c>
      <c r="H194" s="144" t="str">
        <f t="shared" si="7"/>
        <v>E</v>
      </c>
      <c r="I194" s="144" t="str">
        <f t="shared" si="7"/>
        <v>F</v>
      </c>
      <c r="J194" s="144" t="str">
        <f t="shared" si="7"/>
        <v>M</v>
      </c>
      <c r="K194" s="144" t="str">
        <f t="shared" si="7"/>
        <v>A</v>
      </c>
      <c r="L194" s="144" t="str">
        <f t="shared" si="7"/>
        <v>M</v>
      </c>
      <c r="M194" s="144" t="str">
        <f t="shared" si="7"/>
        <v>J</v>
      </c>
      <c r="N194" s="144" t="str">
        <f t="shared" si="7"/>
        <v>J</v>
      </c>
      <c r="O194" s="144" t="str">
        <f t="shared" si="7"/>
        <v>A</v>
      </c>
    </row>
    <row r="195" spans="1:17">
      <c r="A195" s="124"/>
      <c r="B195" s="124" t="s">
        <v>27</v>
      </c>
      <c r="C195" s="270" t="s">
        <v>157</v>
      </c>
      <c r="D195" s="271"/>
      <c r="E195" s="271"/>
      <c r="F195" s="271"/>
      <c r="G195" s="271"/>
      <c r="H195" s="271"/>
      <c r="I195" s="271"/>
      <c r="J195" s="271"/>
      <c r="K195" s="271"/>
      <c r="L195" s="271"/>
      <c r="M195" s="271"/>
      <c r="N195" s="271"/>
      <c r="O195" s="271"/>
      <c r="P195" s="156"/>
      <c r="Q195" s="156"/>
    </row>
    <row r="196" spans="1:17">
      <c r="A196" s="124"/>
      <c r="B196" s="125" t="s">
        <v>87</v>
      </c>
      <c r="C196" s="225" t="s">
        <v>211</v>
      </c>
      <c r="D196" s="225" t="s">
        <v>213</v>
      </c>
      <c r="E196" s="225" t="s">
        <v>215</v>
      </c>
      <c r="F196" s="225" t="s">
        <v>218</v>
      </c>
      <c r="G196" s="225" t="s">
        <v>220</v>
      </c>
      <c r="H196" s="225" t="s">
        <v>224</v>
      </c>
      <c r="I196" s="225" t="s">
        <v>226</v>
      </c>
      <c r="J196" s="225" t="s">
        <v>229</v>
      </c>
      <c r="K196" s="225" t="s">
        <v>239</v>
      </c>
      <c r="L196" s="225" t="s">
        <v>242</v>
      </c>
      <c r="M196" s="225" t="s">
        <v>244</v>
      </c>
      <c r="N196" s="225" t="s">
        <v>247</v>
      </c>
      <c r="O196" s="224" t="s">
        <v>281</v>
      </c>
      <c r="P196" s="156"/>
      <c r="Q196" s="156"/>
    </row>
    <row r="197" spans="1:17">
      <c r="A197" s="124" t="s">
        <v>120</v>
      </c>
      <c r="B197" s="124" t="s">
        <v>121</v>
      </c>
      <c r="C197" s="225"/>
      <c r="D197" s="225"/>
      <c r="E197" s="225"/>
      <c r="F197" s="225"/>
      <c r="G197" s="225"/>
      <c r="H197" s="225"/>
      <c r="I197" s="225"/>
      <c r="J197" s="225"/>
      <c r="K197" s="225"/>
      <c r="L197" s="225"/>
      <c r="M197" s="225"/>
      <c r="N197" s="225"/>
      <c r="O197" s="224"/>
      <c r="P197" s="156"/>
      <c r="Q197" s="156"/>
    </row>
    <row r="198" spans="1:17">
      <c r="A198" s="259" t="s">
        <v>71</v>
      </c>
      <c r="B198" s="126" t="s">
        <v>82</v>
      </c>
      <c r="C198" s="234">
        <v>0</v>
      </c>
      <c r="D198" s="234">
        <v>0</v>
      </c>
      <c r="E198" s="234">
        <v>0</v>
      </c>
      <c r="F198" s="234">
        <v>0</v>
      </c>
      <c r="G198" s="234">
        <v>0</v>
      </c>
      <c r="H198" s="234">
        <v>0</v>
      </c>
      <c r="I198" s="234">
        <v>0</v>
      </c>
      <c r="J198" s="234">
        <v>0</v>
      </c>
      <c r="K198" s="234">
        <v>0</v>
      </c>
      <c r="L198" s="234">
        <v>0</v>
      </c>
      <c r="M198" s="234">
        <v>0</v>
      </c>
      <c r="N198" s="234">
        <v>0</v>
      </c>
      <c r="O198" s="235">
        <v>0</v>
      </c>
      <c r="P198" s="156"/>
      <c r="Q198" s="156"/>
    </row>
    <row r="199" spans="1:17">
      <c r="A199" s="255"/>
      <c r="B199" s="126" t="s">
        <v>73</v>
      </c>
      <c r="C199" s="234">
        <v>17.5</v>
      </c>
      <c r="D199" s="234">
        <v>275.2</v>
      </c>
      <c r="E199" s="234">
        <v>379.41399999999999</v>
      </c>
      <c r="F199" s="234">
        <v>960.09100000000001</v>
      </c>
      <c r="G199" s="234">
        <v>1807.4749999999999</v>
      </c>
      <c r="H199" s="234">
        <v>485.25</v>
      </c>
      <c r="I199" s="234">
        <v>155.25</v>
      </c>
      <c r="J199" s="234">
        <v>34.450000000000003</v>
      </c>
      <c r="K199" s="234">
        <v>30.05</v>
      </c>
      <c r="L199" s="234">
        <v>0</v>
      </c>
      <c r="M199" s="234">
        <v>83.15</v>
      </c>
      <c r="N199" s="234">
        <v>422.25</v>
      </c>
      <c r="O199" s="235">
        <v>0</v>
      </c>
      <c r="P199" s="156"/>
      <c r="Q199" s="156"/>
    </row>
    <row r="200" spans="1:17">
      <c r="A200" s="255"/>
      <c r="B200" s="126" t="s">
        <v>23</v>
      </c>
      <c r="C200" s="234">
        <v>108037.599</v>
      </c>
      <c r="D200" s="234">
        <v>71329.876000000004</v>
      </c>
      <c r="E200" s="234">
        <v>55707.942999999999</v>
      </c>
      <c r="F200" s="234">
        <v>92005.611000000004</v>
      </c>
      <c r="G200" s="234">
        <v>149676.72500000001</v>
      </c>
      <c r="H200" s="234">
        <v>75138.25</v>
      </c>
      <c r="I200" s="234">
        <v>41086.735000000001</v>
      </c>
      <c r="J200" s="234">
        <v>42628.800000000003</v>
      </c>
      <c r="K200" s="234">
        <v>21334.2</v>
      </c>
      <c r="L200" s="234">
        <v>43474.65</v>
      </c>
      <c r="M200" s="234">
        <v>226890.22500000001</v>
      </c>
      <c r="N200" s="234">
        <v>209561.22500000001</v>
      </c>
      <c r="O200" s="235">
        <v>179282</v>
      </c>
      <c r="P200" s="156"/>
      <c r="Q200" s="156"/>
    </row>
    <row r="201" spans="1:17">
      <c r="A201" s="255"/>
      <c r="B201" s="126" t="s">
        <v>80</v>
      </c>
      <c r="C201" s="234">
        <v>23.632999999999999</v>
      </c>
      <c r="D201" s="234">
        <v>8.4250000000000007</v>
      </c>
      <c r="E201" s="234">
        <v>4.7</v>
      </c>
      <c r="F201" s="234">
        <v>15.625</v>
      </c>
      <c r="G201" s="234">
        <v>16.25</v>
      </c>
      <c r="H201" s="234">
        <v>3</v>
      </c>
      <c r="I201" s="234">
        <v>0</v>
      </c>
      <c r="J201" s="234">
        <v>140</v>
      </c>
      <c r="K201" s="234">
        <v>52.5</v>
      </c>
      <c r="L201" s="234">
        <v>92.75</v>
      </c>
      <c r="M201" s="234">
        <v>209.25</v>
      </c>
      <c r="N201" s="234">
        <v>318.75</v>
      </c>
      <c r="O201" s="235">
        <v>173.25</v>
      </c>
      <c r="P201" s="156"/>
      <c r="Q201" s="156"/>
    </row>
    <row r="202" spans="1:17">
      <c r="A202" s="255"/>
      <c r="B202" s="126" t="s">
        <v>74</v>
      </c>
      <c r="C202" s="234">
        <v>27203.424999999999</v>
      </c>
      <c r="D202" s="234">
        <v>25004.131000000001</v>
      </c>
      <c r="E202" s="234">
        <v>19519.491000000002</v>
      </c>
      <c r="F202" s="234">
        <v>14910.407999999999</v>
      </c>
      <c r="G202" s="234">
        <v>17618.241999999998</v>
      </c>
      <c r="H202" s="234">
        <v>30294.2</v>
      </c>
      <c r="I202" s="234">
        <v>10732.416999999999</v>
      </c>
      <c r="J202" s="234">
        <v>30167.8</v>
      </c>
      <c r="K202" s="234">
        <v>25127.55</v>
      </c>
      <c r="L202" s="234">
        <v>28512.400000000001</v>
      </c>
      <c r="M202" s="234">
        <v>19186.8</v>
      </c>
      <c r="N202" s="234">
        <v>17123.95</v>
      </c>
      <c r="O202" s="235">
        <v>17965.3</v>
      </c>
      <c r="P202" s="156"/>
      <c r="Q202" s="156"/>
    </row>
    <row r="203" spans="1:17">
      <c r="A203" s="255"/>
      <c r="B203" s="126" t="s">
        <v>83</v>
      </c>
      <c r="C203" s="234">
        <v>0</v>
      </c>
      <c r="D203" s="234">
        <v>0</v>
      </c>
      <c r="E203" s="234">
        <v>0</v>
      </c>
      <c r="F203" s="234">
        <v>0</v>
      </c>
      <c r="G203" s="234">
        <v>0</v>
      </c>
      <c r="H203" s="234">
        <v>0</v>
      </c>
      <c r="I203" s="234">
        <v>0</v>
      </c>
      <c r="J203" s="234">
        <v>0</v>
      </c>
      <c r="K203" s="234">
        <v>0</v>
      </c>
      <c r="L203" s="234">
        <v>0</v>
      </c>
      <c r="M203" s="234">
        <v>0</v>
      </c>
      <c r="N203" s="234">
        <v>0</v>
      </c>
      <c r="O203" s="235">
        <v>0</v>
      </c>
      <c r="P203" s="156"/>
      <c r="Q203" s="156"/>
    </row>
    <row r="204" spans="1:17">
      <c r="A204" s="255"/>
      <c r="B204" s="126" t="s">
        <v>77</v>
      </c>
      <c r="C204" s="234">
        <v>18314.178</v>
      </c>
      <c r="D204" s="234">
        <v>14389.375</v>
      </c>
      <c r="E204" s="234">
        <v>24306.028999999999</v>
      </c>
      <c r="F204" s="234">
        <v>13826.055</v>
      </c>
      <c r="G204" s="234">
        <v>22650.025000000001</v>
      </c>
      <c r="H204" s="234">
        <v>24907.05</v>
      </c>
      <c r="I204" s="234">
        <v>9668.9809999999998</v>
      </c>
      <c r="J204" s="234">
        <v>31429.5</v>
      </c>
      <c r="K204" s="234">
        <v>27130.85</v>
      </c>
      <c r="L204" s="234">
        <v>43167.925000000003</v>
      </c>
      <c r="M204" s="234">
        <v>27497.7</v>
      </c>
      <c r="N204" s="234">
        <v>13989.3</v>
      </c>
      <c r="O204" s="235">
        <v>16005.75</v>
      </c>
      <c r="P204" s="156"/>
      <c r="Q204" s="156"/>
    </row>
    <row r="205" spans="1:17">
      <c r="A205" s="255"/>
      <c r="B205" s="126" t="s">
        <v>249</v>
      </c>
      <c r="C205" s="234">
        <v>0</v>
      </c>
      <c r="D205" s="234">
        <v>0</v>
      </c>
      <c r="E205" s="234">
        <v>0</v>
      </c>
      <c r="F205" s="234">
        <v>0</v>
      </c>
      <c r="G205" s="234">
        <v>0</v>
      </c>
      <c r="H205" s="234">
        <v>0</v>
      </c>
      <c r="I205" s="234">
        <v>0</v>
      </c>
      <c r="J205" s="234">
        <v>0</v>
      </c>
      <c r="K205" s="234">
        <v>0</v>
      </c>
      <c r="L205" s="234">
        <v>0</v>
      </c>
      <c r="M205" s="234">
        <v>0</v>
      </c>
      <c r="N205" s="234">
        <v>0</v>
      </c>
      <c r="O205" s="235">
        <v>0</v>
      </c>
      <c r="P205" s="156"/>
      <c r="Q205" s="156"/>
    </row>
    <row r="206" spans="1:17">
      <c r="A206" s="255"/>
      <c r="B206" s="126" t="s">
        <v>210</v>
      </c>
      <c r="C206" s="234">
        <v>0</v>
      </c>
      <c r="D206" s="234">
        <v>0</v>
      </c>
      <c r="E206" s="234">
        <v>0</v>
      </c>
      <c r="F206" s="234">
        <v>0</v>
      </c>
      <c r="G206" s="234">
        <v>0</v>
      </c>
      <c r="H206" s="234">
        <v>0</v>
      </c>
      <c r="I206" s="234">
        <v>0</v>
      </c>
      <c r="J206" s="234">
        <v>0</v>
      </c>
      <c r="K206" s="234">
        <v>0</v>
      </c>
      <c r="L206" s="234">
        <v>0</v>
      </c>
      <c r="M206" s="234">
        <v>0</v>
      </c>
      <c r="N206" s="234">
        <v>0</v>
      </c>
      <c r="O206" s="235">
        <v>0</v>
      </c>
      <c r="P206" s="156"/>
      <c r="Q206" s="156"/>
    </row>
    <row r="207" spans="1:17">
      <c r="A207" s="255"/>
      <c r="B207" s="126" t="s">
        <v>19</v>
      </c>
      <c r="C207" s="234">
        <v>45614.728999999999</v>
      </c>
      <c r="D207" s="234">
        <v>21337.156999999999</v>
      </c>
      <c r="E207" s="234">
        <v>36443.067999999999</v>
      </c>
      <c r="F207" s="234">
        <v>25115.334999999999</v>
      </c>
      <c r="G207" s="234">
        <v>46447.163</v>
      </c>
      <c r="H207" s="234">
        <v>30091.7</v>
      </c>
      <c r="I207" s="234">
        <v>17178.798999999999</v>
      </c>
      <c r="J207" s="234">
        <v>34297.5</v>
      </c>
      <c r="K207" s="234">
        <v>36079.15</v>
      </c>
      <c r="L207" s="234">
        <v>30711.75</v>
      </c>
      <c r="M207" s="234">
        <v>31774.95</v>
      </c>
      <c r="N207" s="234">
        <v>85316.175000000003</v>
      </c>
      <c r="O207" s="235">
        <v>54636.866999999998</v>
      </c>
      <c r="P207" s="156"/>
      <c r="Q207" s="156"/>
    </row>
    <row r="208" spans="1:17">
      <c r="A208" s="255"/>
      <c r="B208" s="126" t="s">
        <v>171</v>
      </c>
      <c r="C208" s="234">
        <v>0</v>
      </c>
      <c r="D208" s="234">
        <v>0</v>
      </c>
      <c r="E208" s="234">
        <v>0</v>
      </c>
      <c r="F208" s="234">
        <v>0</v>
      </c>
      <c r="G208" s="234">
        <v>0</v>
      </c>
      <c r="H208" s="234">
        <v>0</v>
      </c>
      <c r="I208" s="234">
        <v>0</v>
      </c>
      <c r="J208" s="234">
        <v>0</v>
      </c>
      <c r="K208" s="234">
        <v>0</v>
      </c>
      <c r="L208" s="234">
        <v>0</v>
      </c>
      <c r="M208" s="234">
        <v>0</v>
      </c>
      <c r="N208" s="234">
        <v>0</v>
      </c>
      <c r="O208" s="235">
        <v>0</v>
      </c>
      <c r="P208" s="156"/>
      <c r="Q208" s="156"/>
    </row>
    <row r="209" spans="1:17">
      <c r="A209" s="255"/>
      <c r="B209" s="126" t="s">
        <v>85</v>
      </c>
      <c r="C209" s="234">
        <v>0</v>
      </c>
      <c r="D209" s="234">
        <v>0</v>
      </c>
      <c r="E209" s="234">
        <v>0</v>
      </c>
      <c r="F209" s="234">
        <v>0</v>
      </c>
      <c r="G209" s="234">
        <v>8416.4750000000004</v>
      </c>
      <c r="H209" s="234">
        <v>34556.9</v>
      </c>
      <c r="I209" s="234">
        <v>28098.799999999999</v>
      </c>
      <c r="J209" s="234">
        <v>34080.6</v>
      </c>
      <c r="K209" s="234">
        <v>26275.474999999999</v>
      </c>
      <c r="L209" s="234">
        <v>35039.25</v>
      </c>
      <c r="M209" s="234">
        <v>33961.75</v>
      </c>
      <c r="N209" s="234">
        <v>27631.25</v>
      </c>
      <c r="O209" s="235">
        <v>39299.75</v>
      </c>
      <c r="P209" s="156"/>
      <c r="Q209" s="156"/>
    </row>
    <row r="210" spans="1:17">
      <c r="A210" s="255"/>
      <c r="B210" s="126" t="s">
        <v>72</v>
      </c>
      <c r="C210" s="234">
        <v>0</v>
      </c>
      <c r="D210" s="234">
        <v>0</v>
      </c>
      <c r="E210" s="234">
        <v>0</v>
      </c>
      <c r="F210" s="234">
        <v>100.05</v>
      </c>
      <c r="G210" s="234">
        <v>30</v>
      </c>
      <c r="H210" s="234">
        <v>139.15</v>
      </c>
      <c r="I210" s="234">
        <v>0</v>
      </c>
      <c r="J210" s="234">
        <v>359.05</v>
      </c>
      <c r="K210" s="234">
        <v>364</v>
      </c>
      <c r="L210" s="234">
        <v>1965.25</v>
      </c>
      <c r="M210" s="234">
        <v>659</v>
      </c>
      <c r="N210" s="234">
        <v>742</v>
      </c>
      <c r="O210" s="235">
        <v>632.15</v>
      </c>
      <c r="P210" s="156"/>
      <c r="Q210" s="156"/>
    </row>
    <row r="211" spans="1:17">
      <c r="A211" s="255"/>
      <c r="B211" s="126" t="s">
        <v>81</v>
      </c>
      <c r="C211" s="234">
        <v>299.625</v>
      </c>
      <c r="D211" s="234">
        <v>284.55</v>
      </c>
      <c r="E211" s="234">
        <v>361.459</v>
      </c>
      <c r="F211" s="234">
        <v>76.349999999999994</v>
      </c>
      <c r="G211" s="234">
        <v>47.25</v>
      </c>
      <c r="H211" s="234">
        <v>85</v>
      </c>
      <c r="I211" s="234">
        <v>17.25</v>
      </c>
      <c r="J211" s="234">
        <v>304.89999999999998</v>
      </c>
      <c r="K211" s="234">
        <v>299.3</v>
      </c>
      <c r="L211" s="234">
        <v>1099.6500000000001</v>
      </c>
      <c r="M211" s="234">
        <v>445.65</v>
      </c>
      <c r="N211" s="234">
        <v>454.7</v>
      </c>
      <c r="O211" s="235">
        <v>547.04999999999995</v>
      </c>
      <c r="P211" s="156"/>
      <c r="Q211" s="156"/>
    </row>
    <row r="212" spans="1:17">
      <c r="A212" s="255"/>
      <c r="B212" s="126" t="s">
        <v>86</v>
      </c>
      <c r="C212" s="234">
        <v>0</v>
      </c>
      <c r="D212" s="234">
        <v>0</v>
      </c>
      <c r="E212" s="234">
        <v>0</v>
      </c>
      <c r="F212" s="234">
        <v>0</v>
      </c>
      <c r="G212" s="234">
        <v>0</v>
      </c>
      <c r="H212" s="234">
        <v>0</v>
      </c>
      <c r="I212" s="234">
        <v>0</v>
      </c>
      <c r="J212" s="234">
        <v>0</v>
      </c>
      <c r="K212" s="234">
        <v>0</v>
      </c>
      <c r="L212" s="234">
        <v>0</v>
      </c>
      <c r="M212" s="234">
        <v>0</v>
      </c>
      <c r="N212" s="234">
        <v>0</v>
      </c>
      <c r="O212" s="235">
        <v>0</v>
      </c>
      <c r="P212" s="156"/>
      <c r="Q212" s="156"/>
    </row>
    <row r="213" spans="1:17">
      <c r="A213" s="255"/>
      <c r="B213" s="126" t="s">
        <v>78</v>
      </c>
      <c r="C213" s="234">
        <v>6043.3620000000001</v>
      </c>
      <c r="D213" s="234">
        <v>3037.88</v>
      </c>
      <c r="E213" s="234">
        <v>4937.223</v>
      </c>
      <c r="F213" s="234">
        <v>2907.0349999999999</v>
      </c>
      <c r="G213" s="234">
        <v>3403.0250000000001</v>
      </c>
      <c r="H213" s="234">
        <v>3800</v>
      </c>
      <c r="I213" s="234">
        <v>2360.9009999999998</v>
      </c>
      <c r="J213" s="234">
        <v>6670.45</v>
      </c>
      <c r="K213" s="234">
        <v>9781.15</v>
      </c>
      <c r="L213" s="234">
        <v>14137.575000000001</v>
      </c>
      <c r="M213" s="234">
        <v>20985.474999999999</v>
      </c>
      <c r="N213" s="234">
        <v>14673.875</v>
      </c>
      <c r="O213" s="235">
        <v>22896.5</v>
      </c>
      <c r="P213" s="156"/>
      <c r="Q213" s="156"/>
    </row>
    <row r="214" spans="1:17">
      <c r="A214" s="255"/>
      <c r="B214" s="126" t="s">
        <v>79</v>
      </c>
      <c r="C214" s="234">
        <v>42.45</v>
      </c>
      <c r="D214" s="234">
        <v>35.475000000000001</v>
      </c>
      <c r="E214" s="234">
        <v>19.399999999999999</v>
      </c>
      <c r="F214" s="234">
        <v>6.7</v>
      </c>
      <c r="G214" s="234">
        <v>9.25</v>
      </c>
      <c r="H214" s="234">
        <v>15.25</v>
      </c>
      <c r="I214" s="234">
        <v>4.75</v>
      </c>
      <c r="J214" s="234">
        <v>62.75</v>
      </c>
      <c r="K214" s="234">
        <v>157.75</v>
      </c>
      <c r="L214" s="234">
        <v>300.5</v>
      </c>
      <c r="M214" s="234">
        <v>170.25</v>
      </c>
      <c r="N214" s="234">
        <v>455.92500000000001</v>
      </c>
      <c r="O214" s="235">
        <v>301.75</v>
      </c>
      <c r="P214" s="156"/>
      <c r="Q214" s="156"/>
    </row>
    <row r="215" spans="1:17">
      <c r="A215" s="255"/>
      <c r="B215" s="126" t="s">
        <v>76</v>
      </c>
      <c r="C215" s="234">
        <v>17591.724999999999</v>
      </c>
      <c r="D215" s="234">
        <v>23246.357</v>
      </c>
      <c r="E215" s="234">
        <v>14903.813</v>
      </c>
      <c r="F215" s="234">
        <v>9228.6530000000002</v>
      </c>
      <c r="G215" s="234">
        <v>13417.55</v>
      </c>
      <c r="H215" s="234">
        <v>19331.099999999999</v>
      </c>
      <c r="I215" s="234">
        <v>5627</v>
      </c>
      <c r="J215" s="234">
        <v>14804.75</v>
      </c>
      <c r="K215" s="234">
        <v>16764.75</v>
      </c>
      <c r="L215" s="234">
        <v>23021.55</v>
      </c>
      <c r="M215" s="234">
        <v>17574.599999999999</v>
      </c>
      <c r="N215" s="234">
        <v>21808.125</v>
      </c>
      <c r="O215" s="235">
        <v>20287.816999999999</v>
      </c>
      <c r="P215" s="157"/>
      <c r="Q215" s="156"/>
    </row>
    <row r="216" spans="1:17">
      <c r="A216" s="253"/>
      <c r="B216" s="187" t="s">
        <v>0</v>
      </c>
      <c r="C216" s="236">
        <v>223188.226</v>
      </c>
      <c r="D216" s="236">
        <v>158948.42600000001</v>
      </c>
      <c r="E216" s="236">
        <v>156582.54</v>
      </c>
      <c r="F216" s="236">
        <v>159151.913</v>
      </c>
      <c r="G216" s="236">
        <v>263539.43</v>
      </c>
      <c r="H216" s="236">
        <v>218846.85</v>
      </c>
      <c r="I216" s="236">
        <v>114930.883</v>
      </c>
      <c r="J216" s="236">
        <v>194980.55</v>
      </c>
      <c r="K216" s="236">
        <v>163396.72500000001</v>
      </c>
      <c r="L216" s="236">
        <v>221523.25</v>
      </c>
      <c r="M216" s="236">
        <v>379438.8</v>
      </c>
      <c r="N216" s="236">
        <v>392497.52500000002</v>
      </c>
      <c r="O216" s="237">
        <v>352028.18400000001</v>
      </c>
      <c r="P216" s="157">
        <f>O216/C216-1</f>
        <v>0.57727040672835495</v>
      </c>
      <c r="Q216" s="156"/>
    </row>
    <row r="217" spans="1:17">
      <c r="A217" s="252" t="s">
        <v>75</v>
      </c>
      <c r="B217" s="126" t="s">
        <v>82</v>
      </c>
      <c r="C217" s="234">
        <v>0</v>
      </c>
      <c r="D217" s="234">
        <v>0</v>
      </c>
      <c r="E217" s="234">
        <v>0</v>
      </c>
      <c r="F217" s="234">
        <v>0</v>
      </c>
      <c r="G217" s="234">
        <v>0</v>
      </c>
      <c r="H217" s="234">
        <v>0</v>
      </c>
      <c r="I217" s="234">
        <v>0</v>
      </c>
      <c r="J217" s="234">
        <v>0</v>
      </c>
      <c r="K217" s="234">
        <v>0</v>
      </c>
      <c r="L217" s="234">
        <v>0</v>
      </c>
      <c r="M217" s="234">
        <v>0</v>
      </c>
      <c r="N217" s="234">
        <v>0</v>
      </c>
      <c r="O217" s="235">
        <v>0</v>
      </c>
      <c r="P217" s="158"/>
      <c r="Q217" s="156"/>
    </row>
    <row r="218" spans="1:17">
      <c r="A218" s="255"/>
      <c r="B218" s="126" t="s">
        <v>73</v>
      </c>
      <c r="C218" s="234">
        <v>24.35</v>
      </c>
      <c r="D218" s="234">
        <v>50.225000000000001</v>
      </c>
      <c r="E218" s="234">
        <v>78.75</v>
      </c>
      <c r="F218" s="234">
        <v>484.8</v>
      </c>
      <c r="G218" s="234">
        <v>289.85000000000002</v>
      </c>
      <c r="H218" s="234">
        <v>938.7</v>
      </c>
      <c r="I218" s="234">
        <v>339</v>
      </c>
      <c r="J218" s="234">
        <v>85</v>
      </c>
      <c r="K218" s="234">
        <v>105</v>
      </c>
      <c r="L218" s="234">
        <v>0</v>
      </c>
      <c r="M218" s="234">
        <v>83.75</v>
      </c>
      <c r="N218" s="234">
        <v>10</v>
      </c>
      <c r="O218" s="235">
        <v>0</v>
      </c>
      <c r="P218" s="156"/>
      <c r="Q218" s="156"/>
    </row>
    <row r="219" spans="1:17">
      <c r="A219" s="255"/>
      <c r="B219" s="126" t="s">
        <v>23</v>
      </c>
      <c r="C219" s="234">
        <v>30465.23</v>
      </c>
      <c r="D219" s="234">
        <v>26552.251</v>
      </c>
      <c r="E219" s="234">
        <v>33915.699999999997</v>
      </c>
      <c r="F219" s="234">
        <v>38070.457999999999</v>
      </c>
      <c r="G219" s="234">
        <v>42667.476000000002</v>
      </c>
      <c r="H219" s="234">
        <v>78421.95</v>
      </c>
      <c r="I219" s="234">
        <v>87805.447</v>
      </c>
      <c r="J219" s="234">
        <v>30848.534</v>
      </c>
      <c r="K219" s="234">
        <v>16612.3</v>
      </c>
      <c r="L219" s="234">
        <v>9449.5499999999993</v>
      </c>
      <c r="M219" s="234">
        <v>34376.15</v>
      </c>
      <c r="N219" s="234">
        <v>27134.55</v>
      </c>
      <c r="O219" s="235">
        <v>23693.05</v>
      </c>
      <c r="P219" s="156"/>
      <c r="Q219" s="156"/>
    </row>
    <row r="220" spans="1:17">
      <c r="A220" s="255"/>
      <c r="B220" s="126" t="s">
        <v>80</v>
      </c>
      <c r="C220" s="234">
        <v>464.19200000000001</v>
      </c>
      <c r="D220" s="234">
        <v>423.447</v>
      </c>
      <c r="E220" s="234">
        <v>758.50800000000004</v>
      </c>
      <c r="F220" s="234">
        <v>689.47500000000002</v>
      </c>
      <c r="G220" s="234">
        <v>935.173</v>
      </c>
      <c r="H220" s="234">
        <v>668.6</v>
      </c>
      <c r="I220" s="234">
        <v>993.53399999999999</v>
      </c>
      <c r="J220" s="234">
        <v>1360.5</v>
      </c>
      <c r="K220" s="234">
        <v>1568.95</v>
      </c>
      <c r="L220" s="234">
        <v>863.15</v>
      </c>
      <c r="M220" s="234">
        <v>366.5</v>
      </c>
      <c r="N220" s="234">
        <v>941.3</v>
      </c>
      <c r="O220" s="235">
        <v>409.5</v>
      </c>
      <c r="P220" s="156"/>
      <c r="Q220" s="156"/>
    </row>
    <row r="221" spans="1:17">
      <c r="A221" s="255"/>
      <c r="B221" s="126" t="s">
        <v>74</v>
      </c>
      <c r="C221" s="234">
        <v>38344.226999999999</v>
      </c>
      <c r="D221" s="234">
        <v>45577.822999999997</v>
      </c>
      <c r="E221" s="234">
        <v>54566.771000000001</v>
      </c>
      <c r="F221" s="234">
        <v>41349.216999999997</v>
      </c>
      <c r="G221" s="234">
        <v>35243.148999999998</v>
      </c>
      <c r="H221" s="234">
        <v>53314.275000000001</v>
      </c>
      <c r="I221" s="234">
        <v>76705.798999999999</v>
      </c>
      <c r="J221" s="234">
        <v>53970.15</v>
      </c>
      <c r="K221" s="234">
        <v>44515.75</v>
      </c>
      <c r="L221" s="234">
        <v>21756.775000000001</v>
      </c>
      <c r="M221" s="234">
        <v>9671.85</v>
      </c>
      <c r="N221" s="234">
        <v>22367.341</v>
      </c>
      <c r="O221" s="235">
        <v>22439.35</v>
      </c>
      <c r="P221" s="156"/>
      <c r="Q221" s="156"/>
    </row>
    <row r="222" spans="1:17">
      <c r="A222" s="255"/>
      <c r="B222" s="126" t="s">
        <v>83</v>
      </c>
      <c r="C222" s="234">
        <v>0</v>
      </c>
      <c r="D222" s="234">
        <v>0</v>
      </c>
      <c r="E222" s="234">
        <v>0</v>
      </c>
      <c r="F222" s="234">
        <v>0</v>
      </c>
      <c r="G222" s="234">
        <v>0</v>
      </c>
      <c r="H222" s="234">
        <v>0</v>
      </c>
      <c r="I222" s="234">
        <v>0</v>
      </c>
      <c r="J222" s="234">
        <v>0</v>
      </c>
      <c r="K222" s="234">
        <v>0</v>
      </c>
      <c r="L222" s="234">
        <v>0</v>
      </c>
      <c r="M222" s="234">
        <v>0</v>
      </c>
      <c r="N222" s="234">
        <v>0</v>
      </c>
      <c r="O222" s="235">
        <v>0</v>
      </c>
      <c r="P222" s="156"/>
      <c r="Q222" s="156"/>
    </row>
    <row r="223" spans="1:17">
      <c r="A223" s="255"/>
      <c r="B223" s="126" t="s">
        <v>77</v>
      </c>
      <c r="C223" s="234">
        <v>34129.855000000003</v>
      </c>
      <c r="D223" s="234">
        <v>73676.551000000007</v>
      </c>
      <c r="E223" s="234">
        <v>80386.748999999996</v>
      </c>
      <c r="F223" s="234">
        <v>42290.15</v>
      </c>
      <c r="G223" s="234">
        <v>50300.607000000004</v>
      </c>
      <c r="H223" s="234">
        <v>95848.875</v>
      </c>
      <c r="I223" s="234">
        <v>82469.11</v>
      </c>
      <c r="J223" s="234">
        <v>172995.63699999999</v>
      </c>
      <c r="K223" s="234">
        <v>130290.417</v>
      </c>
      <c r="L223" s="234">
        <v>60074.966999999997</v>
      </c>
      <c r="M223" s="234">
        <v>26082.375</v>
      </c>
      <c r="N223" s="234">
        <v>69061.966</v>
      </c>
      <c r="O223" s="235">
        <v>52735.925999999999</v>
      </c>
      <c r="P223" s="156"/>
      <c r="Q223" s="156"/>
    </row>
    <row r="224" spans="1:17">
      <c r="A224" s="255"/>
      <c r="B224" s="126" t="s">
        <v>249</v>
      </c>
      <c r="C224" s="234">
        <v>0</v>
      </c>
      <c r="D224" s="234">
        <v>0</v>
      </c>
      <c r="E224" s="234">
        <v>0</v>
      </c>
      <c r="F224" s="234">
        <v>0</v>
      </c>
      <c r="G224" s="234">
        <v>0</v>
      </c>
      <c r="H224" s="234">
        <v>0</v>
      </c>
      <c r="I224" s="234">
        <v>0</v>
      </c>
      <c r="J224" s="234">
        <v>0</v>
      </c>
      <c r="K224" s="234">
        <v>0</v>
      </c>
      <c r="L224" s="234">
        <v>0</v>
      </c>
      <c r="M224" s="234">
        <v>0</v>
      </c>
      <c r="N224" s="234">
        <v>0</v>
      </c>
      <c r="O224" s="235">
        <v>0</v>
      </c>
      <c r="P224" s="156"/>
      <c r="Q224" s="156"/>
    </row>
    <row r="225" spans="1:28">
      <c r="A225" s="255"/>
      <c r="B225" s="126" t="s">
        <v>210</v>
      </c>
      <c r="C225" s="234">
        <v>0</v>
      </c>
      <c r="D225" s="234">
        <v>0</v>
      </c>
      <c r="E225" s="234">
        <v>0</v>
      </c>
      <c r="F225" s="234">
        <v>0</v>
      </c>
      <c r="G225" s="234">
        <v>0</v>
      </c>
      <c r="H225" s="234">
        <v>0</v>
      </c>
      <c r="I225" s="234">
        <v>0</v>
      </c>
      <c r="J225" s="234">
        <v>0</v>
      </c>
      <c r="K225" s="234">
        <v>22.75</v>
      </c>
      <c r="L225" s="234">
        <v>22</v>
      </c>
      <c r="M225" s="234">
        <v>0</v>
      </c>
      <c r="N225" s="234">
        <v>0</v>
      </c>
      <c r="O225" s="235">
        <v>0</v>
      </c>
      <c r="P225" s="156"/>
      <c r="Q225" s="156"/>
    </row>
    <row r="226" spans="1:28">
      <c r="A226" s="255"/>
      <c r="B226" s="126" t="s">
        <v>19</v>
      </c>
      <c r="C226" s="234">
        <v>20826.226999999999</v>
      </c>
      <c r="D226" s="234">
        <v>23009.672999999999</v>
      </c>
      <c r="E226" s="234">
        <v>45128.546000000002</v>
      </c>
      <c r="F226" s="234">
        <v>28604.075000000001</v>
      </c>
      <c r="G226" s="234">
        <v>51705.65</v>
      </c>
      <c r="H226" s="234">
        <v>50536.925000000003</v>
      </c>
      <c r="I226" s="234">
        <v>84995.438999999998</v>
      </c>
      <c r="J226" s="234">
        <v>62327.576000000001</v>
      </c>
      <c r="K226" s="234">
        <v>66805.399999999994</v>
      </c>
      <c r="L226" s="234">
        <v>38696.474999999999</v>
      </c>
      <c r="M226" s="234">
        <v>56107.25</v>
      </c>
      <c r="N226" s="234">
        <v>28608.517</v>
      </c>
      <c r="O226" s="235">
        <v>11833.25</v>
      </c>
      <c r="P226" s="156"/>
      <c r="Q226" s="156"/>
    </row>
    <row r="227" spans="1:28">
      <c r="A227" s="255"/>
      <c r="B227" s="126" t="s">
        <v>171</v>
      </c>
      <c r="C227" s="234">
        <v>0</v>
      </c>
      <c r="D227" s="234">
        <v>0</v>
      </c>
      <c r="E227" s="234">
        <v>0</v>
      </c>
      <c r="F227" s="234">
        <v>0</v>
      </c>
      <c r="G227" s="234">
        <v>0</v>
      </c>
      <c r="H227" s="234">
        <v>0</v>
      </c>
      <c r="I227" s="234">
        <v>0</v>
      </c>
      <c r="J227" s="234">
        <v>0</v>
      </c>
      <c r="K227" s="234">
        <v>0</v>
      </c>
      <c r="L227" s="234">
        <v>0</v>
      </c>
      <c r="M227" s="234">
        <v>0</v>
      </c>
      <c r="N227" s="234">
        <v>0</v>
      </c>
      <c r="O227" s="235">
        <v>0</v>
      </c>
      <c r="P227" s="156"/>
      <c r="Q227" s="156"/>
    </row>
    <row r="228" spans="1:28">
      <c r="A228" s="255"/>
      <c r="B228" s="126" t="s">
        <v>85</v>
      </c>
      <c r="C228" s="234">
        <v>0</v>
      </c>
      <c r="D228" s="234">
        <v>0</v>
      </c>
      <c r="E228" s="234">
        <v>0</v>
      </c>
      <c r="F228" s="234">
        <v>0</v>
      </c>
      <c r="G228" s="234">
        <v>6955.3249999999998</v>
      </c>
      <c r="H228" s="234">
        <v>26087.775000000001</v>
      </c>
      <c r="I228" s="234">
        <v>33505.375</v>
      </c>
      <c r="J228" s="234">
        <v>36555.050000000003</v>
      </c>
      <c r="K228" s="234">
        <v>42367.775000000001</v>
      </c>
      <c r="L228" s="234">
        <v>23024.25</v>
      </c>
      <c r="M228" s="234">
        <v>44160.5</v>
      </c>
      <c r="N228" s="234">
        <v>32261.5</v>
      </c>
      <c r="O228" s="235">
        <v>35004.25</v>
      </c>
      <c r="P228" s="156"/>
      <c r="Q228" s="156"/>
    </row>
    <row r="229" spans="1:28">
      <c r="A229" s="255"/>
      <c r="B229" s="126" t="s">
        <v>72</v>
      </c>
      <c r="C229" s="234">
        <v>0.4</v>
      </c>
      <c r="D229" s="234">
        <v>140</v>
      </c>
      <c r="E229" s="234">
        <v>0</v>
      </c>
      <c r="F229" s="234">
        <v>176.42500000000001</v>
      </c>
      <c r="G229" s="234">
        <v>415</v>
      </c>
      <c r="H229" s="234">
        <v>798.25</v>
      </c>
      <c r="I229" s="234">
        <v>703.5</v>
      </c>
      <c r="J229" s="234">
        <v>479.5</v>
      </c>
      <c r="K229" s="234">
        <v>203.75</v>
      </c>
      <c r="L229" s="234">
        <v>2702</v>
      </c>
      <c r="M229" s="234">
        <v>200.75</v>
      </c>
      <c r="N229" s="234">
        <v>0.5</v>
      </c>
      <c r="O229" s="235">
        <v>8</v>
      </c>
      <c r="P229" s="156"/>
      <c r="Q229" s="156"/>
    </row>
    <row r="230" spans="1:28">
      <c r="A230" s="255"/>
      <c r="B230" s="126" t="s">
        <v>81</v>
      </c>
      <c r="C230" s="234">
        <v>122.11</v>
      </c>
      <c r="D230" s="234">
        <v>266.00099999999998</v>
      </c>
      <c r="E230" s="234">
        <v>214.92400000000001</v>
      </c>
      <c r="F230" s="234">
        <v>268.07499999999999</v>
      </c>
      <c r="G230" s="234">
        <v>35.75</v>
      </c>
      <c r="H230" s="234">
        <v>234</v>
      </c>
      <c r="I230" s="234">
        <v>980.66600000000005</v>
      </c>
      <c r="J230" s="234">
        <v>1739.683</v>
      </c>
      <c r="K230" s="234">
        <v>3896.5160000000001</v>
      </c>
      <c r="L230" s="234">
        <v>4437.6490000000003</v>
      </c>
      <c r="M230" s="234">
        <v>3327.3</v>
      </c>
      <c r="N230" s="234">
        <v>2881.4830000000002</v>
      </c>
      <c r="O230" s="235">
        <v>2162.366</v>
      </c>
      <c r="P230" s="156"/>
      <c r="Q230" s="156"/>
    </row>
    <row r="231" spans="1:28">
      <c r="A231" s="255"/>
      <c r="B231" s="126" t="s">
        <v>86</v>
      </c>
      <c r="C231" s="234">
        <v>0</v>
      </c>
      <c r="D231" s="234">
        <v>0</v>
      </c>
      <c r="E231" s="234">
        <v>0</v>
      </c>
      <c r="F231" s="234">
        <v>0</v>
      </c>
      <c r="G231" s="234">
        <v>0</v>
      </c>
      <c r="H231" s="234">
        <v>0</v>
      </c>
      <c r="I231" s="234">
        <v>0</v>
      </c>
      <c r="J231" s="234">
        <v>0</v>
      </c>
      <c r="K231" s="234">
        <v>0</v>
      </c>
      <c r="L231" s="234">
        <v>0</v>
      </c>
      <c r="M231" s="234">
        <v>0</v>
      </c>
      <c r="N231" s="234">
        <v>0</v>
      </c>
      <c r="O231" s="235">
        <v>0</v>
      </c>
      <c r="P231" s="156"/>
      <c r="Q231" s="156"/>
    </row>
    <row r="232" spans="1:28">
      <c r="A232" s="255"/>
      <c r="B232" s="126" t="s">
        <v>78</v>
      </c>
      <c r="C232" s="234">
        <v>23626.941999999999</v>
      </c>
      <c r="D232" s="234">
        <v>44275.593999999997</v>
      </c>
      <c r="E232" s="234">
        <v>20296.477999999999</v>
      </c>
      <c r="F232" s="234">
        <v>10034.625</v>
      </c>
      <c r="G232" s="234">
        <v>11185.225</v>
      </c>
      <c r="H232" s="234">
        <v>23892.075000000001</v>
      </c>
      <c r="I232" s="234">
        <v>63591.995999999999</v>
      </c>
      <c r="J232" s="234">
        <v>87722.982999999993</v>
      </c>
      <c r="K232" s="234">
        <v>104779.283</v>
      </c>
      <c r="L232" s="234">
        <v>99194.45</v>
      </c>
      <c r="M232" s="234">
        <v>21212.375</v>
      </c>
      <c r="N232" s="234">
        <v>83232.362999999998</v>
      </c>
      <c r="O232" s="235">
        <v>66270.042000000001</v>
      </c>
      <c r="P232" s="156"/>
      <c r="Q232" s="156"/>
    </row>
    <row r="233" spans="1:28">
      <c r="A233" s="255"/>
      <c r="B233" s="126" t="s">
        <v>79</v>
      </c>
      <c r="C233" s="234">
        <v>300.3</v>
      </c>
      <c r="D233" s="234">
        <v>851.55</v>
      </c>
      <c r="E233" s="234">
        <v>1234.2249999999999</v>
      </c>
      <c r="F233" s="234">
        <v>817.65</v>
      </c>
      <c r="G233" s="234">
        <v>1436.25</v>
      </c>
      <c r="H233" s="234">
        <v>2461.75</v>
      </c>
      <c r="I233" s="234">
        <v>2296.4499999999998</v>
      </c>
      <c r="J233" s="234">
        <v>2136.5</v>
      </c>
      <c r="K233" s="234">
        <v>679</v>
      </c>
      <c r="L233" s="234">
        <v>1243.3</v>
      </c>
      <c r="M233" s="234">
        <v>979.75</v>
      </c>
      <c r="N233" s="234">
        <v>771.75</v>
      </c>
      <c r="O233" s="235">
        <v>1365</v>
      </c>
      <c r="P233" s="157"/>
      <c r="Q233" s="157"/>
    </row>
    <row r="234" spans="1:28">
      <c r="A234" s="255"/>
      <c r="B234" s="126" t="s">
        <v>76</v>
      </c>
      <c r="C234" s="234">
        <v>8058.9750000000004</v>
      </c>
      <c r="D234" s="234">
        <v>17383.25</v>
      </c>
      <c r="E234" s="234">
        <v>19175.525000000001</v>
      </c>
      <c r="F234" s="234">
        <v>10980.45</v>
      </c>
      <c r="G234" s="234">
        <v>9205.7000000000007</v>
      </c>
      <c r="H234" s="234">
        <v>28796.799999999999</v>
      </c>
      <c r="I234" s="234">
        <v>30971.184000000001</v>
      </c>
      <c r="J234" s="234">
        <v>23083.05</v>
      </c>
      <c r="K234" s="234">
        <v>24323</v>
      </c>
      <c r="L234" s="234">
        <v>15956.517</v>
      </c>
      <c r="M234" s="234">
        <v>10532.25</v>
      </c>
      <c r="N234" s="234">
        <v>10383.450000000001</v>
      </c>
      <c r="O234" s="235">
        <v>10664.65</v>
      </c>
      <c r="P234" s="121"/>
      <c r="Q234" s="121"/>
    </row>
    <row r="235" spans="1:28">
      <c r="A235" s="253"/>
      <c r="B235" s="187" t="s">
        <v>0</v>
      </c>
      <c r="C235" s="236">
        <v>156362.80799999999</v>
      </c>
      <c r="D235" s="236">
        <v>232206.36499999999</v>
      </c>
      <c r="E235" s="236">
        <v>255756.17600000001</v>
      </c>
      <c r="F235" s="236">
        <v>173765.4</v>
      </c>
      <c r="G235" s="236">
        <v>210375.155</v>
      </c>
      <c r="H235" s="236">
        <v>361999.97499999998</v>
      </c>
      <c r="I235" s="236">
        <v>465357.5</v>
      </c>
      <c r="J235" s="236">
        <v>473304.163</v>
      </c>
      <c r="K235" s="236">
        <v>436169.891</v>
      </c>
      <c r="L235" s="236">
        <v>277421.08299999998</v>
      </c>
      <c r="M235" s="236">
        <v>207100.79999999999</v>
      </c>
      <c r="N235" s="236">
        <v>277654.71999999997</v>
      </c>
      <c r="O235" s="237">
        <v>226585.38399999999</v>
      </c>
      <c r="P235" s="157">
        <f>O235/C235-1</f>
        <v>0.44910024895434209</v>
      </c>
      <c r="Q235" s="157">
        <f>(O216+O235)/(C235+C216)-1</f>
        <v>0.52446842761071233</v>
      </c>
    </row>
    <row r="236" spans="1:28">
      <c r="C236" s="172"/>
      <c r="O236" s="172"/>
      <c r="P236" s="165"/>
      <c r="Q236" s="165"/>
      <c r="R236" s="165"/>
      <c r="S236" s="165"/>
      <c r="T236" s="165"/>
      <c r="U236" s="165"/>
      <c r="V236" s="165"/>
      <c r="W236" s="165"/>
      <c r="X236" s="165"/>
      <c r="Y236" s="165"/>
      <c r="Z236" s="165"/>
      <c r="AA236" s="165"/>
      <c r="AB236" s="165"/>
    </row>
    <row r="237" spans="1:28">
      <c r="O237" s="172"/>
      <c r="P237" s="165"/>
      <c r="Q237" s="165"/>
      <c r="R237" s="165"/>
      <c r="S237" s="165"/>
      <c r="T237" s="165"/>
      <c r="U237" s="165"/>
      <c r="V237" s="165"/>
      <c r="W237" s="165"/>
      <c r="X237" s="165"/>
      <c r="Y237" s="165"/>
      <c r="Z237" s="165"/>
      <c r="AA237" s="165"/>
      <c r="AB237" s="165"/>
    </row>
    <row r="238" spans="1:28">
      <c r="P238" s="165"/>
      <c r="Q238" s="165"/>
      <c r="R238" s="165"/>
      <c r="S238" s="165"/>
      <c r="T238" s="165"/>
      <c r="U238" s="165"/>
      <c r="V238" s="165"/>
      <c r="W238" s="165"/>
      <c r="X238" s="165"/>
      <c r="Y238" s="165"/>
      <c r="Z238" s="165"/>
      <c r="AA238" s="165"/>
      <c r="AB238" s="165"/>
    </row>
    <row r="239" spans="1:28">
      <c r="P239" s="165"/>
      <c r="Q239" s="165"/>
      <c r="R239" s="165"/>
      <c r="S239" s="165"/>
      <c r="T239" s="165"/>
      <c r="U239" s="165"/>
      <c r="V239" s="165"/>
      <c r="W239" s="165"/>
      <c r="X239" s="165"/>
      <c r="Y239" s="165"/>
      <c r="Z239" s="165"/>
      <c r="AA239" s="165"/>
      <c r="AB239" s="165"/>
    </row>
    <row r="240" spans="1:28">
      <c r="P240" s="165"/>
      <c r="Q240" s="165"/>
      <c r="R240" s="165"/>
      <c r="S240" s="165"/>
      <c r="T240" s="165"/>
      <c r="U240" s="165"/>
      <c r="V240" s="165"/>
      <c r="W240" s="165"/>
      <c r="X240" s="165"/>
      <c r="Y240" s="165"/>
      <c r="Z240" s="165"/>
      <c r="AA240" s="165"/>
      <c r="AB240" s="165"/>
    </row>
    <row r="241" spans="1:28">
      <c r="P241" s="165"/>
      <c r="Q241" s="165"/>
      <c r="R241" s="165"/>
      <c r="S241" s="165"/>
      <c r="T241" s="165"/>
      <c r="U241" s="165"/>
      <c r="V241" s="165"/>
      <c r="W241" s="165"/>
      <c r="X241" s="165"/>
      <c r="Y241" s="165"/>
      <c r="Z241" s="165"/>
      <c r="AA241" s="165"/>
      <c r="AB241" s="165"/>
    </row>
    <row r="242" spans="1:28">
      <c r="O242" s="172"/>
      <c r="P242" s="165"/>
      <c r="Q242" s="165"/>
      <c r="R242" s="165"/>
      <c r="S242" s="165"/>
      <c r="T242" s="165"/>
      <c r="U242" s="165"/>
      <c r="V242" s="165"/>
      <c r="W242" s="165"/>
      <c r="X242" s="165"/>
      <c r="Y242" s="165"/>
      <c r="Z242" s="165"/>
      <c r="AA242" s="165"/>
      <c r="AB242" s="165"/>
    </row>
    <row r="243" spans="1:28">
      <c r="O243" s="172"/>
      <c r="P243" s="165"/>
      <c r="Q243" s="165"/>
      <c r="R243" s="165"/>
      <c r="S243" s="165"/>
      <c r="T243" s="165"/>
      <c r="U243" s="165"/>
      <c r="V243" s="165"/>
      <c r="W243" s="165"/>
      <c r="X243" s="165"/>
      <c r="Y243" s="165"/>
      <c r="Z243" s="165"/>
      <c r="AA243" s="165"/>
      <c r="AB243" s="165"/>
    </row>
    <row r="244" spans="1:28">
      <c r="O244" s="172"/>
      <c r="P244" s="165"/>
      <c r="Q244" s="165"/>
      <c r="R244" s="165"/>
      <c r="S244" s="165"/>
      <c r="T244" s="165"/>
      <c r="U244" s="165"/>
      <c r="V244" s="165"/>
      <c r="W244" s="165"/>
      <c r="X244" s="165"/>
      <c r="Y244" s="165"/>
      <c r="Z244" s="165"/>
      <c r="AA244" s="165"/>
      <c r="AB244" s="165"/>
    </row>
    <row r="245" spans="1:28">
      <c r="P245" s="165"/>
      <c r="Q245" s="165"/>
      <c r="R245" s="165"/>
      <c r="S245" s="165"/>
      <c r="T245" s="165"/>
      <c r="U245" s="165"/>
      <c r="V245" s="165"/>
      <c r="W245" s="165"/>
      <c r="X245" s="165"/>
      <c r="Y245" s="165"/>
      <c r="Z245" s="165"/>
      <c r="AA245" s="165"/>
      <c r="AB245" s="165"/>
    </row>
    <row r="246" spans="1:28">
      <c r="P246" s="165"/>
      <c r="Q246" s="165"/>
      <c r="R246" s="165"/>
      <c r="S246" s="165"/>
      <c r="T246" s="165"/>
      <c r="U246" s="165"/>
      <c r="V246" s="165"/>
      <c r="W246" s="165"/>
      <c r="X246" s="165"/>
      <c r="Y246" s="165"/>
      <c r="Z246" s="165"/>
      <c r="AA246" s="165"/>
      <c r="AB246" s="165"/>
    </row>
    <row r="247" spans="1:28">
      <c r="O247" s="165"/>
      <c r="P247" s="165"/>
      <c r="Q247" s="165"/>
      <c r="R247" s="165"/>
      <c r="S247" s="165"/>
      <c r="T247" s="165"/>
      <c r="U247" s="165"/>
      <c r="V247" s="165"/>
      <c r="W247" s="165"/>
      <c r="X247" s="165"/>
      <c r="Y247" s="165"/>
      <c r="Z247" s="165"/>
      <c r="AA247" s="165"/>
      <c r="AB247" s="165"/>
    </row>
    <row r="248" spans="1:28">
      <c r="O248" s="165"/>
      <c r="P248" s="165"/>
      <c r="Q248" s="165"/>
      <c r="R248" s="165"/>
      <c r="S248" s="165"/>
      <c r="T248" s="165"/>
      <c r="U248" s="165"/>
      <c r="V248" s="165"/>
      <c r="W248" s="165"/>
      <c r="X248" s="165"/>
      <c r="Y248" s="165"/>
      <c r="Z248" s="165"/>
      <c r="AA248" s="165"/>
      <c r="AB248" s="165"/>
    </row>
    <row r="249" spans="1:28">
      <c r="A249" s="166"/>
      <c r="B249" s="165"/>
      <c r="C249" s="165"/>
      <c r="D249" s="165"/>
      <c r="E249" s="165"/>
      <c r="F249" s="165"/>
      <c r="G249" s="165"/>
      <c r="H249" s="165"/>
      <c r="I249" s="165"/>
      <c r="J249" s="165"/>
      <c r="K249" s="165"/>
      <c r="L249" s="165"/>
      <c r="M249" s="165"/>
      <c r="N249" s="165"/>
      <c r="O249" s="165"/>
      <c r="P249" s="165"/>
      <c r="Q249" s="165"/>
      <c r="R249" s="165"/>
      <c r="S249" s="165"/>
      <c r="T249" s="165"/>
      <c r="U249" s="165"/>
      <c r="V249" s="165"/>
      <c r="W249" s="165"/>
      <c r="X249" s="165"/>
      <c r="Y249" s="165"/>
      <c r="Z249" s="165"/>
      <c r="AA249" s="165"/>
      <c r="AB249" s="165"/>
    </row>
    <row r="250" spans="1:28">
      <c r="P250" s="165"/>
      <c r="Q250" s="165"/>
      <c r="R250" s="165"/>
      <c r="S250" s="165"/>
      <c r="T250" s="165"/>
      <c r="U250" s="165"/>
      <c r="V250" s="165"/>
      <c r="W250" s="165"/>
      <c r="X250" s="165"/>
      <c r="Y250" s="165"/>
      <c r="Z250" s="165"/>
      <c r="AA250" s="165"/>
      <c r="AB250" s="165"/>
    </row>
    <row r="251" spans="1:28">
      <c r="P251" s="165"/>
      <c r="Q251" s="165"/>
      <c r="R251" s="165"/>
      <c r="S251" s="165"/>
      <c r="T251" s="165"/>
      <c r="U251" s="165"/>
      <c r="V251" s="165"/>
      <c r="W251" s="165"/>
      <c r="X251" s="165"/>
      <c r="Y251" s="165"/>
      <c r="Z251" s="165"/>
      <c r="AA251" s="165"/>
      <c r="AB251" s="165"/>
    </row>
    <row r="252" spans="1:28">
      <c r="Q252" s="165"/>
      <c r="R252" s="165"/>
      <c r="S252" s="165"/>
      <c r="T252" s="165"/>
      <c r="U252" s="165"/>
      <c r="V252" s="165"/>
      <c r="W252" s="165"/>
      <c r="X252" s="165"/>
      <c r="Y252" s="165"/>
      <c r="Z252" s="165"/>
      <c r="AA252" s="165"/>
      <c r="AB252" s="165"/>
    </row>
    <row r="253" spans="1:28">
      <c r="Q253" s="156"/>
    </row>
    <row r="254" spans="1:28">
      <c r="Q254" s="156"/>
    </row>
    <row r="255" spans="1:28">
      <c r="Q255" s="156"/>
    </row>
    <row r="256" spans="1:28">
      <c r="Q256" s="156"/>
    </row>
    <row r="257" spans="1:17">
      <c r="A257" s="84" t="s">
        <v>175</v>
      </c>
      <c r="C257" s="168" t="str">
        <f>MID(C259,6,1)</f>
        <v>A</v>
      </c>
      <c r="D257" s="168" t="str">
        <f t="shared" ref="D257:O257" si="8">MID(D259,6,1)</f>
        <v>S</v>
      </c>
      <c r="E257" s="168" t="str">
        <f t="shared" si="8"/>
        <v>O</v>
      </c>
      <c r="F257" s="168" t="str">
        <f t="shared" si="8"/>
        <v>N</v>
      </c>
      <c r="G257" s="168" t="str">
        <f t="shared" si="8"/>
        <v>D</v>
      </c>
      <c r="H257" s="168" t="str">
        <f t="shared" si="8"/>
        <v>E</v>
      </c>
      <c r="I257" s="168" t="str">
        <f t="shared" si="8"/>
        <v>F</v>
      </c>
      <c r="J257" s="168" t="str">
        <f t="shared" si="8"/>
        <v>M</v>
      </c>
      <c r="K257" s="168" t="str">
        <f t="shared" si="8"/>
        <v>A</v>
      </c>
      <c r="L257" s="168" t="str">
        <f t="shared" si="8"/>
        <v>M</v>
      </c>
      <c r="M257" s="168" t="str">
        <f t="shared" si="8"/>
        <v>J</v>
      </c>
      <c r="N257" s="168" t="str">
        <f t="shared" si="8"/>
        <v>J</v>
      </c>
      <c r="O257" s="168" t="str">
        <f t="shared" si="8"/>
        <v>A</v>
      </c>
      <c r="Q257" s="156"/>
    </row>
    <row r="258" spans="1:17">
      <c r="A258" s="124"/>
      <c r="B258" s="124" t="s">
        <v>27</v>
      </c>
      <c r="C258" s="276" t="s">
        <v>172</v>
      </c>
      <c r="D258" s="277"/>
      <c r="E258" s="277"/>
      <c r="F258" s="277"/>
      <c r="G258" s="277"/>
      <c r="H258" s="277"/>
      <c r="I258" s="277"/>
      <c r="J258" s="277"/>
      <c r="K258" s="277"/>
      <c r="L258" s="277"/>
      <c r="M258" s="277"/>
      <c r="N258" s="277"/>
      <c r="O258" s="277"/>
      <c r="Q258" s="156"/>
    </row>
    <row r="259" spans="1:17">
      <c r="A259" s="124"/>
      <c r="B259" s="124" t="s">
        <v>87</v>
      </c>
      <c r="C259" s="225" t="s">
        <v>211</v>
      </c>
      <c r="D259" s="225" t="s">
        <v>213</v>
      </c>
      <c r="E259" s="225" t="s">
        <v>215</v>
      </c>
      <c r="F259" s="225" t="s">
        <v>218</v>
      </c>
      <c r="G259" s="225" t="s">
        <v>220</v>
      </c>
      <c r="H259" s="225" t="s">
        <v>224</v>
      </c>
      <c r="I259" s="225" t="s">
        <v>226</v>
      </c>
      <c r="J259" s="225" t="s">
        <v>229</v>
      </c>
      <c r="K259" s="225" t="s">
        <v>239</v>
      </c>
      <c r="L259" s="225" t="s">
        <v>242</v>
      </c>
      <c r="M259" s="225" t="s">
        <v>244</v>
      </c>
      <c r="N259" s="225" t="s">
        <v>247</v>
      </c>
      <c r="O259" s="224" t="s">
        <v>281</v>
      </c>
      <c r="Q259" s="156"/>
    </row>
    <row r="260" spans="1:17">
      <c r="A260" s="124" t="s">
        <v>120</v>
      </c>
      <c r="B260" s="124" t="s">
        <v>121</v>
      </c>
      <c r="C260" s="225"/>
      <c r="D260" s="225"/>
      <c r="E260" s="225"/>
      <c r="F260" s="225"/>
      <c r="G260" s="225"/>
      <c r="H260" s="225"/>
      <c r="I260" s="225"/>
      <c r="J260" s="225"/>
      <c r="K260" s="225"/>
      <c r="L260" s="225"/>
      <c r="M260" s="225"/>
      <c r="N260" s="225"/>
      <c r="O260" s="224"/>
      <c r="Q260" s="156"/>
    </row>
    <row r="261" spans="1:17">
      <c r="A261" s="259" t="s">
        <v>71</v>
      </c>
      <c r="B261" s="126" t="s">
        <v>82</v>
      </c>
      <c r="C261" s="234">
        <v>0</v>
      </c>
      <c r="D261" s="234">
        <v>0</v>
      </c>
      <c r="E261" s="234">
        <v>0</v>
      </c>
      <c r="F261" s="234">
        <v>0</v>
      </c>
      <c r="G261" s="234">
        <v>0</v>
      </c>
      <c r="H261" s="234">
        <v>0</v>
      </c>
      <c r="I261" s="234">
        <v>0</v>
      </c>
      <c r="J261" s="234">
        <v>0</v>
      </c>
      <c r="K261" s="234">
        <v>0</v>
      </c>
      <c r="L261" s="234">
        <v>0</v>
      </c>
      <c r="M261" s="234">
        <v>0</v>
      </c>
      <c r="N261" s="234">
        <v>0</v>
      </c>
      <c r="O261" s="235">
        <v>0</v>
      </c>
      <c r="Q261" s="156"/>
    </row>
    <row r="262" spans="1:17">
      <c r="A262" s="255"/>
      <c r="B262" s="126" t="s">
        <v>73</v>
      </c>
      <c r="C262" s="234">
        <v>0</v>
      </c>
      <c r="D262" s="234">
        <v>127.5</v>
      </c>
      <c r="E262" s="234">
        <v>362</v>
      </c>
      <c r="F262" s="234">
        <v>1633</v>
      </c>
      <c r="G262" s="234">
        <v>2088.5</v>
      </c>
      <c r="H262" s="234">
        <v>693</v>
      </c>
      <c r="I262" s="234">
        <v>260</v>
      </c>
      <c r="J262" s="234">
        <v>897.77499999999998</v>
      </c>
      <c r="K262" s="234">
        <v>298.75</v>
      </c>
      <c r="L262" s="234">
        <v>0</v>
      </c>
      <c r="M262" s="234">
        <v>45</v>
      </c>
      <c r="N262" s="234">
        <v>75.974999999999994</v>
      </c>
      <c r="O262" s="235">
        <v>0</v>
      </c>
      <c r="Q262" s="156"/>
    </row>
    <row r="263" spans="1:17">
      <c r="A263" s="255"/>
      <c r="B263" s="126" t="s">
        <v>23</v>
      </c>
      <c r="C263" s="234">
        <v>165694.04999999999</v>
      </c>
      <c r="D263" s="234">
        <v>125756.45</v>
      </c>
      <c r="E263" s="234">
        <v>89216.125</v>
      </c>
      <c r="F263" s="234">
        <v>197862.55</v>
      </c>
      <c r="G263" s="234">
        <v>213803.25</v>
      </c>
      <c r="H263" s="234">
        <v>129121.52499999999</v>
      </c>
      <c r="I263" s="234">
        <v>119835.95</v>
      </c>
      <c r="J263" s="234">
        <v>65766.524999999994</v>
      </c>
      <c r="K263" s="234">
        <v>18888.825000000001</v>
      </c>
      <c r="L263" s="234">
        <v>20152.424999999999</v>
      </c>
      <c r="M263" s="234">
        <v>150562.97500000001</v>
      </c>
      <c r="N263" s="234">
        <v>111394.65</v>
      </c>
      <c r="O263" s="235">
        <v>161963.32500000001</v>
      </c>
      <c r="P263" s="156"/>
      <c r="Q263" s="156"/>
    </row>
    <row r="264" spans="1:17">
      <c r="A264" s="255"/>
      <c r="B264" s="126" t="s">
        <v>80</v>
      </c>
      <c r="C264" s="234">
        <v>45.65</v>
      </c>
      <c r="D264" s="234">
        <v>14.25</v>
      </c>
      <c r="E264" s="234">
        <v>24.5</v>
      </c>
      <c r="F264" s="234">
        <v>6</v>
      </c>
      <c r="G264" s="234">
        <v>2.75</v>
      </c>
      <c r="H264" s="234">
        <v>0</v>
      </c>
      <c r="I264" s="234">
        <v>0</v>
      </c>
      <c r="J264" s="234">
        <v>99.275000000000006</v>
      </c>
      <c r="K264" s="234">
        <v>7.25</v>
      </c>
      <c r="L264" s="234">
        <v>35.174999999999997</v>
      </c>
      <c r="M264" s="234">
        <v>74.724999999999994</v>
      </c>
      <c r="N264" s="234">
        <v>111</v>
      </c>
      <c r="O264" s="235">
        <v>60.625</v>
      </c>
      <c r="P264" s="156"/>
      <c r="Q264" s="156"/>
    </row>
    <row r="265" spans="1:17">
      <c r="A265" s="255"/>
      <c r="B265" s="126" t="s">
        <v>74</v>
      </c>
      <c r="C265" s="234">
        <v>8039.05</v>
      </c>
      <c r="D265" s="234">
        <v>7439.25</v>
      </c>
      <c r="E265" s="234">
        <v>12368</v>
      </c>
      <c r="F265" s="234">
        <v>6237.75</v>
      </c>
      <c r="G265" s="234">
        <v>7032</v>
      </c>
      <c r="H265" s="234">
        <v>12204.95</v>
      </c>
      <c r="I265" s="234">
        <v>6649.75</v>
      </c>
      <c r="J265" s="234">
        <v>13922</v>
      </c>
      <c r="K265" s="234">
        <v>7157.5749999999998</v>
      </c>
      <c r="L265" s="234">
        <v>13771.375</v>
      </c>
      <c r="M265" s="234">
        <v>10233.450000000001</v>
      </c>
      <c r="N265" s="234">
        <v>3364.5</v>
      </c>
      <c r="O265" s="235">
        <v>4842.1000000000004</v>
      </c>
      <c r="P265" s="156"/>
      <c r="Q265" s="156"/>
    </row>
    <row r="266" spans="1:17">
      <c r="A266" s="255"/>
      <c r="B266" s="126" t="s">
        <v>83</v>
      </c>
      <c r="C266" s="234">
        <v>0</v>
      </c>
      <c r="D266" s="234">
        <v>0</v>
      </c>
      <c r="E266" s="234">
        <v>0</v>
      </c>
      <c r="F266" s="234">
        <v>0</v>
      </c>
      <c r="G266" s="234">
        <v>0</v>
      </c>
      <c r="H266" s="234">
        <v>0</v>
      </c>
      <c r="I266" s="234">
        <v>0</v>
      </c>
      <c r="J266" s="234">
        <v>0</v>
      </c>
      <c r="K266" s="234">
        <v>0</v>
      </c>
      <c r="L266" s="234">
        <v>0</v>
      </c>
      <c r="M266" s="234">
        <v>0</v>
      </c>
      <c r="N266" s="234">
        <v>0</v>
      </c>
      <c r="O266" s="235">
        <v>0</v>
      </c>
      <c r="P266" s="157"/>
      <c r="Q266" s="156"/>
    </row>
    <row r="267" spans="1:17">
      <c r="A267" s="255"/>
      <c r="B267" s="126" t="s">
        <v>77</v>
      </c>
      <c r="C267" s="234">
        <v>12857.125</v>
      </c>
      <c r="D267" s="234">
        <v>10297.075000000001</v>
      </c>
      <c r="E267" s="234">
        <v>17407.400000000001</v>
      </c>
      <c r="F267" s="234">
        <v>18914.650000000001</v>
      </c>
      <c r="G267" s="234">
        <v>19104.8</v>
      </c>
      <c r="H267" s="234">
        <v>19423.2</v>
      </c>
      <c r="I267" s="234">
        <v>12835.85</v>
      </c>
      <c r="J267" s="234">
        <v>17127.724999999999</v>
      </c>
      <c r="K267" s="234">
        <v>14921.8</v>
      </c>
      <c r="L267" s="234">
        <v>16516.95</v>
      </c>
      <c r="M267" s="234">
        <v>18618.8</v>
      </c>
      <c r="N267" s="234">
        <v>14987.65</v>
      </c>
      <c r="O267" s="235">
        <v>13106.95</v>
      </c>
      <c r="P267" s="156"/>
      <c r="Q267" s="156"/>
    </row>
    <row r="268" spans="1:17">
      <c r="A268" s="255"/>
      <c r="B268" s="126" t="s">
        <v>249</v>
      </c>
      <c r="C268" s="234">
        <v>0</v>
      </c>
      <c r="D268" s="234">
        <v>0</v>
      </c>
      <c r="E268" s="234">
        <v>0</v>
      </c>
      <c r="F268" s="234">
        <v>0</v>
      </c>
      <c r="G268" s="234">
        <v>0</v>
      </c>
      <c r="H268" s="234">
        <v>0</v>
      </c>
      <c r="I268" s="234">
        <v>0</v>
      </c>
      <c r="J268" s="234">
        <v>0</v>
      </c>
      <c r="K268" s="234">
        <v>0</v>
      </c>
      <c r="L268" s="234">
        <v>0</v>
      </c>
      <c r="M268" s="234">
        <v>0</v>
      </c>
      <c r="N268" s="234">
        <v>0</v>
      </c>
      <c r="O268" s="235">
        <v>0</v>
      </c>
      <c r="P268" s="156"/>
      <c r="Q268" s="156"/>
    </row>
    <row r="269" spans="1:17">
      <c r="A269" s="255"/>
      <c r="B269" s="126" t="s">
        <v>210</v>
      </c>
      <c r="C269" s="234">
        <v>0</v>
      </c>
      <c r="D269" s="234">
        <v>0</v>
      </c>
      <c r="E269" s="234">
        <v>0</v>
      </c>
      <c r="F269" s="234">
        <v>0</v>
      </c>
      <c r="G269" s="234">
        <v>0</v>
      </c>
      <c r="H269" s="234">
        <v>0</v>
      </c>
      <c r="I269" s="234">
        <v>0</v>
      </c>
      <c r="J269" s="234">
        <v>0</v>
      </c>
      <c r="K269" s="234">
        <v>0</v>
      </c>
      <c r="L269" s="234">
        <v>0</v>
      </c>
      <c r="M269" s="234">
        <v>0</v>
      </c>
      <c r="N269" s="234">
        <v>0</v>
      </c>
      <c r="O269" s="235">
        <v>0</v>
      </c>
      <c r="P269" s="156"/>
      <c r="Q269" s="156"/>
    </row>
    <row r="270" spans="1:17">
      <c r="A270" s="255"/>
      <c r="B270" s="126" t="s">
        <v>19</v>
      </c>
      <c r="C270" s="234">
        <v>18607.349999999999</v>
      </c>
      <c r="D270" s="234">
        <v>15957.25</v>
      </c>
      <c r="E270" s="234">
        <v>25102.724999999999</v>
      </c>
      <c r="F270" s="234">
        <v>20039.8</v>
      </c>
      <c r="G270" s="234">
        <v>26686.775000000001</v>
      </c>
      <c r="H270" s="234">
        <v>30557.85</v>
      </c>
      <c r="I270" s="234">
        <v>23615.575000000001</v>
      </c>
      <c r="J270" s="234">
        <v>26903.4</v>
      </c>
      <c r="K270" s="234">
        <v>24686.325000000001</v>
      </c>
      <c r="L270" s="234">
        <v>20361.7</v>
      </c>
      <c r="M270" s="234">
        <v>15819.9</v>
      </c>
      <c r="N270" s="234">
        <v>27721.9</v>
      </c>
      <c r="O270" s="235">
        <v>27274.55</v>
      </c>
      <c r="P270" s="156"/>
      <c r="Q270" s="156"/>
    </row>
    <row r="271" spans="1:17">
      <c r="A271" s="255"/>
      <c r="B271" s="126" t="s">
        <v>171</v>
      </c>
      <c r="C271" s="234">
        <v>0</v>
      </c>
      <c r="D271" s="234">
        <v>0</v>
      </c>
      <c r="E271" s="234">
        <v>0</v>
      </c>
      <c r="F271" s="234">
        <v>0</v>
      </c>
      <c r="G271" s="234">
        <v>0</v>
      </c>
      <c r="H271" s="234">
        <v>0</v>
      </c>
      <c r="I271" s="234">
        <v>0</v>
      </c>
      <c r="J271" s="234">
        <v>0</v>
      </c>
      <c r="K271" s="234">
        <v>0</v>
      </c>
      <c r="L271" s="234">
        <v>0</v>
      </c>
      <c r="M271" s="234">
        <v>0</v>
      </c>
      <c r="N271" s="234">
        <v>0</v>
      </c>
      <c r="O271" s="235">
        <v>0</v>
      </c>
      <c r="P271" s="156"/>
      <c r="Q271" s="156"/>
    </row>
    <row r="272" spans="1:17">
      <c r="A272" s="255"/>
      <c r="B272" s="126" t="s">
        <v>85</v>
      </c>
      <c r="C272" s="234">
        <v>0</v>
      </c>
      <c r="D272" s="234">
        <v>0</v>
      </c>
      <c r="E272" s="234">
        <v>0</v>
      </c>
      <c r="F272" s="234">
        <v>0</v>
      </c>
      <c r="G272" s="234">
        <v>0</v>
      </c>
      <c r="H272" s="234">
        <v>0</v>
      </c>
      <c r="I272" s="234">
        <v>0</v>
      </c>
      <c r="J272" s="234">
        <v>0</v>
      </c>
      <c r="K272" s="234">
        <v>0</v>
      </c>
      <c r="L272" s="234">
        <v>0</v>
      </c>
      <c r="M272" s="234">
        <v>0</v>
      </c>
      <c r="N272" s="234">
        <v>0</v>
      </c>
      <c r="O272" s="235">
        <v>0</v>
      </c>
      <c r="P272" s="156"/>
      <c r="Q272" s="156"/>
    </row>
    <row r="273" spans="1:18">
      <c r="A273" s="255"/>
      <c r="B273" s="126" t="s">
        <v>72</v>
      </c>
      <c r="C273" s="234">
        <v>342</v>
      </c>
      <c r="D273" s="234">
        <v>0</v>
      </c>
      <c r="E273" s="234">
        <v>0</v>
      </c>
      <c r="F273" s="234">
        <v>119.52500000000001</v>
      </c>
      <c r="G273" s="234">
        <v>15.75</v>
      </c>
      <c r="H273" s="234">
        <v>369.95</v>
      </c>
      <c r="I273" s="234">
        <v>0</v>
      </c>
      <c r="J273" s="234">
        <v>384.25</v>
      </c>
      <c r="K273" s="234">
        <v>324.5</v>
      </c>
      <c r="L273" s="234">
        <v>1562.875</v>
      </c>
      <c r="M273" s="234">
        <v>1112.175</v>
      </c>
      <c r="N273" s="234">
        <v>171.25</v>
      </c>
      <c r="O273" s="235">
        <v>85</v>
      </c>
      <c r="P273" s="156"/>
      <c r="Q273" s="156"/>
    </row>
    <row r="274" spans="1:18">
      <c r="A274" s="255"/>
      <c r="B274" s="126" t="s">
        <v>81</v>
      </c>
      <c r="C274" s="234">
        <v>0</v>
      </c>
      <c r="D274" s="234">
        <v>2</v>
      </c>
      <c r="E274" s="234">
        <v>10</v>
      </c>
      <c r="F274" s="234">
        <v>0</v>
      </c>
      <c r="G274" s="234">
        <v>0</v>
      </c>
      <c r="H274" s="234">
        <v>0</v>
      </c>
      <c r="I274" s="234">
        <v>28</v>
      </c>
      <c r="J274" s="234">
        <v>266.25</v>
      </c>
      <c r="K274" s="234">
        <v>44.25</v>
      </c>
      <c r="L274" s="234">
        <v>17.75</v>
      </c>
      <c r="M274" s="234">
        <v>4</v>
      </c>
      <c r="N274" s="234">
        <v>3</v>
      </c>
      <c r="O274" s="235">
        <v>46.25</v>
      </c>
      <c r="P274" s="156"/>
      <c r="Q274" s="156"/>
    </row>
    <row r="275" spans="1:18">
      <c r="A275" s="255"/>
      <c r="B275" s="126" t="s">
        <v>86</v>
      </c>
      <c r="C275" s="234">
        <v>0</v>
      </c>
      <c r="D275" s="234">
        <v>0</v>
      </c>
      <c r="E275" s="234">
        <v>0</v>
      </c>
      <c r="F275" s="234">
        <v>0</v>
      </c>
      <c r="G275" s="234">
        <v>0</v>
      </c>
      <c r="H275" s="234">
        <v>0</v>
      </c>
      <c r="I275" s="234">
        <v>0</v>
      </c>
      <c r="J275" s="234">
        <v>0</v>
      </c>
      <c r="K275" s="234">
        <v>0</v>
      </c>
      <c r="L275" s="234">
        <v>0</v>
      </c>
      <c r="M275" s="234">
        <v>0</v>
      </c>
      <c r="N275" s="234">
        <v>0</v>
      </c>
      <c r="O275" s="235">
        <v>0</v>
      </c>
      <c r="P275" s="156"/>
      <c r="Q275" s="156"/>
    </row>
    <row r="276" spans="1:18">
      <c r="A276" s="255"/>
      <c r="B276" s="126" t="s">
        <v>78</v>
      </c>
      <c r="C276" s="234">
        <v>5419.0249999999996</v>
      </c>
      <c r="D276" s="234">
        <v>3986.1750000000002</v>
      </c>
      <c r="E276" s="234">
        <v>5834.9250000000002</v>
      </c>
      <c r="F276" s="234">
        <v>8104.85</v>
      </c>
      <c r="G276" s="234">
        <v>5803.45</v>
      </c>
      <c r="H276" s="234">
        <v>4828.8</v>
      </c>
      <c r="I276" s="234">
        <v>5984.15</v>
      </c>
      <c r="J276" s="234">
        <v>6692.5249999999996</v>
      </c>
      <c r="K276" s="234">
        <v>4274.6750000000002</v>
      </c>
      <c r="L276" s="234">
        <v>6754.4</v>
      </c>
      <c r="M276" s="234">
        <v>14755.35</v>
      </c>
      <c r="N276" s="234">
        <v>7808.2749999999996</v>
      </c>
      <c r="O276" s="235">
        <v>13868.125</v>
      </c>
      <c r="P276" s="156"/>
      <c r="Q276" s="156"/>
    </row>
    <row r="277" spans="1:18">
      <c r="A277" s="255"/>
      <c r="B277" s="126" t="s">
        <v>79</v>
      </c>
      <c r="C277" s="234">
        <v>129</v>
      </c>
      <c r="D277" s="234">
        <v>100.75</v>
      </c>
      <c r="E277" s="234">
        <v>79.5</v>
      </c>
      <c r="F277" s="234">
        <v>169</v>
      </c>
      <c r="G277" s="234">
        <v>76.75</v>
      </c>
      <c r="H277" s="234">
        <v>103.5</v>
      </c>
      <c r="I277" s="234">
        <v>86</v>
      </c>
      <c r="J277" s="234">
        <v>265.75</v>
      </c>
      <c r="K277" s="234">
        <v>984</v>
      </c>
      <c r="L277" s="234">
        <v>815.25</v>
      </c>
      <c r="M277" s="234">
        <v>770.25</v>
      </c>
      <c r="N277" s="234">
        <v>864.57500000000005</v>
      </c>
      <c r="O277" s="235">
        <v>907.3</v>
      </c>
      <c r="P277" s="156"/>
      <c r="Q277" s="156"/>
    </row>
    <row r="278" spans="1:18">
      <c r="A278" s="255"/>
      <c r="B278" s="126" t="s">
        <v>76</v>
      </c>
      <c r="C278" s="234">
        <v>12669</v>
      </c>
      <c r="D278" s="234">
        <v>25155.45</v>
      </c>
      <c r="E278" s="234">
        <v>19543.974999999999</v>
      </c>
      <c r="F278" s="234">
        <v>11408.825000000001</v>
      </c>
      <c r="G278" s="234">
        <v>14501.075000000001</v>
      </c>
      <c r="H278" s="234">
        <v>15439.674999999999</v>
      </c>
      <c r="I278" s="234">
        <v>8457.2749999999996</v>
      </c>
      <c r="J278" s="234">
        <v>13758.475</v>
      </c>
      <c r="K278" s="234">
        <v>13137.825000000001</v>
      </c>
      <c r="L278" s="234">
        <v>16514.55</v>
      </c>
      <c r="M278" s="234">
        <v>15115.8</v>
      </c>
      <c r="N278" s="234">
        <v>6738.7</v>
      </c>
      <c r="O278" s="235">
        <v>19303.125</v>
      </c>
      <c r="P278" s="157"/>
      <c r="Q278" s="157"/>
    </row>
    <row r="279" spans="1:18">
      <c r="A279" s="253"/>
      <c r="B279" s="187" t="s">
        <v>0</v>
      </c>
      <c r="C279" s="236">
        <v>223802.25</v>
      </c>
      <c r="D279" s="236">
        <v>188836.15</v>
      </c>
      <c r="E279" s="236">
        <v>169949.15</v>
      </c>
      <c r="F279" s="236">
        <v>264495.95</v>
      </c>
      <c r="G279" s="236">
        <v>289115.09999999998</v>
      </c>
      <c r="H279" s="236">
        <v>212742.45</v>
      </c>
      <c r="I279" s="236">
        <v>177752.55</v>
      </c>
      <c r="J279" s="236">
        <v>146083.95000000001</v>
      </c>
      <c r="K279" s="236">
        <v>84725.774999999994</v>
      </c>
      <c r="L279" s="236">
        <v>96502.45</v>
      </c>
      <c r="M279" s="236">
        <v>227112.42499999999</v>
      </c>
      <c r="N279" s="236">
        <v>173241.47500000001</v>
      </c>
      <c r="O279" s="237">
        <v>241457.35</v>
      </c>
      <c r="P279" s="157">
        <f>O279/C279-1</f>
        <v>7.8887053190930922E-2</v>
      </c>
      <c r="Q279" s="157"/>
    </row>
    <row r="280" spans="1:18">
      <c r="A280" s="252" t="s">
        <v>75</v>
      </c>
      <c r="B280" s="126" t="s">
        <v>82</v>
      </c>
      <c r="C280" s="234">
        <v>0</v>
      </c>
      <c r="D280" s="234">
        <v>0</v>
      </c>
      <c r="E280" s="234">
        <v>0</v>
      </c>
      <c r="F280" s="234">
        <v>0</v>
      </c>
      <c r="G280" s="234">
        <v>0</v>
      </c>
      <c r="H280" s="234">
        <v>0</v>
      </c>
      <c r="I280" s="234">
        <v>0</v>
      </c>
      <c r="J280" s="234">
        <v>0</v>
      </c>
      <c r="K280" s="234">
        <v>0</v>
      </c>
      <c r="L280" s="234">
        <v>0</v>
      </c>
      <c r="M280" s="234">
        <v>0</v>
      </c>
      <c r="N280" s="234">
        <v>0</v>
      </c>
      <c r="O280" s="235">
        <v>0</v>
      </c>
    </row>
    <row r="281" spans="1:18">
      <c r="A281" s="255"/>
      <c r="B281" s="126" t="s">
        <v>73</v>
      </c>
      <c r="C281" s="234">
        <v>381</v>
      </c>
      <c r="D281" s="234">
        <v>406</v>
      </c>
      <c r="E281" s="234">
        <v>833.8</v>
      </c>
      <c r="F281" s="234">
        <v>128.25</v>
      </c>
      <c r="G281" s="234">
        <v>200.75</v>
      </c>
      <c r="H281" s="234">
        <v>810</v>
      </c>
      <c r="I281" s="234">
        <v>132</v>
      </c>
      <c r="J281" s="234">
        <v>28.75</v>
      </c>
      <c r="K281" s="234">
        <v>155.75</v>
      </c>
      <c r="L281" s="234">
        <v>0</v>
      </c>
      <c r="M281" s="234">
        <v>11.5</v>
      </c>
      <c r="N281" s="234">
        <v>0</v>
      </c>
      <c r="O281" s="235">
        <v>0</v>
      </c>
    </row>
    <row r="282" spans="1:18">
      <c r="A282" s="255"/>
      <c r="B282" s="126" t="s">
        <v>23</v>
      </c>
      <c r="C282" s="234">
        <v>19143.775000000001</v>
      </c>
      <c r="D282" s="234">
        <v>23707.275000000001</v>
      </c>
      <c r="E282" s="234">
        <v>20838.625</v>
      </c>
      <c r="F282" s="234">
        <v>20258.349999999999</v>
      </c>
      <c r="G282" s="234">
        <v>23259.55</v>
      </c>
      <c r="H282" s="234">
        <v>40918.074999999997</v>
      </c>
      <c r="I282" s="234">
        <v>55261.525000000001</v>
      </c>
      <c r="J282" s="234">
        <v>35693.599999999999</v>
      </c>
      <c r="K282" s="234">
        <v>15588.025</v>
      </c>
      <c r="L282" s="234">
        <v>9638.65</v>
      </c>
      <c r="M282" s="234">
        <v>14278.375</v>
      </c>
      <c r="N282" s="234">
        <v>13517.6</v>
      </c>
      <c r="O282" s="235">
        <v>17210.974999999999</v>
      </c>
      <c r="P282" s="165"/>
      <c r="Q282" s="165"/>
      <c r="R282" s="165"/>
    </row>
    <row r="283" spans="1:18">
      <c r="A283" s="255"/>
      <c r="B283" s="126" t="s">
        <v>80</v>
      </c>
      <c r="C283" s="234">
        <v>574.29999999999995</v>
      </c>
      <c r="D283" s="234">
        <v>336.55</v>
      </c>
      <c r="E283" s="234">
        <v>485.85</v>
      </c>
      <c r="F283" s="234">
        <v>367.02499999999998</v>
      </c>
      <c r="G283" s="234">
        <v>136.5</v>
      </c>
      <c r="H283" s="234">
        <v>765.1</v>
      </c>
      <c r="I283" s="234">
        <v>17</v>
      </c>
      <c r="J283" s="234">
        <v>461.27499999999998</v>
      </c>
      <c r="K283" s="234">
        <v>424</v>
      </c>
      <c r="L283" s="234">
        <v>44.6</v>
      </c>
      <c r="M283" s="234">
        <v>142.15</v>
      </c>
      <c r="N283" s="234">
        <v>382.25</v>
      </c>
      <c r="O283" s="235">
        <v>334.7</v>
      </c>
      <c r="P283" s="165"/>
      <c r="Q283" s="165"/>
      <c r="R283" s="165"/>
    </row>
    <row r="284" spans="1:18">
      <c r="A284" s="255"/>
      <c r="B284" s="126" t="s">
        <v>74</v>
      </c>
      <c r="C284" s="234">
        <v>85489</v>
      </c>
      <c r="D284" s="234">
        <v>57096.4</v>
      </c>
      <c r="E284" s="234">
        <v>57520.25</v>
      </c>
      <c r="F284" s="234">
        <v>40508.199999999997</v>
      </c>
      <c r="G284" s="234">
        <v>40637.15</v>
      </c>
      <c r="H284" s="234">
        <v>50389.4</v>
      </c>
      <c r="I284" s="234">
        <v>53214.7</v>
      </c>
      <c r="J284" s="234">
        <v>66433.399999999994</v>
      </c>
      <c r="K284" s="234">
        <v>60650.9</v>
      </c>
      <c r="L284" s="234">
        <v>30223.3</v>
      </c>
      <c r="M284" s="234">
        <v>10803.025</v>
      </c>
      <c r="N284" s="234">
        <v>29063.4</v>
      </c>
      <c r="O284" s="235">
        <v>33584.800000000003</v>
      </c>
      <c r="P284" s="165"/>
      <c r="Q284" s="165"/>
      <c r="R284" s="165"/>
    </row>
    <row r="285" spans="1:18">
      <c r="A285" s="255"/>
      <c r="B285" s="126" t="s">
        <v>83</v>
      </c>
      <c r="C285" s="234">
        <v>0</v>
      </c>
      <c r="D285" s="234">
        <v>0</v>
      </c>
      <c r="E285" s="234">
        <v>0</v>
      </c>
      <c r="F285" s="234">
        <v>0</v>
      </c>
      <c r="G285" s="234">
        <v>0</v>
      </c>
      <c r="H285" s="234">
        <v>0</v>
      </c>
      <c r="I285" s="234">
        <v>0</v>
      </c>
      <c r="J285" s="234">
        <v>0</v>
      </c>
      <c r="K285" s="234">
        <v>0</v>
      </c>
      <c r="L285" s="234">
        <v>0</v>
      </c>
      <c r="M285" s="234">
        <v>0</v>
      </c>
      <c r="N285" s="234">
        <v>0</v>
      </c>
      <c r="O285" s="235">
        <v>0</v>
      </c>
      <c r="P285" s="165"/>
      <c r="Q285" s="165"/>
      <c r="R285" s="165"/>
    </row>
    <row r="286" spans="1:18">
      <c r="A286" s="255"/>
      <c r="B286" s="126" t="s">
        <v>77</v>
      </c>
      <c r="C286" s="234">
        <v>130294.325</v>
      </c>
      <c r="D286" s="234">
        <v>162821.57500000001</v>
      </c>
      <c r="E286" s="234">
        <v>154544.22500000001</v>
      </c>
      <c r="F286" s="234">
        <v>104938.175</v>
      </c>
      <c r="G286" s="234">
        <v>76241.225000000006</v>
      </c>
      <c r="H286" s="234">
        <v>101824.35</v>
      </c>
      <c r="I286" s="234">
        <v>121282.75</v>
      </c>
      <c r="J286" s="234">
        <v>183823.9</v>
      </c>
      <c r="K286" s="234">
        <v>142915.9</v>
      </c>
      <c r="L286" s="234">
        <v>40362.474999999999</v>
      </c>
      <c r="M286" s="234">
        <v>27645.625</v>
      </c>
      <c r="N286" s="234">
        <v>78708.975000000006</v>
      </c>
      <c r="O286" s="235">
        <v>84855.975000000006</v>
      </c>
      <c r="P286" s="165"/>
      <c r="Q286" s="165"/>
      <c r="R286" s="165"/>
    </row>
    <row r="287" spans="1:18">
      <c r="A287" s="255"/>
      <c r="B287" s="126" t="s">
        <v>249</v>
      </c>
      <c r="C287" s="234">
        <v>0</v>
      </c>
      <c r="D287" s="234">
        <v>0</v>
      </c>
      <c r="E287" s="234">
        <v>0</v>
      </c>
      <c r="F287" s="234">
        <v>0</v>
      </c>
      <c r="G287" s="234">
        <v>0</v>
      </c>
      <c r="H287" s="234">
        <v>0</v>
      </c>
      <c r="I287" s="234">
        <v>0</v>
      </c>
      <c r="J287" s="234">
        <v>0</v>
      </c>
      <c r="K287" s="234">
        <v>0</v>
      </c>
      <c r="L287" s="234">
        <v>0</v>
      </c>
      <c r="M287" s="234">
        <v>0</v>
      </c>
      <c r="N287" s="234">
        <v>0</v>
      </c>
      <c r="O287" s="235">
        <v>0</v>
      </c>
      <c r="P287" s="165"/>
      <c r="Q287" s="165"/>
      <c r="R287" s="165"/>
    </row>
    <row r="288" spans="1:18">
      <c r="A288" s="255"/>
      <c r="B288" s="126" t="s">
        <v>210</v>
      </c>
      <c r="C288" s="234">
        <v>0</v>
      </c>
      <c r="D288" s="234">
        <v>0</v>
      </c>
      <c r="E288" s="234">
        <v>0</v>
      </c>
      <c r="F288" s="234">
        <v>0</v>
      </c>
      <c r="G288" s="234">
        <v>0</v>
      </c>
      <c r="H288" s="234">
        <v>0</v>
      </c>
      <c r="I288" s="234">
        <v>0</v>
      </c>
      <c r="J288" s="234">
        <v>0</v>
      </c>
      <c r="K288" s="234">
        <v>27</v>
      </c>
      <c r="L288" s="234">
        <v>41.875</v>
      </c>
      <c r="M288" s="234">
        <v>0</v>
      </c>
      <c r="N288" s="234">
        <v>0</v>
      </c>
      <c r="O288" s="235">
        <v>0</v>
      </c>
      <c r="P288" s="165"/>
      <c r="Q288" s="165"/>
      <c r="R288" s="165"/>
    </row>
    <row r="289" spans="1:18">
      <c r="A289" s="255"/>
      <c r="B289" s="126" t="s">
        <v>19</v>
      </c>
      <c r="C289" s="234">
        <v>24531.674999999999</v>
      </c>
      <c r="D289" s="234">
        <v>29122.674999999999</v>
      </c>
      <c r="E289" s="234">
        <v>48937.175000000003</v>
      </c>
      <c r="F289" s="234">
        <v>28066.5</v>
      </c>
      <c r="G289" s="234">
        <v>55051.875</v>
      </c>
      <c r="H289" s="234">
        <v>49899.25</v>
      </c>
      <c r="I289" s="234">
        <v>69284.95</v>
      </c>
      <c r="J289" s="234">
        <v>84328.975000000006</v>
      </c>
      <c r="K289" s="234">
        <v>66921.95</v>
      </c>
      <c r="L289" s="234">
        <v>28568.724999999999</v>
      </c>
      <c r="M289" s="234">
        <v>34246.75</v>
      </c>
      <c r="N289" s="234">
        <v>23127.05</v>
      </c>
      <c r="O289" s="235">
        <v>12644.575000000001</v>
      </c>
      <c r="P289" s="165"/>
      <c r="Q289" s="165"/>
      <c r="R289" s="165"/>
    </row>
    <row r="290" spans="1:18">
      <c r="A290" s="255"/>
      <c r="B290" s="126" t="s">
        <v>171</v>
      </c>
      <c r="C290" s="234">
        <v>0</v>
      </c>
      <c r="D290" s="234">
        <v>0</v>
      </c>
      <c r="E290" s="234">
        <v>0</v>
      </c>
      <c r="F290" s="234">
        <v>0</v>
      </c>
      <c r="G290" s="234">
        <v>0</v>
      </c>
      <c r="H290" s="234">
        <v>0</v>
      </c>
      <c r="I290" s="234">
        <v>0</v>
      </c>
      <c r="J290" s="234">
        <v>0</v>
      </c>
      <c r="K290" s="234">
        <v>0</v>
      </c>
      <c r="L290" s="234">
        <v>0</v>
      </c>
      <c r="M290" s="234">
        <v>0</v>
      </c>
      <c r="N290" s="234">
        <v>0</v>
      </c>
      <c r="O290" s="235">
        <v>0</v>
      </c>
      <c r="P290" s="165"/>
      <c r="Q290" s="165"/>
      <c r="R290" s="165"/>
    </row>
    <row r="291" spans="1:18">
      <c r="A291" s="255"/>
      <c r="B291" s="126" t="s">
        <v>85</v>
      </c>
      <c r="C291" s="234">
        <v>0</v>
      </c>
      <c r="D291" s="234">
        <v>0</v>
      </c>
      <c r="E291" s="234">
        <v>0</v>
      </c>
      <c r="F291" s="234">
        <v>0</v>
      </c>
      <c r="G291" s="234">
        <v>0</v>
      </c>
      <c r="H291" s="234">
        <v>0</v>
      </c>
      <c r="I291" s="234">
        <v>0</v>
      </c>
      <c r="J291" s="234">
        <v>0</v>
      </c>
      <c r="K291" s="234">
        <v>0</v>
      </c>
      <c r="L291" s="234">
        <v>0</v>
      </c>
      <c r="M291" s="234">
        <v>0</v>
      </c>
      <c r="N291" s="234">
        <v>0</v>
      </c>
      <c r="O291" s="235">
        <v>0</v>
      </c>
      <c r="P291" s="165"/>
      <c r="Q291" s="165"/>
      <c r="R291" s="165"/>
    </row>
    <row r="292" spans="1:18">
      <c r="A292" s="255"/>
      <c r="B292" s="126" t="s">
        <v>72</v>
      </c>
      <c r="C292" s="234">
        <v>137</v>
      </c>
      <c r="D292" s="234">
        <v>120</v>
      </c>
      <c r="E292" s="234">
        <v>0</v>
      </c>
      <c r="F292" s="234">
        <v>175.97499999999999</v>
      </c>
      <c r="G292" s="234">
        <v>243.75</v>
      </c>
      <c r="H292" s="234">
        <v>855.6</v>
      </c>
      <c r="I292" s="234">
        <v>2488.5</v>
      </c>
      <c r="J292" s="234">
        <v>368.6</v>
      </c>
      <c r="K292" s="234">
        <v>1670.625</v>
      </c>
      <c r="L292" s="234">
        <v>4390.55</v>
      </c>
      <c r="M292" s="234">
        <v>1115.9000000000001</v>
      </c>
      <c r="N292" s="234">
        <v>0</v>
      </c>
      <c r="O292" s="235">
        <v>33</v>
      </c>
      <c r="P292" s="165"/>
      <c r="Q292" s="165"/>
      <c r="R292" s="165"/>
    </row>
    <row r="293" spans="1:18">
      <c r="A293" s="255"/>
      <c r="B293" s="126" t="s">
        <v>81</v>
      </c>
      <c r="C293" s="234">
        <v>152.5</v>
      </c>
      <c r="D293" s="234">
        <v>335.75</v>
      </c>
      <c r="E293" s="234">
        <v>196.5</v>
      </c>
      <c r="F293" s="234">
        <v>252</v>
      </c>
      <c r="G293" s="234">
        <v>18</v>
      </c>
      <c r="H293" s="234">
        <v>51</v>
      </c>
      <c r="I293" s="234">
        <v>147</v>
      </c>
      <c r="J293" s="234">
        <v>6</v>
      </c>
      <c r="K293" s="234">
        <v>406.75</v>
      </c>
      <c r="L293" s="234">
        <v>112</v>
      </c>
      <c r="M293" s="234">
        <v>60</v>
      </c>
      <c r="N293" s="234">
        <v>17.5</v>
      </c>
      <c r="O293" s="235">
        <v>210</v>
      </c>
      <c r="P293" s="165"/>
      <c r="Q293" s="165"/>
      <c r="R293" s="165"/>
    </row>
    <row r="294" spans="1:18">
      <c r="A294" s="255"/>
      <c r="B294" s="126" t="s">
        <v>86</v>
      </c>
      <c r="C294" s="234">
        <v>0</v>
      </c>
      <c r="D294" s="234">
        <v>0</v>
      </c>
      <c r="E294" s="234">
        <v>0</v>
      </c>
      <c r="F294" s="234">
        <v>0</v>
      </c>
      <c r="G294" s="234">
        <v>0</v>
      </c>
      <c r="H294" s="234">
        <v>0</v>
      </c>
      <c r="I294" s="234">
        <v>0</v>
      </c>
      <c r="J294" s="234">
        <v>0</v>
      </c>
      <c r="K294" s="234">
        <v>0</v>
      </c>
      <c r="L294" s="234">
        <v>0</v>
      </c>
      <c r="M294" s="234">
        <v>0</v>
      </c>
      <c r="N294" s="234">
        <v>0</v>
      </c>
      <c r="O294" s="235">
        <v>0</v>
      </c>
      <c r="P294" s="165"/>
      <c r="Q294" s="165"/>
      <c r="R294" s="165"/>
    </row>
    <row r="295" spans="1:18">
      <c r="A295" s="255"/>
      <c r="B295" s="126" t="s">
        <v>78</v>
      </c>
      <c r="C295" s="234">
        <v>56016.35</v>
      </c>
      <c r="D295" s="234">
        <v>54552.375</v>
      </c>
      <c r="E295" s="234">
        <v>20732.650000000001</v>
      </c>
      <c r="F295" s="234">
        <v>21085.15</v>
      </c>
      <c r="G295" s="234">
        <v>18646.599999999999</v>
      </c>
      <c r="H295" s="234">
        <v>23535.525000000001</v>
      </c>
      <c r="I295" s="234">
        <v>42195.45</v>
      </c>
      <c r="J295" s="234">
        <v>96803.75</v>
      </c>
      <c r="K295" s="234">
        <v>144982.54999999999</v>
      </c>
      <c r="L295" s="234">
        <v>92281.725000000006</v>
      </c>
      <c r="M295" s="234">
        <v>30492.3</v>
      </c>
      <c r="N295" s="234">
        <v>78426.2</v>
      </c>
      <c r="O295" s="235">
        <v>114413.125</v>
      </c>
      <c r="P295" s="165"/>
      <c r="Q295" s="165"/>
      <c r="R295" s="165"/>
    </row>
    <row r="296" spans="1:18">
      <c r="A296" s="255"/>
      <c r="B296" s="126" t="s">
        <v>79</v>
      </c>
      <c r="C296" s="234">
        <v>1854.825</v>
      </c>
      <c r="D296" s="234">
        <v>7491.5</v>
      </c>
      <c r="E296" s="234">
        <v>13007.775</v>
      </c>
      <c r="F296" s="234">
        <v>19087.900000000001</v>
      </c>
      <c r="G296" s="234">
        <v>14697</v>
      </c>
      <c r="H296" s="234">
        <v>17053.275000000001</v>
      </c>
      <c r="I296" s="234">
        <v>17562.8</v>
      </c>
      <c r="J296" s="234">
        <v>11071.275</v>
      </c>
      <c r="K296" s="234">
        <v>9716.75</v>
      </c>
      <c r="L296" s="234">
        <v>3151.25</v>
      </c>
      <c r="M296" s="234">
        <v>3067.5</v>
      </c>
      <c r="N296" s="234">
        <v>1371</v>
      </c>
      <c r="O296" s="235">
        <v>1764.75</v>
      </c>
      <c r="P296" s="165"/>
      <c r="Q296" s="165"/>
      <c r="R296" s="165"/>
    </row>
    <row r="297" spans="1:18">
      <c r="A297" s="255"/>
      <c r="B297" s="126" t="s">
        <v>76</v>
      </c>
      <c r="C297" s="234">
        <v>17942.75</v>
      </c>
      <c r="D297" s="234">
        <v>24462.5</v>
      </c>
      <c r="E297" s="234">
        <v>27379.85</v>
      </c>
      <c r="F297" s="234">
        <v>27583.724999999999</v>
      </c>
      <c r="G297" s="234">
        <v>25957.25</v>
      </c>
      <c r="H297" s="234">
        <v>46658.175000000003</v>
      </c>
      <c r="I297" s="234">
        <v>51895.625</v>
      </c>
      <c r="J297" s="234">
        <v>37795.15</v>
      </c>
      <c r="K297" s="234">
        <v>27303.9</v>
      </c>
      <c r="L297" s="234">
        <v>14841.9</v>
      </c>
      <c r="M297" s="234">
        <v>10692.35</v>
      </c>
      <c r="N297" s="234">
        <v>13728.975</v>
      </c>
      <c r="O297" s="235">
        <v>13260.225</v>
      </c>
      <c r="P297" s="165"/>
      <c r="Q297" s="165"/>
      <c r="R297" s="165"/>
    </row>
    <row r="298" spans="1:18">
      <c r="A298" s="253"/>
      <c r="B298" s="187" t="s">
        <v>0</v>
      </c>
      <c r="C298" s="236">
        <v>336517.5</v>
      </c>
      <c r="D298" s="236">
        <v>360452.6</v>
      </c>
      <c r="E298" s="236">
        <v>344476.7</v>
      </c>
      <c r="F298" s="236">
        <v>262451.25</v>
      </c>
      <c r="G298" s="236">
        <v>255089.65</v>
      </c>
      <c r="H298" s="236">
        <v>332759.75</v>
      </c>
      <c r="I298" s="236">
        <v>413482.3</v>
      </c>
      <c r="J298" s="236">
        <v>516814.67499999999</v>
      </c>
      <c r="K298" s="236">
        <v>470764.1</v>
      </c>
      <c r="L298" s="236">
        <v>223657.05</v>
      </c>
      <c r="M298" s="236">
        <v>132555.47500000001</v>
      </c>
      <c r="N298" s="236">
        <v>238342.95</v>
      </c>
      <c r="O298" s="237">
        <v>278312.125</v>
      </c>
      <c r="P298" s="157">
        <f>O298/C298-1</f>
        <v>-0.1729638874649907</v>
      </c>
      <c r="Q298" s="157">
        <f>(O279+O298)/(C298+C279)-1</f>
        <v>-7.2369883446014582E-2</v>
      </c>
      <c r="R298" s="165"/>
    </row>
    <row r="299" spans="1:18">
      <c r="A299" s="189"/>
      <c r="B299" s="189"/>
      <c r="C299" s="189"/>
      <c r="D299" s="189"/>
      <c r="E299" s="189"/>
      <c r="F299" s="189"/>
      <c r="G299" s="189"/>
      <c r="H299" s="189"/>
      <c r="I299" s="189"/>
      <c r="J299" s="189"/>
      <c r="K299" s="189"/>
      <c r="L299" s="189"/>
      <c r="M299" s="189"/>
      <c r="N299" s="189"/>
      <c r="O299" s="189"/>
      <c r="P299" s="189"/>
      <c r="Q299" s="189"/>
      <c r="R299" s="165"/>
    </row>
    <row r="300" spans="1:18">
      <c r="A300" s="189"/>
      <c r="B300" s="189"/>
      <c r="C300" s="189"/>
      <c r="D300" s="189"/>
      <c r="E300" s="189"/>
      <c r="F300" s="189"/>
      <c r="G300" s="189"/>
      <c r="H300" s="189"/>
      <c r="I300" s="189"/>
      <c r="J300" s="189"/>
      <c r="K300" s="189"/>
      <c r="L300" s="189"/>
      <c r="M300" s="189"/>
      <c r="N300" s="189"/>
      <c r="O300" s="189"/>
      <c r="P300" s="189"/>
      <c r="Q300" s="189"/>
      <c r="R300" s="165"/>
    </row>
    <row r="301" spans="1:18">
      <c r="A301" s="189"/>
      <c r="B301" s="189"/>
      <c r="C301" s="189"/>
      <c r="D301" s="189"/>
      <c r="E301" s="189"/>
      <c r="F301" s="189"/>
      <c r="G301" s="189"/>
      <c r="H301" s="189"/>
      <c r="I301" s="189"/>
      <c r="J301" s="189"/>
      <c r="K301" s="189"/>
      <c r="L301" s="189"/>
      <c r="M301" s="189"/>
      <c r="N301" s="189"/>
      <c r="O301" s="189"/>
      <c r="P301" s="189"/>
      <c r="Q301" s="189"/>
    </row>
    <row r="302" spans="1:18">
      <c r="A302" s="190"/>
      <c r="B302" s="190"/>
      <c r="C302" s="190"/>
      <c r="D302" s="190"/>
      <c r="E302" s="190"/>
      <c r="F302" s="190"/>
      <c r="G302" s="190"/>
      <c r="H302" s="190"/>
      <c r="I302" s="190"/>
      <c r="J302" s="190"/>
      <c r="K302" s="190"/>
      <c r="L302" s="190"/>
      <c r="M302" s="190"/>
      <c r="N302" s="190"/>
      <c r="O302" s="190"/>
      <c r="P302" s="190"/>
      <c r="Q302" s="190"/>
    </row>
    <row r="306" spans="1:18">
      <c r="Q306" s="156"/>
      <c r="R306" s="156"/>
    </row>
    <row r="307" spans="1:18">
      <c r="Q307" s="156"/>
      <c r="R307" s="156"/>
    </row>
    <row r="308" spans="1:18">
      <c r="Q308" s="156"/>
      <c r="R308" s="156"/>
    </row>
    <row r="309" spans="1:18">
      <c r="P309" s="127"/>
      <c r="Q309" s="156"/>
      <c r="R309" s="156"/>
    </row>
    <row r="310" spans="1:18">
      <c r="P310" s="127"/>
      <c r="Q310" s="156"/>
      <c r="R310" s="156"/>
    </row>
    <row r="311" spans="1:18">
      <c r="P311" s="127"/>
      <c r="Q311" s="156"/>
      <c r="R311" s="156"/>
    </row>
    <row r="312" spans="1:18">
      <c r="P312" s="127"/>
      <c r="Q312" s="156"/>
      <c r="R312" s="156"/>
    </row>
    <row r="313" spans="1:18">
      <c r="A313" s="84" t="s">
        <v>176</v>
      </c>
      <c r="B313" s="168" t="str">
        <f>MID(B314,6,1)</f>
        <v>A</v>
      </c>
      <c r="C313" s="168" t="str">
        <f t="shared" ref="C313:N313" si="9">MID(C314,6,1)</f>
        <v>S</v>
      </c>
      <c r="D313" s="168" t="str">
        <f t="shared" si="9"/>
        <v>O</v>
      </c>
      <c r="E313" s="168" t="str">
        <f t="shared" si="9"/>
        <v>N</v>
      </c>
      <c r="F313" s="168" t="str">
        <f t="shared" si="9"/>
        <v>D</v>
      </c>
      <c r="G313" s="168" t="str">
        <f t="shared" si="9"/>
        <v>E</v>
      </c>
      <c r="H313" s="168" t="str">
        <f t="shared" si="9"/>
        <v>F</v>
      </c>
      <c r="I313" s="168" t="str">
        <f t="shared" si="9"/>
        <v>M</v>
      </c>
      <c r="J313" s="168" t="str">
        <f t="shared" si="9"/>
        <v>A</v>
      </c>
      <c r="K313" s="168" t="str">
        <f t="shared" si="9"/>
        <v>M</v>
      </c>
      <c r="L313" s="168" t="str">
        <f t="shared" si="9"/>
        <v>J</v>
      </c>
      <c r="M313" s="168" t="str">
        <f t="shared" si="9"/>
        <v>J</v>
      </c>
      <c r="N313" s="168" t="str">
        <f t="shared" si="9"/>
        <v>A</v>
      </c>
      <c r="O313" s="127"/>
      <c r="P313" s="127"/>
      <c r="Q313" s="156"/>
      <c r="R313" s="156"/>
    </row>
    <row r="314" spans="1:18">
      <c r="A314" s="124" t="s">
        <v>87</v>
      </c>
      <c r="B314" s="232" t="s">
        <v>211</v>
      </c>
      <c r="C314" s="232" t="s">
        <v>213</v>
      </c>
      <c r="D314" s="232" t="s">
        <v>215</v>
      </c>
      <c r="E314" s="232" t="s">
        <v>218</v>
      </c>
      <c r="F314" s="232" t="s">
        <v>220</v>
      </c>
      <c r="G314" s="232" t="s">
        <v>224</v>
      </c>
      <c r="H314" s="232" t="s">
        <v>226</v>
      </c>
      <c r="I314" s="232" t="s">
        <v>229</v>
      </c>
      <c r="J314" s="232" t="s">
        <v>239</v>
      </c>
      <c r="K314" s="232" t="s">
        <v>242</v>
      </c>
      <c r="L314" s="232" t="s">
        <v>244</v>
      </c>
      <c r="M314" s="232" t="s">
        <v>247</v>
      </c>
      <c r="N314" s="233" t="s">
        <v>281</v>
      </c>
      <c r="O314" s="127"/>
      <c r="P314" s="127"/>
      <c r="Q314" s="156"/>
      <c r="R314" s="156"/>
    </row>
    <row r="315" spans="1:18">
      <c r="A315" s="124" t="s">
        <v>27</v>
      </c>
      <c r="B315" s="225"/>
      <c r="C315" s="225"/>
      <c r="D315" s="225"/>
      <c r="E315" s="225"/>
      <c r="F315" s="225"/>
      <c r="G315" s="225"/>
      <c r="H315" s="225"/>
      <c r="I315" s="225"/>
      <c r="J315" s="225"/>
      <c r="K315" s="225"/>
      <c r="L315" s="225"/>
      <c r="M315" s="225"/>
      <c r="N315" s="224"/>
      <c r="P315" s="127"/>
      <c r="Q315" s="156"/>
      <c r="R315" s="156"/>
    </row>
    <row r="316" spans="1:18">
      <c r="A316" s="126" t="s">
        <v>71</v>
      </c>
      <c r="B316" s="234">
        <v>129470.5</v>
      </c>
      <c r="C316" s="234">
        <v>94718.25</v>
      </c>
      <c r="D316" s="234">
        <v>109914.5</v>
      </c>
      <c r="E316" s="234">
        <v>123489</v>
      </c>
      <c r="F316" s="234">
        <v>186787.25</v>
      </c>
      <c r="G316" s="234">
        <v>90348.25</v>
      </c>
      <c r="H316" s="234">
        <v>44962.25</v>
      </c>
      <c r="I316" s="234">
        <v>68619</v>
      </c>
      <c r="J316" s="234">
        <v>41863.5</v>
      </c>
      <c r="K316" s="234">
        <v>74085.75</v>
      </c>
      <c r="L316" s="234">
        <v>181182</v>
      </c>
      <c r="M316" s="234">
        <v>130987</v>
      </c>
      <c r="N316" s="235">
        <v>228947.75</v>
      </c>
      <c r="Q316" s="156"/>
      <c r="R316" s="156"/>
    </row>
    <row r="317" spans="1:18">
      <c r="A317" s="126" t="s">
        <v>75</v>
      </c>
      <c r="B317" s="234">
        <v>160328.25</v>
      </c>
      <c r="C317" s="234">
        <v>243145</v>
      </c>
      <c r="D317" s="234">
        <v>284049</v>
      </c>
      <c r="E317" s="234">
        <v>159008</v>
      </c>
      <c r="F317" s="234">
        <v>122864.5</v>
      </c>
      <c r="G317" s="234">
        <v>265986.25</v>
      </c>
      <c r="H317" s="234">
        <v>396960.5</v>
      </c>
      <c r="I317" s="234">
        <v>417916.5</v>
      </c>
      <c r="J317" s="234">
        <v>399899.75</v>
      </c>
      <c r="K317" s="234">
        <v>196774</v>
      </c>
      <c r="L317" s="234">
        <v>82639.5</v>
      </c>
      <c r="M317" s="234">
        <v>181301.75</v>
      </c>
      <c r="N317" s="235">
        <v>169070</v>
      </c>
    </row>
    <row r="318" spans="1:18">
      <c r="A318" s="150" t="s">
        <v>160</v>
      </c>
      <c r="B318" s="152">
        <f>SUM(B316:B317)</f>
        <v>289798.75</v>
      </c>
      <c r="C318" s="152">
        <f t="shared" ref="C318:N318" si="10">SUM(C316:C317)</f>
        <v>337863.25</v>
      </c>
      <c r="D318" s="152">
        <f t="shared" si="10"/>
        <v>393963.5</v>
      </c>
      <c r="E318" s="152">
        <f t="shared" si="10"/>
        <v>282497</v>
      </c>
      <c r="F318" s="152">
        <f t="shared" si="10"/>
        <v>309651.75</v>
      </c>
      <c r="G318" s="152">
        <f t="shared" si="10"/>
        <v>356334.5</v>
      </c>
      <c r="H318" s="152">
        <f t="shared" si="10"/>
        <v>441922.75</v>
      </c>
      <c r="I318" s="152">
        <f t="shared" si="10"/>
        <v>486535.5</v>
      </c>
      <c r="J318" s="152">
        <f t="shared" si="10"/>
        <v>441763.25</v>
      </c>
      <c r="K318" s="152">
        <f t="shared" si="10"/>
        <v>270859.75</v>
      </c>
      <c r="L318" s="152">
        <f t="shared" si="10"/>
        <v>263821.5</v>
      </c>
      <c r="M318" s="152">
        <f t="shared" si="10"/>
        <v>312288.75</v>
      </c>
      <c r="N318" s="152">
        <f t="shared" si="10"/>
        <v>398017.75</v>
      </c>
      <c r="P318" s="156"/>
      <c r="Q318" s="156"/>
    </row>
    <row r="319" spans="1:18">
      <c r="A319" s="84" t="s">
        <v>164</v>
      </c>
      <c r="P319" s="156"/>
      <c r="Q319" s="156"/>
    </row>
    <row r="320" spans="1:18">
      <c r="A320" s="124"/>
      <c r="B320" s="124"/>
      <c r="C320" s="124" t="s">
        <v>27</v>
      </c>
      <c r="D320" s="260" t="s">
        <v>196</v>
      </c>
      <c r="E320" s="261"/>
      <c r="F320" s="261"/>
      <c r="G320" s="261"/>
      <c r="H320" s="261"/>
      <c r="I320" s="261"/>
      <c r="J320" s="261"/>
      <c r="K320" s="261"/>
      <c r="L320" s="261"/>
      <c r="M320" s="261"/>
      <c r="N320" s="261"/>
      <c r="O320" s="261"/>
      <c r="P320" s="261"/>
      <c r="Q320" s="156"/>
    </row>
    <row r="321" spans="1:21" ht="21">
      <c r="A321" s="124"/>
      <c r="B321" s="124"/>
      <c r="C321" s="124" t="s">
        <v>87</v>
      </c>
      <c r="D321" s="225" t="s">
        <v>211</v>
      </c>
      <c r="E321" s="225" t="s">
        <v>213</v>
      </c>
      <c r="F321" s="225" t="s">
        <v>215</v>
      </c>
      <c r="G321" s="225" t="s">
        <v>218</v>
      </c>
      <c r="H321" s="225" t="s">
        <v>220</v>
      </c>
      <c r="I321" s="225" t="s">
        <v>224</v>
      </c>
      <c r="J321" s="225" t="s">
        <v>226</v>
      </c>
      <c r="K321" s="225" t="s">
        <v>229</v>
      </c>
      <c r="L321" s="225" t="s">
        <v>239</v>
      </c>
      <c r="M321" s="225" t="s">
        <v>242</v>
      </c>
      <c r="N321" s="225" t="s">
        <v>244</v>
      </c>
      <c r="O321" s="225" t="s">
        <v>247</v>
      </c>
      <c r="P321" s="224" t="s">
        <v>281</v>
      </c>
      <c r="Q321" s="156"/>
    </row>
    <row r="322" spans="1:21">
      <c r="A322" s="124" t="s">
        <v>120</v>
      </c>
      <c r="B322" s="124" t="s">
        <v>143</v>
      </c>
      <c r="C322" s="124" t="s">
        <v>144</v>
      </c>
      <c r="D322" s="225"/>
      <c r="E322" s="225"/>
      <c r="F322" s="225"/>
      <c r="G322" s="225"/>
      <c r="H322" s="225"/>
      <c r="I322" s="225"/>
      <c r="J322" s="225"/>
      <c r="K322" s="225"/>
      <c r="L322" s="225"/>
      <c r="M322" s="225"/>
      <c r="N322" s="225"/>
      <c r="O322" s="225"/>
      <c r="P322" s="224"/>
      <c r="Q322" s="156"/>
    </row>
    <row r="323" spans="1:21">
      <c r="A323" s="259" t="s">
        <v>138</v>
      </c>
      <c r="B323" s="259" t="s">
        <v>139</v>
      </c>
      <c r="C323" s="126" t="s">
        <v>140</v>
      </c>
      <c r="D323" s="234">
        <v>2420</v>
      </c>
      <c r="E323" s="234">
        <v>3714</v>
      </c>
      <c r="F323" s="234">
        <v>6616</v>
      </c>
      <c r="G323" s="234">
        <v>11168.4</v>
      </c>
      <c r="H323" s="234">
        <v>9655</v>
      </c>
      <c r="I323" s="234">
        <v>18787</v>
      </c>
      <c r="J323" s="234">
        <v>12671</v>
      </c>
      <c r="K323" s="234">
        <v>13320.25</v>
      </c>
      <c r="L323" s="234">
        <v>681.75</v>
      </c>
      <c r="M323" s="234">
        <v>287.25</v>
      </c>
      <c r="N323" s="234">
        <v>5295.4750000000004</v>
      </c>
      <c r="O323" s="234">
        <v>2319</v>
      </c>
      <c r="P323" s="235">
        <v>3809</v>
      </c>
      <c r="Q323" s="156"/>
      <c r="U323" s="172"/>
    </row>
    <row r="324" spans="1:21">
      <c r="A324" s="255"/>
      <c r="B324" s="253"/>
      <c r="C324" s="126" t="s">
        <v>141</v>
      </c>
      <c r="D324" s="234">
        <v>164237</v>
      </c>
      <c r="E324" s="234">
        <v>104951</v>
      </c>
      <c r="F324" s="234">
        <v>134927</v>
      </c>
      <c r="G324" s="234">
        <v>91782</v>
      </c>
      <c r="H324" s="234">
        <v>114637.2</v>
      </c>
      <c r="I324" s="234">
        <v>67725.7</v>
      </c>
      <c r="J324" s="234">
        <v>37653.699999999997</v>
      </c>
      <c r="K324" s="234">
        <v>90855.824999999997</v>
      </c>
      <c r="L324" s="234">
        <v>107349.6</v>
      </c>
      <c r="M324" s="234">
        <v>45497.95</v>
      </c>
      <c r="N324" s="234">
        <v>58107.324999999997</v>
      </c>
      <c r="O324" s="234">
        <v>87431.875</v>
      </c>
      <c r="P324" s="235">
        <v>151069.52499999999</v>
      </c>
      <c r="Q324" s="156"/>
    </row>
    <row r="325" spans="1:21">
      <c r="A325" s="255"/>
      <c r="B325" s="252" t="s">
        <v>142</v>
      </c>
      <c r="C325" s="126" t="s">
        <v>140</v>
      </c>
      <c r="D325" s="234">
        <v>0</v>
      </c>
      <c r="E325" s="234">
        <v>0</v>
      </c>
      <c r="F325" s="234">
        <v>0</v>
      </c>
      <c r="G325" s="234">
        <v>0</v>
      </c>
      <c r="H325" s="234">
        <v>0</v>
      </c>
      <c r="I325" s="234">
        <v>0</v>
      </c>
      <c r="J325" s="234">
        <v>0</v>
      </c>
      <c r="K325" s="234">
        <v>0</v>
      </c>
      <c r="L325" s="234">
        <v>0</v>
      </c>
      <c r="M325" s="234">
        <v>0</v>
      </c>
      <c r="N325" s="234">
        <v>0</v>
      </c>
      <c r="O325" s="234">
        <v>0</v>
      </c>
      <c r="P325" s="235">
        <v>0</v>
      </c>
      <c r="Q325" s="156"/>
    </row>
    <row r="326" spans="1:21">
      <c r="A326" s="253"/>
      <c r="B326" s="253"/>
      <c r="C326" s="126" t="s">
        <v>141</v>
      </c>
      <c r="D326" s="234">
        <v>0</v>
      </c>
      <c r="E326" s="234">
        <v>0</v>
      </c>
      <c r="F326" s="234">
        <v>0</v>
      </c>
      <c r="G326" s="234">
        <v>0</v>
      </c>
      <c r="H326" s="234">
        <v>0</v>
      </c>
      <c r="I326" s="234">
        <v>0</v>
      </c>
      <c r="J326" s="234">
        <v>0</v>
      </c>
      <c r="K326" s="234">
        <v>0</v>
      </c>
      <c r="L326" s="234">
        <v>0</v>
      </c>
      <c r="M326" s="234">
        <v>0</v>
      </c>
      <c r="N326" s="234">
        <v>0</v>
      </c>
      <c r="O326" s="234">
        <v>0</v>
      </c>
      <c r="P326" s="235">
        <v>0</v>
      </c>
      <c r="Q326" s="156"/>
    </row>
    <row r="327" spans="1:21">
      <c r="A327" s="252" t="s">
        <v>168</v>
      </c>
      <c r="B327" s="252" t="s">
        <v>139</v>
      </c>
      <c r="C327" s="126" t="s">
        <v>140</v>
      </c>
      <c r="D327" s="234">
        <v>47585.5</v>
      </c>
      <c r="E327" s="234">
        <v>30360.7</v>
      </c>
      <c r="F327" s="234">
        <v>55216.2</v>
      </c>
      <c r="G327" s="234">
        <v>55068</v>
      </c>
      <c r="H327" s="234">
        <v>32982.699999999997</v>
      </c>
      <c r="I327" s="234">
        <v>25033</v>
      </c>
      <c r="J327" s="234">
        <v>30692</v>
      </c>
      <c r="K327" s="234">
        <v>11006.25</v>
      </c>
      <c r="L327" s="234">
        <v>7049</v>
      </c>
      <c r="M327" s="234">
        <v>2391.75</v>
      </c>
      <c r="N327" s="234">
        <v>1830.55</v>
      </c>
      <c r="O327" s="234">
        <v>6831.75</v>
      </c>
      <c r="P327" s="235">
        <v>22222.5</v>
      </c>
      <c r="Q327" s="156"/>
    </row>
    <row r="328" spans="1:21">
      <c r="A328" s="255"/>
      <c r="B328" s="253"/>
      <c r="C328" s="126" t="s">
        <v>141</v>
      </c>
      <c r="D328" s="234">
        <v>37214</v>
      </c>
      <c r="E328" s="234">
        <v>55114.6</v>
      </c>
      <c r="F328" s="234">
        <v>85933.9</v>
      </c>
      <c r="G328" s="234">
        <v>85446.1</v>
      </c>
      <c r="H328" s="234">
        <v>61412.2</v>
      </c>
      <c r="I328" s="234">
        <v>117100.4</v>
      </c>
      <c r="J328" s="234">
        <v>135901.20000000001</v>
      </c>
      <c r="K328" s="234">
        <v>69626.600000000006</v>
      </c>
      <c r="L328" s="234">
        <v>72019.05</v>
      </c>
      <c r="M328" s="234">
        <v>38927.1</v>
      </c>
      <c r="N328" s="234">
        <v>57586.7</v>
      </c>
      <c r="O328" s="234">
        <v>68132.399999999994</v>
      </c>
      <c r="P328" s="235">
        <v>35923.474999999999</v>
      </c>
      <c r="Q328" s="156"/>
    </row>
    <row r="329" spans="1:21">
      <c r="A329" s="255"/>
      <c r="B329" s="252" t="s">
        <v>142</v>
      </c>
      <c r="C329" s="126" t="s">
        <v>140</v>
      </c>
      <c r="D329" s="234">
        <v>0</v>
      </c>
      <c r="E329" s="234">
        <v>0</v>
      </c>
      <c r="F329" s="234">
        <v>0</v>
      </c>
      <c r="G329" s="234">
        <v>0</v>
      </c>
      <c r="H329" s="234">
        <v>0</v>
      </c>
      <c r="I329" s="234">
        <v>0</v>
      </c>
      <c r="J329" s="234">
        <v>0</v>
      </c>
      <c r="K329" s="234">
        <v>0</v>
      </c>
      <c r="L329" s="234">
        <v>0</v>
      </c>
      <c r="M329" s="234">
        <v>0</v>
      </c>
      <c r="N329" s="234">
        <v>0</v>
      </c>
      <c r="O329" s="234">
        <v>0</v>
      </c>
      <c r="P329" s="235">
        <v>0</v>
      </c>
      <c r="Q329" s="156"/>
    </row>
    <row r="330" spans="1:21">
      <c r="A330" s="253"/>
      <c r="B330" s="253"/>
      <c r="C330" s="126" t="s">
        <v>141</v>
      </c>
      <c r="D330" s="234">
        <v>0</v>
      </c>
      <c r="E330" s="234">
        <v>0</v>
      </c>
      <c r="F330" s="234">
        <v>0</v>
      </c>
      <c r="G330" s="234">
        <v>0</v>
      </c>
      <c r="H330" s="234">
        <v>0</v>
      </c>
      <c r="I330" s="234">
        <v>0</v>
      </c>
      <c r="J330" s="234">
        <v>0</v>
      </c>
      <c r="K330" s="234">
        <v>0</v>
      </c>
      <c r="L330" s="234">
        <v>0</v>
      </c>
      <c r="M330" s="234">
        <v>0</v>
      </c>
      <c r="N330" s="234">
        <v>0</v>
      </c>
      <c r="O330" s="234">
        <v>0</v>
      </c>
      <c r="P330" s="235">
        <v>0</v>
      </c>
      <c r="Q330" s="156"/>
    </row>
    <row r="331" spans="1:21">
      <c r="A331" s="163"/>
      <c r="B331" s="126"/>
      <c r="C331" s="127"/>
      <c r="D331" s="127"/>
      <c r="E331" s="127"/>
      <c r="F331" s="127"/>
      <c r="G331" s="127"/>
      <c r="H331" s="127"/>
      <c r="I331" s="127"/>
      <c r="J331" s="127"/>
      <c r="K331" s="127"/>
      <c r="L331" s="127"/>
      <c r="M331" s="127"/>
      <c r="N331" s="127"/>
      <c r="O331" s="127"/>
      <c r="P331" s="156"/>
      <c r="Q331" s="156"/>
    </row>
    <row r="332" spans="1:21">
      <c r="A332" s="163"/>
      <c r="B332" s="126"/>
      <c r="C332" s="127"/>
      <c r="D332" s="127"/>
      <c r="E332" s="127"/>
      <c r="F332" s="127"/>
      <c r="G332" s="127"/>
      <c r="H332" s="127"/>
      <c r="I332" s="127"/>
      <c r="J332" s="127"/>
      <c r="K332" s="127"/>
      <c r="L332" s="127"/>
      <c r="M332" s="127"/>
      <c r="N332" s="127"/>
      <c r="O332" s="127"/>
      <c r="P332" s="156"/>
      <c r="Q332" s="156"/>
    </row>
    <row r="333" spans="1:21">
      <c r="A333" s="163"/>
      <c r="B333" s="126"/>
      <c r="C333" s="127"/>
      <c r="D333" s="127"/>
      <c r="E333" s="127"/>
      <c r="F333" s="127"/>
      <c r="G333" s="127"/>
      <c r="H333" s="127"/>
      <c r="I333" s="127"/>
      <c r="J333" s="127"/>
      <c r="K333" s="127"/>
      <c r="L333" s="127"/>
      <c r="M333" s="127"/>
      <c r="N333" s="127"/>
      <c r="O333" s="127"/>
      <c r="P333" s="156"/>
      <c r="Q333" s="156"/>
    </row>
    <row r="334" spans="1:21">
      <c r="A334" s="163"/>
      <c r="B334" s="126"/>
      <c r="C334" s="127"/>
      <c r="D334" s="127"/>
      <c r="E334" s="127"/>
      <c r="F334" s="127"/>
      <c r="G334" s="127"/>
      <c r="H334" s="127"/>
      <c r="I334" s="127"/>
      <c r="J334" s="127"/>
      <c r="K334" s="127"/>
      <c r="L334" s="127"/>
      <c r="M334" s="127"/>
      <c r="N334" s="127"/>
      <c r="O334" s="127"/>
      <c r="P334" s="156"/>
      <c r="Q334" s="156"/>
    </row>
    <row r="335" spans="1:21">
      <c r="A335" s="163"/>
      <c r="B335" s="126"/>
      <c r="C335" s="127"/>
      <c r="D335" s="127"/>
      <c r="E335" s="127"/>
      <c r="F335" s="127"/>
      <c r="G335" s="127"/>
      <c r="H335" s="127"/>
      <c r="I335" s="127"/>
      <c r="J335" s="127"/>
      <c r="K335" s="127"/>
      <c r="L335" s="127"/>
      <c r="M335" s="127"/>
      <c r="N335" s="127"/>
      <c r="O335" s="127"/>
      <c r="P335" s="156"/>
      <c r="Q335" s="156"/>
    </row>
    <row r="336" spans="1:21">
      <c r="A336" s="84" t="s">
        <v>177</v>
      </c>
      <c r="C336" s="144" t="str">
        <f>MID(C338,6,1)</f>
        <v>A</v>
      </c>
      <c r="D336" s="144" t="str">
        <f t="shared" ref="D336:O336" si="11">MID(D338,6,1)</f>
        <v>S</v>
      </c>
      <c r="E336" s="144" t="str">
        <f t="shared" si="11"/>
        <v>O</v>
      </c>
      <c r="F336" s="144" t="str">
        <f t="shared" si="11"/>
        <v>N</v>
      </c>
      <c r="G336" s="144" t="str">
        <f t="shared" si="11"/>
        <v>D</v>
      </c>
      <c r="H336" s="144" t="str">
        <f t="shared" si="11"/>
        <v>E</v>
      </c>
      <c r="I336" s="144" t="str">
        <f t="shared" si="11"/>
        <v>F</v>
      </c>
      <c r="J336" s="144" t="str">
        <f t="shared" si="11"/>
        <v>M</v>
      </c>
      <c r="K336" s="144" t="str">
        <f t="shared" si="11"/>
        <v>A</v>
      </c>
      <c r="L336" s="144" t="str">
        <f t="shared" si="11"/>
        <v>M</v>
      </c>
      <c r="M336" s="144" t="str">
        <f t="shared" si="11"/>
        <v>J</v>
      </c>
      <c r="N336" s="144" t="str">
        <f t="shared" si="11"/>
        <v>J</v>
      </c>
      <c r="O336" s="144" t="str">
        <f t="shared" si="11"/>
        <v>A</v>
      </c>
      <c r="P336" s="156"/>
      <c r="Q336" s="156"/>
    </row>
    <row r="337" spans="1:22">
      <c r="A337" s="124"/>
      <c r="B337" s="124" t="s">
        <v>27</v>
      </c>
      <c r="C337" s="257" t="s">
        <v>153</v>
      </c>
      <c r="D337" s="258"/>
      <c r="E337" s="258"/>
      <c r="F337" s="258"/>
      <c r="G337" s="258"/>
      <c r="H337" s="258"/>
      <c r="I337" s="258"/>
      <c r="J337" s="258"/>
      <c r="K337" s="258"/>
      <c r="L337" s="258"/>
      <c r="M337" s="258"/>
      <c r="N337" s="258"/>
      <c r="O337" s="258"/>
      <c r="P337" s="156"/>
      <c r="Q337" s="156"/>
    </row>
    <row r="338" spans="1:22">
      <c r="A338" s="124"/>
      <c r="B338" s="124" t="s">
        <v>87</v>
      </c>
      <c r="C338" s="225" t="s">
        <v>211</v>
      </c>
      <c r="D338" s="225" t="s">
        <v>213</v>
      </c>
      <c r="E338" s="225" t="s">
        <v>215</v>
      </c>
      <c r="F338" s="225" t="s">
        <v>218</v>
      </c>
      <c r="G338" s="225" t="s">
        <v>220</v>
      </c>
      <c r="H338" s="225" t="s">
        <v>224</v>
      </c>
      <c r="I338" s="225" t="s">
        <v>226</v>
      </c>
      <c r="J338" s="225" t="s">
        <v>229</v>
      </c>
      <c r="K338" s="225" t="s">
        <v>239</v>
      </c>
      <c r="L338" s="225" t="s">
        <v>242</v>
      </c>
      <c r="M338" s="225" t="s">
        <v>244</v>
      </c>
      <c r="N338" s="225" t="s">
        <v>247</v>
      </c>
      <c r="O338" s="224" t="s">
        <v>281</v>
      </c>
      <c r="P338" s="156"/>
      <c r="Q338" s="156"/>
    </row>
    <row r="339" spans="1:22">
      <c r="A339" s="124" t="s">
        <v>120</v>
      </c>
      <c r="B339" s="124" t="s">
        <v>121</v>
      </c>
      <c r="C339" s="225"/>
      <c r="D339" s="225"/>
      <c r="E339" s="225"/>
      <c r="F339" s="225"/>
      <c r="G339" s="225"/>
      <c r="H339" s="225"/>
      <c r="I339" s="225"/>
      <c r="J339" s="225"/>
      <c r="K339" s="225"/>
      <c r="L339" s="225"/>
      <c r="M339" s="225"/>
      <c r="N339" s="225"/>
      <c r="O339" s="224"/>
      <c r="P339" s="156"/>
      <c r="Q339" s="156"/>
    </row>
    <row r="340" spans="1:22">
      <c r="A340" s="256" t="s">
        <v>71</v>
      </c>
      <c r="B340" s="126" t="s">
        <v>209</v>
      </c>
      <c r="C340" s="234">
        <v>0</v>
      </c>
      <c r="D340" s="234">
        <v>0</v>
      </c>
      <c r="E340" s="234">
        <v>0</v>
      </c>
      <c r="F340" s="234">
        <v>0</v>
      </c>
      <c r="G340" s="234">
        <v>0</v>
      </c>
      <c r="H340" s="234">
        <v>0</v>
      </c>
      <c r="I340" s="234">
        <v>0</v>
      </c>
      <c r="J340" s="234">
        <v>0</v>
      </c>
      <c r="K340" s="234">
        <v>0</v>
      </c>
      <c r="L340" s="234">
        <v>0</v>
      </c>
      <c r="M340" s="234">
        <v>0</v>
      </c>
      <c r="N340" s="234">
        <v>0</v>
      </c>
      <c r="O340" s="235">
        <v>0</v>
      </c>
      <c r="P340" s="156"/>
      <c r="Q340" s="159"/>
    </row>
    <row r="341" spans="1:22">
      <c r="A341" s="255"/>
      <c r="B341" s="126" t="s">
        <v>73</v>
      </c>
      <c r="C341" s="234">
        <v>3159</v>
      </c>
      <c r="D341" s="234">
        <v>6921</v>
      </c>
      <c r="E341" s="234">
        <v>28142.167000000001</v>
      </c>
      <c r="F341" s="234">
        <v>22436</v>
      </c>
      <c r="G341" s="234">
        <v>15140</v>
      </c>
      <c r="H341" s="234">
        <v>14285</v>
      </c>
      <c r="I341" s="234">
        <v>20485</v>
      </c>
      <c r="J341" s="234">
        <v>7623.75</v>
      </c>
      <c r="K341" s="234">
        <v>3547.56</v>
      </c>
      <c r="L341" s="234">
        <v>0</v>
      </c>
      <c r="M341" s="234">
        <v>9705</v>
      </c>
      <c r="N341" s="234">
        <v>3130</v>
      </c>
      <c r="O341" s="235">
        <v>0</v>
      </c>
      <c r="P341" s="156"/>
      <c r="Q341" s="156"/>
    </row>
    <row r="342" spans="1:22">
      <c r="A342" s="255"/>
      <c r="B342" s="126" t="s">
        <v>23</v>
      </c>
      <c r="C342" s="234">
        <v>452723.04200000002</v>
      </c>
      <c r="D342" s="234">
        <v>430782.21600000001</v>
      </c>
      <c r="E342" s="234">
        <v>609242.973</v>
      </c>
      <c r="F342" s="234">
        <v>435419.359</v>
      </c>
      <c r="G342" s="234">
        <v>394503.52399999998</v>
      </c>
      <c r="H342" s="234">
        <v>451588.02500000002</v>
      </c>
      <c r="I342" s="234">
        <v>797594.67099999997</v>
      </c>
      <c r="J342" s="234">
        <v>640773.63699999999</v>
      </c>
      <c r="K342" s="234">
        <v>339272.77500000002</v>
      </c>
      <c r="L342" s="234">
        <v>190030.19</v>
      </c>
      <c r="M342" s="234">
        <v>486259.94</v>
      </c>
      <c r="N342" s="234">
        <v>438078.424</v>
      </c>
      <c r="O342" s="235">
        <v>365275.30099999998</v>
      </c>
      <c r="P342" s="156"/>
      <c r="Q342" s="156"/>
    </row>
    <row r="343" spans="1:22">
      <c r="A343" s="255"/>
      <c r="B343" s="126" t="s">
        <v>80</v>
      </c>
      <c r="C343" s="234">
        <v>0</v>
      </c>
      <c r="D343" s="234">
        <v>0</v>
      </c>
      <c r="E343" s="234">
        <v>1.546</v>
      </c>
      <c r="F343" s="234">
        <v>0</v>
      </c>
      <c r="G343" s="234">
        <v>0</v>
      </c>
      <c r="H343" s="234">
        <v>0</v>
      </c>
      <c r="I343" s="234">
        <v>0</v>
      </c>
      <c r="J343" s="234">
        <v>0</v>
      </c>
      <c r="K343" s="234">
        <v>0</v>
      </c>
      <c r="L343" s="234">
        <v>48.424999999999997</v>
      </c>
      <c r="M343" s="234">
        <v>0</v>
      </c>
      <c r="N343" s="234">
        <v>0</v>
      </c>
      <c r="O343" s="235">
        <v>0</v>
      </c>
      <c r="P343" s="156"/>
      <c r="Q343" s="156"/>
    </row>
    <row r="344" spans="1:22">
      <c r="A344" s="255"/>
      <c r="B344" s="126" t="s">
        <v>74</v>
      </c>
      <c r="C344" s="234">
        <v>9876.75</v>
      </c>
      <c r="D344" s="234">
        <v>408.33300000000003</v>
      </c>
      <c r="E344" s="234">
        <v>583</v>
      </c>
      <c r="F344" s="234">
        <v>5128.25</v>
      </c>
      <c r="G344" s="234">
        <v>267.5</v>
      </c>
      <c r="H344" s="234">
        <v>1875</v>
      </c>
      <c r="I344" s="234">
        <v>2238.683</v>
      </c>
      <c r="J344" s="234">
        <v>5818.2749999999996</v>
      </c>
      <c r="K344" s="234">
        <v>2631.1329999999998</v>
      </c>
      <c r="L344" s="234">
        <v>948.5</v>
      </c>
      <c r="M344" s="234">
        <v>12797.075000000001</v>
      </c>
      <c r="N344" s="234">
        <v>12438.968000000001</v>
      </c>
      <c r="O344" s="235">
        <v>7902.0079999999998</v>
      </c>
      <c r="P344" s="156"/>
      <c r="Q344" s="156"/>
    </row>
    <row r="345" spans="1:22">
      <c r="A345" s="255"/>
      <c r="B345" s="126" t="s">
        <v>83</v>
      </c>
      <c r="C345" s="234">
        <v>2741.6</v>
      </c>
      <c r="D345" s="234">
        <v>372</v>
      </c>
      <c r="E345" s="234">
        <v>1567.5</v>
      </c>
      <c r="F345" s="234">
        <v>190</v>
      </c>
      <c r="G345" s="234">
        <v>102</v>
      </c>
      <c r="H345" s="234">
        <v>40</v>
      </c>
      <c r="I345" s="234">
        <v>1099.2</v>
      </c>
      <c r="J345" s="234">
        <v>729.7</v>
      </c>
      <c r="K345" s="234">
        <v>554.1</v>
      </c>
      <c r="L345" s="234">
        <v>910.22500000000002</v>
      </c>
      <c r="M345" s="234">
        <v>984</v>
      </c>
      <c r="N345" s="234">
        <v>2865.4</v>
      </c>
      <c r="O345" s="235">
        <v>1132.875</v>
      </c>
      <c r="P345" s="156"/>
      <c r="Q345" s="156"/>
    </row>
    <row r="346" spans="1:22">
      <c r="A346" s="255"/>
      <c r="B346" s="126" t="s">
        <v>77</v>
      </c>
      <c r="C346" s="234">
        <v>0</v>
      </c>
      <c r="D346" s="234">
        <v>116.667</v>
      </c>
      <c r="E346" s="234">
        <v>0.17299999999999999</v>
      </c>
      <c r="F346" s="234">
        <v>0</v>
      </c>
      <c r="G346" s="234">
        <v>0</v>
      </c>
      <c r="H346" s="234">
        <v>0</v>
      </c>
      <c r="I346" s="234">
        <v>0</v>
      </c>
      <c r="J346" s="234">
        <v>0</v>
      </c>
      <c r="K346" s="234">
        <v>0</v>
      </c>
      <c r="L346" s="234">
        <v>5.8</v>
      </c>
      <c r="M346" s="234">
        <v>0</v>
      </c>
      <c r="N346" s="234">
        <v>54.15</v>
      </c>
      <c r="O346" s="235">
        <v>137.5</v>
      </c>
      <c r="P346" s="156"/>
      <c r="Q346" s="156"/>
    </row>
    <row r="347" spans="1:22">
      <c r="A347" s="255"/>
      <c r="B347" s="126" t="s">
        <v>210</v>
      </c>
      <c r="C347" s="234">
        <v>0</v>
      </c>
      <c r="D347" s="234">
        <v>0</v>
      </c>
      <c r="E347" s="234">
        <v>0</v>
      </c>
      <c r="F347" s="234">
        <v>0</v>
      </c>
      <c r="G347" s="234">
        <v>0</v>
      </c>
      <c r="H347" s="234">
        <v>0</v>
      </c>
      <c r="I347" s="234">
        <v>0</v>
      </c>
      <c r="J347" s="234">
        <v>0</v>
      </c>
      <c r="K347" s="234">
        <v>0</v>
      </c>
      <c r="L347" s="234">
        <v>0</v>
      </c>
      <c r="M347" s="234">
        <v>0</v>
      </c>
      <c r="N347" s="234">
        <v>0</v>
      </c>
      <c r="O347" s="235">
        <v>0</v>
      </c>
      <c r="P347" s="156"/>
      <c r="Q347" s="156"/>
    </row>
    <row r="348" spans="1:22">
      <c r="A348" s="255"/>
      <c r="B348" s="126" t="s">
        <v>19</v>
      </c>
      <c r="C348" s="234">
        <v>0</v>
      </c>
      <c r="D348" s="234">
        <v>0</v>
      </c>
      <c r="E348" s="234">
        <v>51.587000000000003</v>
      </c>
      <c r="F348" s="234">
        <v>0</v>
      </c>
      <c r="G348" s="234">
        <v>138</v>
      </c>
      <c r="H348" s="234">
        <v>0</v>
      </c>
      <c r="I348" s="234">
        <v>2</v>
      </c>
      <c r="J348" s="234">
        <v>481.66699999999997</v>
      </c>
      <c r="K348" s="234">
        <v>5753.75</v>
      </c>
      <c r="L348" s="234">
        <v>7951.9669999999996</v>
      </c>
      <c r="M348" s="234">
        <v>7231.6369999999997</v>
      </c>
      <c r="N348" s="234">
        <v>502</v>
      </c>
      <c r="O348" s="235">
        <v>455</v>
      </c>
      <c r="P348" s="156"/>
      <c r="Q348" s="157"/>
    </row>
    <row r="349" spans="1:22">
      <c r="A349" s="255"/>
      <c r="B349" s="126" t="s">
        <v>171</v>
      </c>
      <c r="C349" s="234">
        <v>0</v>
      </c>
      <c r="D349" s="234">
        <v>0</v>
      </c>
      <c r="E349" s="234">
        <v>0</v>
      </c>
      <c r="F349" s="234">
        <v>0</v>
      </c>
      <c r="G349" s="234">
        <v>0</v>
      </c>
      <c r="H349" s="234">
        <v>0</v>
      </c>
      <c r="I349" s="234">
        <v>0</v>
      </c>
      <c r="J349" s="234">
        <v>0</v>
      </c>
      <c r="K349" s="234">
        <v>0</v>
      </c>
      <c r="L349" s="234">
        <v>0</v>
      </c>
      <c r="M349" s="234">
        <v>0</v>
      </c>
      <c r="N349" s="234">
        <v>0</v>
      </c>
      <c r="O349" s="235">
        <v>0</v>
      </c>
      <c r="P349" s="156"/>
      <c r="Q349" s="157"/>
    </row>
    <row r="350" spans="1:22">
      <c r="A350" s="255"/>
      <c r="B350" s="126" t="s">
        <v>85</v>
      </c>
      <c r="C350" s="234">
        <v>0</v>
      </c>
      <c r="D350" s="234">
        <v>18.332999999999998</v>
      </c>
      <c r="E350" s="234">
        <v>0</v>
      </c>
      <c r="F350" s="234">
        <v>0</v>
      </c>
      <c r="G350" s="234">
        <v>6190</v>
      </c>
      <c r="H350" s="234">
        <v>0</v>
      </c>
      <c r="I350" s="234">
        <v>0</v>
      </c>
      <c r="J350" s="234">
        <v>0</v>
      </c>
      <c r="K350" s="234">
        <v>0</v>
      </c>
      <c r="L350" s="234">
        <v>0</v>
      </c>
      <c r="M350" s="234">
        <v>801.6</v>
      </c>
      <c r="N350" s="234">
        <v>0</v>
      </c>
      <c r="O350" s="235">
        <v>471.21699999999998</v>
      </c>
      <c r="P350" s="156"/>
      <c r="Q350" s="164"/>
      <c r="R350" s="164"/>
      <c r="S350" s="164"/>
      <c r="T350" s="164"/>
      <c r="U350" s="164"/>
      <c r="V350" s="164"/>
    </row>
    <row r="351" spans="1:22">
      <c r="A351" s="255"/>
      <c r="B351" s="126" t="s">
        <v>72</v>
      </c>
      <c r="C351" s="234">
        <v>0</v>
      </c>
      <c r="D351" s="234">
        <v>0</v>
      </c>
      <c r="E351" s="234">
        <v>4.1210000000000004</v>
      </c>
      <c r="F351" s="234">
        <v>0</v>
      </c>
      <c r="G351" s="234">
        <v>0</v>
      </c>
      <c r="H351" s="234">
        <v>0</v>
      </c>
      <c r="I351" s="234">
        <v>0</v>
      </c>
      <c r="J351" s="234">
        <v>0</v>
      </c>
      <c r="K351" s="234">
        <v>4387.5</v>
      </c>
      <c r="L351" s="234">
        <v>0</v>
      </c>
      <c r="M351" s="234">
        <v>0</v>
      </c>
      <c r="N351" s="234">
        <v>0</v>
      </c>
      <c r="O351" s="235">
        <v>0</v>
      </c>
      <c r="P351" s="156"/>
      <c r="Q351" s="164"/>
      <c r="R351" s="164"/>
      <c r="S351" s="164"/>
      <c r="T351" s="164"/>
      <c r="U351" s="164"/>
      <c r="V351" s="164"/>
    </row>
    <row r="352" spans="1:22">
      <c r="A352" s="255"/>
      <c r="B352" s="126" t="s">
        <v>81</v>
      </c>
      <c r="C352" s="234">
        <v>0</v>
      </c>
      <c r="D352" s="234">
        <v>0</v>
      </c>
      <c r="E352" s="234">
        <v>17.093</v>
      </c>
      <c r="F352" s="234">
        <v>0</v>
      </c>
      <c r="G352" s="234">
        <v>0</v>
      </c>
      <c r="H352" s="234">
        <v>0</v>
      </c>
      <c r="I352" s="234">
        <v>0</v>
      </c>
      <c r="J352" s="234">
        <v>6</v>
      </c>
      <c r="K352" s="234">
        <v>0</v>
      </c>
      <c r="L352" s="234">
        <v>5.5</v>
      </c>
      <c r="M352" s="234">
        <v>0</v>
      </c>
      <c r="N352" s="234">
        <v>0</v>
      </c>
      <c r="O352" s="235">
        <v>0</v>
      </c>
      <c r="P352" s="156"/>
      <c r="Q352" s="164"/>
      <c r="R352" s="164"/>
      <c r="S352" s="164"/>
      <c r="T352" s="164"/>
      <c r="U352" s="164"/>
      <c r="V352" s="164"/>
    </row>
    <row r="353" spans="1:22">
      <c r="A353" s="255"/>
      <c r="B353" s="126" t="s">
        <v>86</v>
      </c>
      <c r="C353" s="234">
        <v>0</v>
      </c>
      <c r="D353" s="234">
        <v>0</v>
      </c>
      <c r="E353" s="234">
        <v>0</v>
      </c>
      <c r="F353" s="234">
        <v>0</v>
      </c>
      <c r="G353" s="234">
        <v>0</v>
      </c>
      <c r="H353" s="234">
        <v>0</v>
      </c>
      <c r="I353" s="234">
        <v>0</v>
      </c>
      <c r="J353" s="234">
        <v>0</v>
      </c>
      <c r="K353" s="234">
        <v>0</v>
      </c>
      <c r="L353" s="234">
        <v>0</v>
      </c>
      <c r="M353" s="234">
        <v>0</v>
      </c>
      <c r="N353" s="234">
        <v>0</v>
      </c>
      <c r="O353" s="235">
        <v>0</v>
      </c>
      <c r="P353" s="156"/>
      <c r="Q353" s="164"/>
      <c r="R353" s="164"/>
      <c r="S353" s="164"/>
      <c r="T353" s="164"/>
      <c r="U353" s="164"/>
      <c r="V353" s="164"/>
    </row>
    <row r="354" spans="1:22">
      <c r="A354" s="255"/>
      <c r="B354" s="126" t="s">
        <v>78</v>
      </c>
      <c r="C354" s="234">
        <v>0</v>
      </c>
      <c r="D354" s="234">
        <v>0</v>
      </c>
      <c r="E354" s="234">
        <v>0.44</v>
      </c>
      <c r="F354" s="234">
        <v>0</v>
      </c>
      <c r="G354" s="234">
        <v>0</v>
      </c>
      <c r="H354" s="234">
        <v>0.27500000000000002</v>
      </c>
      <c r="I354" s="234">
        <v>0</v>
      </c>
      <c r="J354" s="234">
        <v>0.17499999999999999</v>
      </c>
      <c r="K354" s="234">
        <v>0</v>
      </c>
      <c r="L354" s="234">
        <v>3.5</v>
      </c>
      <c r="M354" s="234">
        <v>1.425</v>
      </c>
      <c r="N354" s="234">
        <v>0.75</v>
      </c>
      <c r="O354" s="235">
        <v>3.6749999999999998</v>
      </c>
      <c r="P354" s="156"/>
      <c r="Q354" s="164"/>
      <c r="R354" s="164"/>
      <c r="S354" s="164"/>
      <c r="T354" s="164"/>
      <c r="U354" s="164"/>
      <c r="V354" s="164"/>
    </row>
    <row r="355" spans="1:22">
      <c r="A355" s="255"/>
      <c r="B355" s="126" t="s">
        <v>79</v>
      </c>
      <c r="C355" s="234">
        <v>0</v>
      </c>
      <c r="D355" s="234">
        <v>0</v>
      </c>
      <c r="E355" s="234">
        <v>0</v>
      </c>
      <c r="F355" s="234">
        <v>0</v>
      </c>
      <c r="G355" s="234">
        <v>0</v>
      </c>
      <c r="H355" s="234">
        <v>0</v>
      </c>
      <c r="I355" s="234">
        <v>0</v>
      </c>
      <c r="J355" s="234">
        <v>0</v>
      </c>
      <c r="K355" s="234">
        <v>0</v>
      </c>
      <c r="L355" s="234">
        <v>0</v>
      </c>
      <c r="M355" s="234">
        <v>0</v>
      </c>
      <c r="N355" s="234">
        <v>0</v>
      </c>
      <c r="O355" s="235">
        <v>0</v>
      </c>
      <c r="P355" s="157">
        <f>O358/C358-1</f>
        <v>-0.22934190967378931</v>
      </c>
      <c r="Q355" s="164"/>
      <c r="R355" s="164"/>
      <c r="S355" s="164"/>
      <c r="T355" s="164"/>
      <c r="U355" s="164"/>
      <c r="V355" s="164"/>
    </row>
    <row r="356" spans="1:22">
      <c r="A356" s="255"/>
      <c r="B356" s="201" t="s">
        <v>249</v>
      </c>
      <c r="C356" s="234">
        <v>0</v>
      </c>
      <c r="D356" s="234">
        <v>0</v>
      </c>
      <c r="E356" s="234">
        <v>0</v>
      </c>
      <c r="F356" s="234">
        <v>0</v>
      </c>
      <c r="G356" s="234">
        <v>0</v>
      </c>
      <c r="H356" s="234">
        <v>0</v>
      </c>
      <c r="I356" s="234">
        <v>0</v>
      </c>
      <c r="J356" s="234">
        <v>0</v>
      </c>
      <c r="K356" s="234">
        <v>0</v>
      </c>
      <c r="L356" s="234">
        <v>0</v>
      </c>
      <c r="M356" s="234">
        <v>0</v>
      </c>
      <c r="N356" s="234">
        <v>22</v>
      </c>
      <c r="O356" s="235">
        <v>0</v>
      </c>
      <c r="P356" s="157"/>
      <c r="Q356" s="164"/>
      <c r="R356" s="164"/>
      <c r="S356" s="164"/>
      <c r="T356" s="164"/>
      <c r="U356" s="164"/>
      <c r="V356" s="164"/>
    </row>
    <row r="357" spans="1:22">
      <c r="A357" s="255"/>
      <c r="B357" s="201" t="s">
        <v>76</v>
      </c>
      <c r="C357" s="234">
        <v>24880.207999999999</v>
      </c>
      <c r="D357" s="234">
        <v>110</v>
      </c>
      <c r="E357" s="234">
        <v>458.57299999999998</v>
      </c>
      <c r="F357" s="234">
        <v>850</v>
      </c>
      <c r="G357" s="234">
        <v>540.75</v>
      </c>
      <c r="H357" s="234">
        <v>66.5</v>
      </c>
      <c r="I357" s="234">
        <v>1200</v>
      </c>
      <c r="J357" s="234">
        <v>1179.3330000000001</v>
      </c>
      <c r="K357" s="234">
        <v>497.25</v>
      </c>
      <c r="L357" s="234">
        <v>325</v>
      </c>
      <c r="M357" s="234">
        <v>860</v>
      </c>
      <c r="N357" s="234">
        <v>2186.4</v>
      </c>
      <c r="O357" s="235">
        <v>4850.1750000000002</v>
      </c>
      <c r="P357" s="156"/>
      <c r="Q357" s="164"/>
      <c r="R357" s="164"/>
      <c r="S357" s="164"/>
      <c r="T357" s="164"/>
      <c r="U357" s="164"/>
      <c r="V357" s="164"/>
    </row>
    <row r="358" spans="1:22">
      <c r="A358" s="253"/>
      <c r="B358" s="202" t="s">
        <v>0</v>
      </c>
      <c r="C358" s="236">
        <v>493380.6</v>
      </c>
      <c r="D358" s="236">
        <v>438728.549</v>
      </c>
      <c r="E358" s="236">
        <v>640069.17299999995</v>
      </c>
      <c r="F358" s="236">
        <v>464023.609</v>
      </c>
      <c r="G358" s="236">
        <v>416881.77399999998</v>
      </c>
      <c r="H358" s="236">
        <v>467854.8</v>
      </c>
      <c r="I358" s="236">
        <v>822619.554</v>
      </c>
      <c r="J358" s="236">
        <v>656612.53700000001</v>
      </c>
      <c r="K358" s="236">
        <v>356644.06800000003</v>
      </c>
      <c r="L358" s="236">
        <v>200229.10699999999</v>
      </c>
      <c r="M358" s="236">
        <v>518640.67700000003</v>
      </c>
      <c r="N358" s="236">
        <v>459278.092</v>
      </c>
      <c r="O358" s="237">
        <v>380227.75099999999</v>
      </c>
      <c r="P358" s="156"/>
      <c r="Q358" s="164"/>
      <c r="R358" s="164"/>
      <c r="S358" s="164"/>
      <c r="T358" s="164"/>
      <c r="U358" s="164"/>
      <c r="V358" s="164"/>
    </row>
    <row r="359" spans="1:22">
      <c r="A359" s="254" t="s">
        <v>75</v>
      </c>
      <c r="B359" s="126" t="s">
        <v>209</v>
      </c>
      <c r="C359" s="234">
        <v>0</v>
      </c>
      <c r="D359" s="234">
        <v>0</v>
      </c>
      <c r="E359" s="234">
        <v>0</v>
      </c>
      <c r="F359" s="234">
        <v>0</v>
      </c>
      <c r="G359" s="234">
        <v>0</v>
      </c>
      <c r="H359" s="234">
        <v>0</v>
      </c>
      <c r="I359" s="234">
        <v>0</v>
      </c>
      <c r="J359" s="234">
        <v>0</v>
      </c>
      <c r="K359" s="234">
        <v>0</v>
      </c>
      <c r="L359" s="234">
        <v>0</v>
      </c>
      <c r="M359" s="234">
        <v>0</v>
      </c>
      <c r="N359" s="234">
        <v>0</v>
      </c>
      <c r="O359" s="235">
        <v>0</v>
      </c>
      <c r="P359" s="156"/>
      <c r="Q359" s="164"/>
      <c r="R359" s="164"/>
      <c r="S359" s="164"/>
      <c r="T359" s="164"/>
      <c r="U359" s="164"/>
      <c r="V359" s="164"/>
    </row>
    <row r="360" spans="1:22">
      <c r="A360" s="255"/>
      <c r="B360" s="126" t="s">
        <v>73</v>
      </c>
      <c r="C360" s="234">
        <v>0</v>
      </c>
      <c r="D360" s="234">
        <v>0</v>
      </c>
      <c r="E360" s="234">
        <v>0</v>
      </c>
      <c r="F360" s="234">
        <v>0</v>
      </c>
      <c r="G360" s="234">
        <v>0</v>
      </c>
      <c r="H360" s="234">
        <v>0</v>
      </c>
      <c r="I360" s="234">
        <v>0</v>
      </c>
      <c r="J360" s="234">
        <v>120</v>
      </c>
      <c r="K360" s="234">
        <v>0</v>
      </c>
      <c r="L360" s="234">
        <v>0</v>
      </c>
      <c r="M360" s="234">
        <v>0</v>
      </c>
      <c r="N360" s="234">
        <v>0</v>
      </c>
      <c r="O360" s="235">
        <v>0</v>
      </c>
      <c r="P360" s="156"/>
      <c r="Q360" s="164"/>
      <c r="R360" s="164"/>
      <c r="S360" s="164"/>
      <c r="T360" s="164"/>
      <c r="U360" s="164"/>
      <c r="V360" s="164"/>
    </row>
    <row r="361" spans="1:22">
      <c r="A361" s="255"/>
      <c r="B361" s="126" t="s">
        <v>23</v>
      </c>
      <c r="C361" s="234">
        <v>3825.5839999999998</v>
      </c>
      <c r="D361" s="234">
        <v>1455.4469999999999</v>
      </c>
      <c r="E361" s="234">
        <v>2701.1750000000002</v>
      </c>
      <c r="F361" s="234">
        <v>217.3</v>
      </c>
      <c r="G361" s="234">
        <v>8987.6</v>
      </c>
      <c r="H361" s="234">
        <v>690.8</v>
      </c>
      <c r="I361" s="234">
        <v>0</v>
      </c>
      <c r="J361" s="234">
        <v>7.65</v>
      </c>
      <c r="K361" s="234">
        <v>139.28299999999999</v>
      </c>
      <c r="L361" s="234">
        <v>2.5000000000000001E-2</v>
      </c>
      <c r="M361" s="234">
        <v>625.5</v>
      </c>
      <c r="N361" s="234">
        <v>3000.125</v>
      </c>
      <c r="O361" s="235">
        <v>1021.775</v>
      </c>
      <c r="P361" s="156"/>
      <c r="Q361" s="164"/>
      <c r="R361" s="164"/>
      <c r="S361" s="164"/>
      <c r="T361" s="164"/>
      <c r="U361" s="164"/>
      <c r="V361" s="164"/>
    </row>
    <row r="362" spans="1:22">
      <c r="A362" s="255"/>
      <c r="B362" s="126" t="s">
        <v>80</v>
      </c>
      <c r="C362" s="234">
        <v>1938.558</v>
      </c>
      <c r="D362" s="234">
        <v>847.53599999999994</v>
      </c>
      <c r="E362" s="234">
        <v>1318.671</v>
      </c>
      <c r="F362" s="234">
        <v>32.625</v>
      </c>
      <c r="G362" s="234">
        <v>840.12099999999998</v>
      </c>
      <c r="H362" s="234">
        <v>17.097000000000001</v>
      </c>
      <c r="I362" s="234">
        <v>18.25</v>
      </c>
      <c r="J362" s="234">
        <v>352.702</v>
      </c>
      <c r="K362" s="234">
        <v>1314.1389999999999</v>
      </c>
      <c r="L362" s="234">
        <v>893.82399999999996</v>
      </c>
      <c r="M362" s="234">
        <v>2378.8139999999999</v>
      </c>
      <c r="N362" s="234">
        <v>6273.1949999999997</v>
      </c>
      <c r="O362" s="235">
        <v>4302.4539999999997</v>
      </c>
      <c r="P362" s="156"/>
      <c r="Q362" s="164"/>
      <c r="R362" s="164"/>
      <c r="S362" s="164"/>
      <c r="T362" s="164"/>
      <c r="U362" s="164"/>
      <c r="V362" s="164"/>
    </row>
    <row r="363" spans="1:22">
      <c r="A363" s="255"/>
      <c r="B363" s="126" t="s">
        <v>74</v>
      </c>
      <c r="C363" s="234">
        <v>3493.634</v>
      </c>
      <c r="D363" s="234">
        <v>2673.65</v>
      </c>
      <c r="E363" s="234">
        <v>11020.95</v>
      </c>
      <c r="F363" s="234">
        <v>20239.797999999999</v>
      </c>
      <c r="G363" s="234">
        <v>13384.6</v>
      </c>
      <c r="H363" s="234">
        <v>14398.216</v>
      </c>
      <c r="I363" s="234">
        <v>2875.8339999999998</v>
      </c>
      <c r="J363" s="234">
        <v>1714.424</v>
      </c>
      <c r="K363" s="234">
        <v>2159.3330000000001</v>
      </c>
      <c r="L363" s="234">
        <v>5583.5</v>
      </c>
      <c r="M363" s="234">
        <v>2946.4760000000001</v>
      </c>
      <c r="N363" s="234">
        <v>3981.25</v>
      </c>
      <c r="O363" s="235">
        <v>6001.4319999999998</v>
      </c>
      <c r="P363" s="156"/>
      <c r="Q363" s="164"/>
      <c r="R363" s="164"/>
      <c r="S363" s="164"/>
      <c r="T363" s="164"/>
      <c r="U363" s="164"/>
      <c r="V363" s="164"/>
    </row>
    <row r="364" spans="1:22">
      <c r="A364" s="255"/>
      <c r="B364" s="126" t="s">
        <v>83</v>
      </c>
      <c r="C364" s="234">
        <v>0</v>
      </c>
      <c r="D364" s="234">
        <v>0</v>
      </c>
      <c r="E364" s="234">
        <v>0</v>
      </c>
      <c r="F364" s="234">
        <v>0</v>
      </c>
      <c r="G364" s="234">
        <v>0</v>
      </c>
      <c r="H364" s="234">
        <v>0</v>
      </c>
      <c r="I364" s="234">
        <v>0</v>
      </c>
      <c r="J364" s="234">
        <v>30.225000000000001</v>
      </c>
      <c r="K364" s="234">
        <v>42.7</v>
      </c>
      <c r="L364" s="234">
        <v>0</v>
      </c>
      <c r="M364" s="234">
        <v>0</v>
      </c>
      <c r="N364" s="234">
        <v>17.925000000000001</v>
      </c>
      <c r="O364" s="235">
        <v>13.3</v>
      </c>
      <c r="P364" s="156"/>
      <c r="Q364" s="164"/>
      <c r="R364" s="164"/>
      <c r="S364" s="164"/>
      <c r="T364" s="164"/>
      <c r="U364" s="164"/>
      <c r="V364" s="164"/>
    </row>
    <row r="365" spans="1:22">
      <c r="A365" s="255"/>
      <c r="B365" s="126" t="s">
        <v>77</v>
      </c>
      <c r="C365" s="234">
        <v>57683.41</v>
      </c>
      <c r="D365" s="234">
        <v>51036.108999999997</v>
      </c>
      <c r="E365" s="234">
        <v>38607.135999999999</v>
      </c>
      <c r="F365" s="234">
        <v>17134.645</v>
      </c>
      <c r="G365" s="234">
        <v>29817.697</v>
      </c>
      <c r="H365" s="234">
        <v>16272.343999999999</v>
      </c>
      <c r="I365" s="234">
        <v>5190.7349999999997</v>
      </c>
      <c r="J365" s="234">
        <v>21109.850999999999</v>
      </c>
      <c r="K365" s="234">
        <v>10600.206</v>
      </c>
      <c r="L365" s="234">
        <v>15107.638999999999</v>
      </c>
      <c r="M365" s="234">
        <v>13379.977999999999</v>
      </c>
      <c r="N365" s="234">
        <v>131978.226</v>
      </c>
      <c r="O365" s="235">
        <v>53466.71</v>
      </c>
      <c r="P365" s="156"/>
      <c r="Q365" s="164"/>
      <c r="R365" s="164"/>
      <c r="S365" s="164"/>
      <c r="T365" s="164"/>
      <c r="U365" s="164"/>
      <c r="V365" s="164"/>
    </row>
    <row r="366" spans="1:22">
      <c r="A366" s="255"/>
      <c r="B366" s="126" t="s">
        <v>210</v>
      </c>
      <c r="C366" s="234">
        <v>21.622</v>
      </c>
      <c r="D366" s="234">
        <v>0</v>
      </c>
      <c r="E366" s="234">
        <v>152.154</v>
      </c>
      <c r="F366" s="234">
        <v>85.46</v>
      </c>
      <c r="G366" s="234">
        <v>414.49799999999999</v>
      </c>
      <c r="H366" s="234">
        <v>4.125</v>
      </c>
      <c r="I366" s="234">
        <v>14.95</v>
      </c>
      <c r="J366" s="234">
        <v>639.66700000000003</v>
      </c>
      <c r="K366" s="234">
        <v>1319.4960000000001</v>
      </c>
      <c r="L366" s="234">
        <v>943.077</v>
      </c>
      <c r="M366" s="234">
        <v>2505.9189999999999</v>
      </c>
      <c r="N366" s="234">
        <v>4382.4769999999999</v>
      </c>
      <c r="O366" s="235">
        <v>1433.252</v>
      </c>
      <c r="P366" s="156"/>
      <c r="Q366" s="164"/>
      <c r="R366" s="164"/>
      <c r="S366" s="164"/>
      <c r="T366" s="164"/>
      <c r="U366" s="164"/>
      <c r="V366" s="164"/>
    </row>
    <row r="367" spans="1:22">
      <c r="A367" s="255"/>
      <c r="B367" s="126" t="s">
        <v>19</v>
      </c>
      <c r="C367" s="234">
        <v>183.179</v>
      </c>
      <c r="D367" s="234">
        <v>614.29399999999998</v>
      </c>
      <c r="E367" s="234">
        <v>562.18100000000004</v>
      </c>
      <c r="F367" s="234">
        <v>119.363</v>
      </c>
      <c r="G367" s="234">
        <v>524.98400000000004</v>
      </c>
      <c r="H367" s="234">
        <v>735.99199999999996</v>
      </c>
      <c r="I367" s="234">
        <v>42.469000000000001</v>
      </c>
      <c r="J367" s="234">
        <v>65.772999999999996</v>
      </c>
      <c r="K367" s="234">
        <v>2249.5949999999998</v>
      </c>
      <c r="L367" s="234">
        <v>2043.925</v>
      </c>
      <c r="M367" s="234">
        <v>3560.598</v>
      </c>
      <c r="N367" s="234">
        <v>5141.28</v>
      </c>
      <c r="O367" s="235">
        <v>5499.3530000000001</v>
      </c>
      <c r="P367" s="156"/>
      <c r="Q367" s="164"/>
      <c r="R367" s="164"/>
      <c r="S367" s="164"/>
      <c r="T367" s="164"/>
      <c r="U367" s="164"/>
      <c r="V367" s="164"/>
    </row>
    <row r="368" spans="1:22">
      <c r="A368" s="255"/>
      <c r="B368" s="126" t="s">
        <v>171</v>
      </c>
      <c r="C368" s="234">
        <v>0</v>
      </c>
      <c r="D368" s="234">
        <v>0</v>
      </c>
      <c r="E368" s="234">
        <v>0</v>
      </c>
      <c r="F368" s="234">
        <v>0</v>
      </c>
      <c r="G368" s="234">
        <v>0</v>
      </c>
      <c r="H368" s="234">
        <v>0</v>
      </c>
      <c r="I368" s="234">
        <v>0</v>
      </c>
      <c r="J368" s="234">
        <v>0</v>
      </c>
      <c r="K368" s="234">
        <v>0</v>
      </c>
      <c r="L368" s="234">
        <v>0</v>
      </c>
      <c r="M368" s="234">
        <v>0</v>
      </c>
      <c r="N368" s="234">
        <v>0</v>
      </c>
      <c r="O368" s="235">
        <v>0</v>
      </c>
      <c r="P368" s="156"/>
      <c r="Q368" s="164"/>
      <c r="R368" s="164"/>
      <c r="S368" s="164"/>
      <c r="T368" s="164"/>
      <c r="U368" s="164"/>
      <c r="V368" s="164"/>
    </row>
    <row r="369" spans="1:22">
      <c r="A369" s="255"/>
      <c r="B369" s="126" t="s">
        <v>85</v>
      </c>
      <c r="C369" s="234">
        <v>0</v>
      </c>
      <c r="D369" s="234">
        <v>0</v>
      </c>
      <c r="E369" s="234">
        <v>0</v>
      </c>
      <c r="F369" s="234">
        <v>0</v>
      </c>
      <c r="G369" s="234">
        <v>0</v>
      </c>
      <c r="H369" s="234">
        <v>0</v>
      </c>
      <c r="I369" s="234">
        <v>0</v>
      </c>
      <c r="J369" s="234">
        <v>0</v>
      </c>
      <c r="K369" s="234">
        <v>0</v>
      </c>
      <c r="L369" s="234">
        <v>0</v>
      </c>
      <c r="M369" s="234">
        <v>0</v>
      </c>
      <c r="N369" s="234">
        <v>0</v>
      </c>
      <c r="O369" s="235">
        <v>0</v>
      </c>
      <c r="P369" s="156"/>
      <c r="Q369" s="164"/>
      <c r="R369" s="164"/>
      <c r="S369" s="164"/>
      <c r="T369" s="164"/>
      <c r="U369" s="164"/>
      <c r="V369" s="164"/>
    </row>
    <row r="370" spans="1:22">
      <c r="A370" s="255"/>
      <c r="B370" s="126" t="s">
        <v>72</v>
      </c>
      <c r="C370" s="234">
        <v>0</v>
      </c>
      <c r="D370" s="234">
        <v>0</v>
      </c>
      <c r="E370" s="234">
        <v>0</v>
      </c>
      <c r="F370" s="234">
        <v>0</v>
      </c>
      <c r="G370" s="234">
        <v>0</v>
      </c>
      <c r="H370" s="234">
        <v>0</v>
      </c>
      <c r="I370" s="234">
        <v>0</v>
      </c>
      <c r="J370" s="234">
        <v>0</v>
      </c>
      <c r="K370" s="234">
        <v>0</v>
      </c>
      <c r="L370" s="234">
        <v>0</v>
      </c>
      <c r="M370" s="234">
        <v>0</v>
      </c>
      <c r="N370" s="234">
        <v>0</v>
      </c>
      <c r="O370" s="235">
        <v>0</v>
      </c>
      <c r="P370" s="156"/>
    </row>
    <row r="371" spans="1:22">
      <c r="A371" s="255"/>
      <c r="B371" s="126" t="s">
        <v>81</v>
      </c>
      <c r="C371" s="234">
        <v>1386.989</v>
      </c>
      <c r="D371" s="234">
        <v>1121.5920000000001</v>
      </c>
      <c r="E371" s="234">
        <v>696.14200000000005</v>
      </c>
      <c r="F371" s="234">
        <v>21.475000000000001</v>
      </c>
      <c r="G371" s="234">
        <v>673.13300000000004</v>
      </c>
      <c r="H371" s="234">
        <v>10.464</v>
      </c>
      <c r="I371" s="234">
        <v>0</v>
      </c>
      <c r="J371" s="234">
        <v>274.47500000000002</v>
      </c>
      <c r="K371" s="234">
        <v>1254.827</v>
      </c>
      <c r="L371" s="234">
        <v>1793.0419999999999</v>
      </c>
      <c r="M371" s="234">
        <v>2355.221</v>
      </c>
      <c r="N371" s="234">
        <v>2418.8760000000002</v>
      </c>
      <c r="O371" s="235">
        <v>1658.9880000000001</v>
      </c>
      <c r="P371" s="156"/>
    </row>
    <row r="372" spans="1:22">
      <c r="A372" s="255"/>
      <c r="B372" s="126" t="s">
        <v>86</v>
      </c>
      <c r="C372" s="234">
        <v>378.25400000000002</v>
      </c>
      <c r="D372" s="234">
        <v>0</v>
      </c>
      <c r="E372" s="234">
        <v>6.06</v>
      </c>
      <c r="F372" s="234">
        <v>0</v>
      </c>
      <c r="G372" s="234">
        <v>0</v>
      </c>
      <c r="H372" s="234">
        <v>0</v>
      </c>
      <c r="I372" s="234">
        <v>0</v>
      </c>
      <c r="J372" s="234">
        <v>0</v>
      </c>
      <c r="K372" s="234">
        <v>0</v>
      </c>
      <c r="L372" s="234">
        <v>0</v>
      </c>
      <c r="M372" s="234">
        <v>122.68300000000001</v>
      </c>
      <c r="N372" s="234">
        <v>1111.912</v>
      </c>
      <c r="O372" s="235">
        <v>779.20500000000004</v>
      </c>
      <c r="P372" s="157">
        <f>O377/C377-1</f>
        <v>0.93602274083835058</v>
      </c>
      <c r="Q372" s="157">
        <f>(O358+O377)/(C377+C358)-1</f>
        <v>-5.4163661931110441E-2</v>
      </c>
    </row>
    <row r="373" spans="1:22">
      <c r="A373" s="255"/>
      <c r="B373" s="126" t="s">
        <v>78</v>
      </c>
      <c r="C373" s="234">
        <v>4597.1080000000002</v>
      </c>
      <c r="D373" s="234">
        <v>4121.2039999999997</v>
      </c>
      <c r="E373" s="234">
        <v>6669.0439999999999</v>
      </c>
      <c r="F373" s="234">
        <v>4289.0709999999999</v>
      </c>
      <c r="G373" s="234">
        <v>580.30200000000002</v>
      </c>
      <c r="H373" s="234">
        <v>297.23099999999999</v>
      </c>
      <c r="I373" s="234">
        <v>1129.2550000000001</v>
      </c>
      <c r="J373" s="234">
        <v>38619.468999999997</v>
      </c>
      <c r="K373" s="234">
        <v>36877.692000000003</v>
      </c>
      <c r="L373" s="234">
        <v>51954.457000000002</v>
      </c>
      <c r="M373" s="234">
        <v>132286.69099999999</v>
      </c>
      <c r="N373" s="234">
        <v>222866.54500000001</v>
      </c>
      <c r="O373" s="235">
        <v>63965.084000000003</v>
      </c>
      <c r="P373" s="156"/>
    </row>
    <row r="374" spans="1:22">
      <c r="A374" s="255"/>
      <c r="B374" s="126" t="s">
        <v>79</v>
      </c>
      <c r="C374" s="234">
        <v>13777.802</v>
      </c>
      <c r="D374" s="234">
        <v>8695.57</v>
      </c>
      <c r="E374" s="234">
        <v>685.92</v>
      </c>
      <c r="F374" s="234">
        <v>0</v>
      </c>
      <c r="G374" s="234">
        <v>12.4</v>
      </c>
      <c r="H374" s="234">
        <v>102.47499999999999</v>
      </c>
      <c r="I374" s="234">
        <v>151.67500000000001</v>
      </c>
      <c r="J374" s="234">
        <v>2600.2660000000001</v>
      </c>
      <c r="K374" s="234">
        <v>15191.608</v>
      </c>
      <c r="L374" s="234">
        <v>25605.382000000001</v>
      </c>
      <c r="M374" s="234">
        <v>37295.190999999999</v>
      </c>
      <c r="N374" s="234">
        <v>32216.312999999998</v>
      </c>
      <c r="O374" s="235">
        <v>16218.591</v>
      </c>
      <c r="P374" s="156"/>
    </row>
    <row r="375" spans="1:22">
      <c r="A375" s="255"/>
      <c r="B375" s="201" t="s">
        <v>249</v>
      </c>
      <c r="C375" s="234">
        <v>0</v>
      </c>
      <c r="D375" s="234">
        <v>0</v>
      </c>
      <c r="E375" s="234">
        <v>0</v>
      </c>
      <c r="F375" s="234">
        <v>0</v>
      </c>
      <c r="G375" s="234">
        <v>0</v>
      </c>
      <c r="H375" s="234">
        <v>0</v>
      </c>
      <c r="I375" s="234">
        <v>0</v>
      </c>
      <c r="J375" s="234">
        <v>0</v>
      </c>
      <c r="K375" s="234">
        <v>0</v>
      </c>
      <c r="L375" s="234">
        <v>0</v>
      </c>
      <c r="M375" s="234">
        <v>0</v>
      </c>
      <c r="N375" s="234">
        <v>0</v>
      </c>
      <c r="O375" s="235">
        <v>0</v>
      </c>
      <c r="P375" s="156"/>
    </row>
    <row r="376" spans="1:22">
      <c r="A376" s="255"/>
      <c r="B376" s="201" t="s">
        <v>76</v>
      </c>
      <c r="C376" s="234">
        <v>0</v>
      </c>
      <c r="D376" s="234">
        <v>996.77499999999998</v>
      </c>
      <c r="E376" s="234">
        <v>3929.3</v>
      </c>
      <c r="F376" s="234">
        <v>3606.1</v>
      </c>
      <c r="G376" s="234">
        <v>4997.3999999999996</v>
      </c>
      <c r="H376" s="234">
        <v>649.82500000000005</v>
      </c>
      <c r="I376" s="234">
        <v>0</v>
      </c>
      <c r="J376" s="234">
        <v>1116.925</v>
      </c>
      <c r="K376" s="234">
        <v>147.36600000000001</v>
      </c>
      <c r="L376" s="234">
        <v>3262.7249999999999</v>
      </c>
      <c r="M376" s="234">
        <v>2493.3420000000001</v>
      </c>
      <c r="N376" s="234">
        <v>31460.519</v>
      </c>
      <c r="O376" s="235">
        <v>14627.808000000001</v>
      </c>
      <c r="P376" s="156"/>
    </row>
    <row r="377" spans="1:22">
      <c r="A377" s="253"/>
      <c r="B377" s="202" t="s">
        <v>0</v>
      </c>
      <c r="C377" s="236">
        <v>87286.14</v>
      </c>
      <c r="D377" s="236">
        <v>71562.176999999996</v>
      </c>
      <c r="E377" s="236">
        <v>66348.732999999993</v>
      </c>
      <c r="F377" s="236">
        <v>45745.837</v>
      </c>
      <c r="G377" s="236">
        <v>60232.735000000001</v>
      </c>
      <c r="H377" s="236">
        <v>33178.569000000003</v>
      </c>
      <c r="I377" s="236">
        <v>9423.1679999999997</v>
      </c>
      <c r="J377" s="236">
        <v>66651.426999999996</v>
      </c>
      <c r="K377" s="236">
        <v>71296.244999999995</v>
      </c>
      <c r="L377" s="236">
        <v>107187.59600000001</v>
      </c>
      <c r="M377" s="236">
        <v>199950.413</v>
      </c>
      <c r="N377" s="236">
        <v>444848.64299999998</v>
      </c>
      <c r="O377" s="237">
        <v>168987.95199999999</v>
      </c>
      <c r="P377" s="156"/>
    </row>
    <row r="378" spans="1:22">
      <c r="A378" s="164"/>
      <c r="B378" s="164"/>
      <c r="C378" s="164"/>
      <c r="D378" s="164"/>
      <c r="E378" s="164"/>
      <c r="F378" s="164"/>
      <c r="G378" s="164"/>
      <c r="H378" s="164"/>
      <c r="I378" s="164"/>
      <c r="J378" s="164"/>
      <c r="K378" s="164"/>
      <c r="L378" s="164"/>
      <c r="M378" s="164"/>
      <c r="N378" s="164"/>
      <c r="P378" s="156"/>
    </row>
    <row r="379" spans="1:22">
      <c r="A379" s="164"/>
      <c r="B379" s="164"/>
      <c r="C379" s="164"/>
      <c r="D379" s="164"/>
      <c r="E379" s="164"/>
      <c r="F379" s="164"/>
      <c r="G379" s="164"/>
      <c r="H379" s="164"/>
      <c r="I379" s="164"/>
      <c r="J379" s="164"/>
      <c r="K379" s="164"/>
      <c r="L379" s="164"/>
      <c r="M379" s="164"/>
      <c r="N379" s="164"/>
    </row>
    <row r="380" spans="1:22">
      <c r="A380" s="164"/>
      <c r="B380" s="164"/>
      <c r="C380" s="164"/>
      <c r="D380" s="164"/>
      <c r="E380" s="164"/>
      <c r="F380" s="164"/>
      <c r="G380" s="164"/>
      <c r="H380" s="164"/>
      <c r="I380" s="164"/>
      <c r="J380" s="164"/>
      <c r="K380" s="164"/>
      <c r="L380" s="164"/>
      <c r="M380" s="164"/>
      <c r="N380" s="164"/>
    </row>
    <row r="381" spans="1:22">
      <c r="A381" s="84"/>
    </row>
    <row r="382" spans="1:22">
      <c r="A382" s="84"/>
    </row>
    <row r="384" spans="1:22">
      <c r="A384" s="84"/>
    </row>
    <row r="385" spans="1:15">
      <c r="A385" s="84"/>
    </row>
    <row r="386" spans="1:15">
      <c r="A386" s="84"/>
    </row>
    <row r="387" spans="1:15">
      <c r="A387" s="84"/>
    </row>
    <row r="388" spans="1:15">
      <c r="A388" s="84"/>
    </row>
    <row r="389" spans="1:15">
      <c r="A389" s="84" t="s">
        <v>206</v>
      </c>
    </row>
    <row r="390" spans="1:15">
      <c r="B390" s="144" t="str">
        <f>MID(B391,6,1)</f>
        <v>A</v>
      </c>
      <c r="C390" s="144" t="str">
        <f t="shared" ref="C390:N390" si="12">MID(C391,6,1)</f>
        <v>S</v>
      </c>
      <c r="D390" s="144" t="str">
        <f t="shared" si="12"/>
        <v>O</v>
      </c>
      <c r="E390" s="144" t="str">
        <f t="shared" si="12"/>
        <v>N</v>
      </c>
      <c r="F390" s="144" t="str">
        <f t="shared" si="12"/>
        <v>D</v>
      </c>
      <c r="G390" s="144" t="str">
        <f t="shared" si="12"/>
        <v>E</v>
      </c>
      <c r="H390" s="144" t="str">
        <f t="shared" si="12"/>
        <v>F</v>
      </c>
      <c r="I390" s="144" t="str">
        <f t="shared" si="12"/>
        <v>M</v>
      </c>
      <c r="J390" s="144" t="str">
        <f t="shared" si="12"/>
        <v>A</v>
      </c>
      <c r="K390" s="144" t="str">
        <f t="shared" si="12"/>
        <v>M</v>
      </c>
      <c r="L390" s="144" t="str">
        <f t="shared" si="12"/>
        <v>J</v>
      </c>
      <c r="M390" s="144" t="str">
        <f t="shared" si="12"/>
        <v>J</v>
      </c>
      <c r="N390" s="144" t="str">
        <f t="shared" si="12"/>
        <v>A</v>
      </c>
    </row>
    <row r="391" spans="1:15">
      <c r="A391" s="124" t="s">
        <v>87</v>
      </c>
      <c r="B391" s="232" t="s">
        <v>211</v>
      </c>
      <c r="C391" s="232" t="s">
        <v>213</v>
      </c>
      <c r="D391" s="232" t="s">
        <v>215</v>
      </c>
      <c r="E391" s="232" t="s">
        <v>218</v>
      </c>
      <c r="F391" s="232" t="s">
        <v>220</v>
      </c>
      <c r="G391" s="232" t="s">
        <v>224</v>
      </c>
      <c r="H391" s="232" t="s">
        <v>226</v>
      </c>
      <c r="I391" s="232" t="s">
        <v>229</v>
      </c>
      <c r="J391" s="232" t="s">
        <v>239</v>
      </c>
      <c r="K391" s="232" t="s">
        <v>242</v>
      </c>
      <c r="L391" s="232" t="s">
        <v>244</v>
      </c>
      <c r="M391" s="232" t="s">
        <v>247</v>
      </c>
      <c r="N391" s="233" t="s">
        <v>281</v>
      </c>
    </row>
    <row r="392" spans="1:15">
      <c r="A392" s="124" t="s">
        <v>27</v>
      </c>
      <c r="B392" s="225"/>
      <c r="C392" s="225"/>
      <c r="D392" s="225"/>
      <c r="E392" s="225"/>
      <c r="F392" s="225"/>
      <c r="G392" s="225"/>
      <c r="H392" s="225"/>
      <c r="I392" s="225"/>
      <c r="J392" s="225"/>
      <c r="K392" s="225"/>
      <c r="L392" s="225"/>
      <c r="M392" s="225"/>
      <c r="N392" s="224"/>
    </row>
    <row r="393" spans="1:15">
      <c r="A393" s="126" t="s">
        <v>161</v>
      </c>
      <c r="B393" s="215">
        <v>22923.624</v>
      </c>
      <c r="C393" s="215">
        <v>30495.718000000001</v>
      </c>
      <c r="D393" s="215">
        <v>56182.945</v>
      </c>
      <c r="E393" s="215">
        <v>56797.224999999999</v>
      </c>
      <c r="F393" s="215">
        <v>41067.438999999998</v>
      </c>
      <c r="G393" s="215">
        <v>70956.782000000007</v>
      </c>
      <c r="H393" s="215">
        <v>61245.858</v>
      </c>
      <c r="I393" s="215">
        <v>99891.236000000004</v>
      </c>
      <c r="J393" s="215">
        <v>93450.634999999995</v>
      </c>
      <c r="K393" s="215">
        <v>97291.297000000006</v>
      </c>
      <c r="L393" s="215">
        <v>40991.940999999999</v>
      </c>
      <c r="M393" s="215">
        <v>36677.394999999997</v>
      </c>
      <c r="N393" s="217">
        <v>35242.697999999997</v>
      </c>
      <c r="O393" s="62"/>
    </row>
    <row r="394" spans="1:15">
      <c r="A394" s="126" t="s">
        <v>162</v>
      </c>
      <c r="B394" s="215">
        <v>50694.324000000001</v>
      </c>
      <c r="C394" s="215">
        <v>45030.47</v>
      </c>
      <c r="D394" s="215">
        <v>46979.968999999997</v>
      </c>
      <c r="E394" s="215">
        <v>40854.091</v>
      </c>
      <c r="F394" s="215">
        <v>49099.819000000003</v>
      </c>
      <c r="G394" s="215">
        <v>48783.938000000002</v>
      </c>
      <c r="H394" s="215">
        <v>32668.483</v>
      </c>
      <c r="I394" s="215">
        <v>28032.678</v>
      </c>
      <c r="J394" s="215">
        <v>26740.23</v>
      </c>
      <c r="K394" s="215">
        <v>26569.347000000002</v>
      </c>
      <c r="L394" s="215">
        <v>42027.644</v>
      </c>
      <c r="M394" s="215">
        <v>26980.576000000001</v>
      </c>
      <c r="N394" s="217">
        <v>26163.522000000001</v>
      </c>
      <c r="O394" s="62"/>
    </row>
    <row r="395" spans="1:15">
      <c r="A395" s="150" t="s">
        <v>160</v>
      </c>
      <c r="B395" s="152">
        <f t="shared" ref="B395:N395" si="13">SUM(B393:B394)</f>
        <v>73617.948000000004</v>
      </c>
      <c r="C395" s="152">
        <f t="shared" si="13"/>
        <v>75526.187999999995</v>
      </c>
      <c r="D395" s="152">
        <f t="shared" si="13"/>
        <v>103162.91399999999</v>
      </c>
      <c r="E395" s="152">
        <f t="shared" si="13"/>
        <v>97651.315999999992</v>
      </c>
      <c r="F395" s="152">
        <f t="shared" si="13"/>
        <v>90167.258000000002</v>
      </c>
      <c r="G395" s="152">
        <f t="shared" si="13"/>
        <v>119740.72</v>
      </c>
      <c r="H395" s="152">
        <f t="shared" si="13"/>
        <v>93914.341</v>
      </c>
      <c r="I395" s="152">
        <f t="shared" si="13"/>
        <v>127923.914</v>
      </c>
      <c r="J395" s="152">
        <f t="shared" si="13"/>
        <v>120190.86499999999</v>
      </c>
      <c r="K395" s="152">
        <f t="shared" si="13"/>
        <v>123860.644</v>
      </c>
      <c r="L395" s="152">
        <f t="shared" si="13"/>
        <v>83019.584999999992</v>
      </c>
      <c r="M395" s="152">
        <f t="shared" si="13"/>
        <v>63657.970999999998</v>
      </c>
      <c r="N395" s="152">
        <f t="shared" si="13"/>
        <v>61406.22</v>
      </c>
    </row>
    <row r="396" spans="1:15">
      <c r="A396" s="126"/>
    </row>
    <row r="397" spans="1:15">
      <c r="A397" s="126"/>
    </row>
    <row r="398" spans="1:15">
      <c r="A398" s="84" t="s">
        <v>165</v>
      </c>
    </row>
    <row r="399" spans="1:15">
      <c r="A399" s="84" t="s">
        <v>166</v>
      </c>
    </row>
    <row r="400" spans="1:15">
      <c r="A400" s="124"/>
      <c r="B400" s="124" t="s">
        <v>27</v>
      </c>
      <c r="C400" s="260" t="s">
        <v>227</v>
      </c>
      <c r="D400" s="261"/>
      <c r="E400" s="261"/>
      <c r="F400" s="261"/>
      <c r="G400" s="261"/>
      <c r="H400" s="261"/>
      <c r="I400" s="261"/>
      <c r="J400" s="261"/>
      <c r="K400" s="261"/>
      <c r="L400" s="261"/>
      <c r="M400" s="261"/>
      <c r="N400" s="261"/>
      <c r="O400" s="261"/>
    </row>
    <row r="401" spans="1:33">
      <c r="A401" s="124"/>
      <c r="B401" s="124" t="s">
        <v>87</v>
      </c>
      <c r="C401" s="225" t="s">
        <v>211</v>
      </c>
      <c r="D401" s="225" t="s">
        <v>213</v>
      </c>
      <c r="E401" s="225" t="s">
        <v>215</v>
      </c>
      <c r="F401" s="225" t="s">
        <v>218</v>
      </c>
      <c r="G401" s="225" t="s">
        <v>220</v>
      </c>
      <c r="H401" s="225" t="s">
        <v>224</v>
      </c>
      <c r="I401" s="225" t="s">
        <v>226</v>
      </c>
      <c r="J401" s="225" t="s">
        <v>229</v>
      </c>
      <c r="K401" s="225" t="s">
        <v>239</v>
      </c>
      <c r="L401" s="225" t="s">
        <v>242</v>
      </c>
      <c r="M401" s="225" t="s">
        <v>244</v>
      </c>
      <c r="N401" s="225" t="s">
        <v>247</v>
      </c>
      <c r="O401" s="224" t="s">
        <v>281</v>
      </c>
    </row>
    <row r="402" spans="1:33">
      <c r="A402" s="124" t="s">
        <v>120</v>
      </c>
      <c r="B402" s="124" t="s">
        <v>193</v>
      </c>
      <c r="C402" s="225"/>
      <c r="D402" s="225"/>
      <c r="E402" s="225"/>
      <c r="F402" s="225"/>
      <c r="G402" s="225"/>
      <c r="H402" s="225"/>
      <c r="I402" s="225"/>
      <c r="J402" s="225"/>
      <c r="K402" s="225"/>
      <c r="L402" s="225"/>
      <c r="M402" s="225"/>
      <c r="N402" s="225"/>
      <c r="O402" s="224"/>
    </row>
    <row r="403" spans="1:33">
      <c r="A403" s="259" t="s">
        <v>71</v>
      </c>
      <c r="B403" s="126" t="s">
        <v>126</v>
      </c>
      <c r="C403" s="215">
        <v>169.825035873594</v>
      </c>
      <c r="D403" s="215">
        <v>155.87385113639601</v>
      </c>
      <c r="E403" s="215">
        <v>156.488945177593</v>
      </c>
      <c r="F403" s="215">
        <v>180.21856425760001</v>
      </c>
      <c r="G403" s="215">
        <v>189.98390589686599</v>
      </c>
      <c r="H403" s="215">
        <v>194.01727648465101</v>
      </c>
      <c r="I403" s="215">
        <v>191.642422230378</v>
      </c>
      <c r="J403" s="215">
        <v>147.73085463051899</v>
      </c>
      <c r="K403" s="215">
        <v>143.89626229065601</v>
      </c>
      <c r="L403" s="215">
        <v>155.04070517069999</v>
      </c>
      <c r="M403" s="215">
        <v>165.610026415487</v>
      </c>
      <c r="N403" s="215">
        <v>150.287578341498</v>
      </c>
      <c r="O403" s="217">
        <v>157.391405421706</v>
      </c>
      <c r="P403" s="158">
        <f>O403/C403-1</f>
        <v>-7.3214354926694925E-2</v>
      </c>
    </row>
    <row r="404" spans="1:33">
      <c r="A404" s="253"/>
      <c r="B404" s="126" t="s">
        <v>130</v>
      </c>
      <c r="C404" s="215">
        <v>235.40917235091899</v>
      </c>
      <c r="D404" s="215">
        <v>250.485841143654</v>
      </c>
      <c r="E404" s="215">
        <v>255.80172168360301</v>
      </c>
      <c r="F404" s="215">
        <v>282.72443626893102</v>
      </c>
      <c r="G404" s="215">
        <v>303.92478247469302</v>
      </c>
      <c r="H404" s="215">
        <v>295.70636464561198</v>
      </c>
      <c r="I404" s="215">
        <v>305.10105866022201</v>
      </c>
      <c r="J404" s="215">
        <v>264.47613594682201</v>
      </c>
      <c r="K404" s="215">
        <v>244.684313493194</v>
      </c>
      <c r="L404" s="215">
        <v>220.956766740212</v>
      </c>
      <c r="M404" s="215">
        <v>219.04360320250899</v>
      </c>
      <c r="N404" s="215">
        <v>200.37973579197001</v>
      </c>
      <c r="O404" s="217">
        <v>209.217893514564</v>
      </c>
      <c r="P404" s="158">
        <f>O404/C404-1</f>
        <v>-0.11125853158054633</v>
      </c>
    </row>
    <row r="405" spans="1:33">
      <c r="A405" s="252" t="s">
        <v>75</v>
      </c>
      <c r="B405" s="126" t="s">
        <v>126</v>
      </c>
      <c r="C405" s="215">
        <v>86.755411534923098</v>
      </c>
      <c r="D405" s="215">
        <v>67.661076487467895</v>
      </c>
      <c r="E405" s="215">
        <v>62.673256377972102</v>
      </c>
      <c r="F405" s="215">
        <v>92.273579922184197</v>
      </c>
      <c r="G405" s="215">
        <v>93.843193179583494</v>
      </c>
      <c r="H405" s="215">
        <v>83.688895800256105</v>
      </c>
      <c r="I405" s="215">
        <v>97.485909316637105</v>
      </c>
      <c r="J405" s="215">
        <v>34.835328728794003</v>
      </c>
      <c r="K405" s="215">
        <v>15.943038258762799</v>
      </c>
      <c r="L405" s="215">
        <v>4.9076739190594898</v>
      </c>
      <c r="M405" s="215">
        <v>59.637616241593598</v>
      </c>
      <c r="N405" s="215">
        <v>56.254842437116501</v>
      </c>
      <c r="O405" s="217">
        <v>60.975264166524497</v>
      </c>
      <c r="P405" s="158">
        <f>O405/C405-1</f>
        <v>-0.29715895426328409</v>
      </c>
    </row>
    <row r="406" spans="1:33">
      <c r="A406" s="253"/>
      <c r="B406" s="126" t="s">
        <v>130</v>
      </c>
      <c r="C406" s="238">
        <v>-11.445581946156199</v>
      </c>
      <c r="D406" s="238">
        <v>-16.474276763016899</v>
      </c>
      <c r="E406" s="238">
        <v>6.6043489614488999</v>
      </c>
      <c r="F406" s="238">
        <v>33.4109724621281</v>
      </c>
      <c r="G406" s="238">
        <v>21.356870173270401</v>
      </c>
      <c r="H406" s="238">
        <v>34.347338602035499</v>
      </c>
      <c r="I406" s="238">
        <v>32.386280461199497</v>
      </c>
      <c r="J406" s="238">
        <v>-105.857374548515</v>
      </c>
      <c r="K406" s="238">
        <v>-151.95851905293199</v>
      </c>
      <c r="L406" s="238">
        <v>-136.52684326860901</v>
      </c>
      <c r="M406" s="238">
        <v>-87.967055702460598</v>
      </c>
      <c r="N406" s="238">
        <v>-50.667458997607902</v>
      </c>
      <c r="O406" s="239">
        <v>-36.745907028188597</v>
      </c>
      <c r="P406" s="158">
        <f>O406/C406-1</f>
        <v>2.2104883090308109</v>
      </c>
    </row>
    <row r="407" spans="1:33">
      <c r="A407" s="126"/>
      <c r="B407" s="126"/>
      <c r="C407" s="126"/>
      <c r="D407" s="126"/>
      <c r="E407" s="126"/>
      <c r="F407" s="126"/>
      <c r="G407" s="126"/>
      <c r="H407" s="126"/>
      <c r="I407" s="126"/>
      <c r="J407" s="126"/>
      <c r="K407" s="126"/>
      <c r="L407" s="126"/>
      <c r="M407" s="126"/>
      <c r="N407" s="126"/>
      <c r="O407" s="126"/>
      <c r="P407" s="126"/>
      <c r="Q407" s="126"/>
      <c r="R407" s="126"/>
    </row>
    <row r="408" spans="1:33">
      <c r="A408" s="126"/>
      <c r="B408" s="126"/>
      <c r="C408" s="126"/>
      <c r="D408" s="126"/>
      <c r="E408" s="126"/>
      <c r="F408" s="126"/>
      <c r="G408" s="126"/>
      <c r="H408" s="126"/>
      <c r="I408" s="126"/>
      <c r="J408" s="126"/>
      <c r="K408" s="126"/>
      <c r="L408" s="126"/>
      <c r="M408" s="126"/>
      <c r="N408" s="126"/>
      <c r="O408" s="126"/>
      <c r="P408" s="126"/>
      <c r="Q408" s="126"/>
      <c r="R408" s="126"/>
      <c r="S408" s="126"/>
      <c r="T408" s="126"/>
      <c r="U408" s="126"/>
      <c r="V408" s="126"/>
      <c r="W408" s="126"/>
      <c r="X408" s="126"/>
      <c r="Y408" s="126"/>
      <c r="Z408" s="126"/>
      <c r="AA408" s="126"/>
      <c r="AB408" s="126"/>
      <c r="AC408" s="126"/>
      <c r="AD408" s="126"/>
      <c r="AE408" s="126"/>
      <c r="AF408" s="126"/>
      <c r="AG408" s="126"/>
    </row>
    <row r="409" spans="1:33">
      <c r="A409" t="s">
        <v>167</v>
      </c>
    </row>
    <row r="410" spans="1:33">
      <c r="A410" s="124"/>
      <c r="B410" s="124" t="s">
        <v>27</v>
      </c>
      <c r="C410" s="260" t="s">
        <v>134</v>
      </c>
      <c r="D410" s="261"/>
      <c r="E410" s="261"/>
      <c r="F410" s="261"/>
      <c r="G410" s="261"/>
      <c r="H410" s="261"/>
      <c r="I410" s="261"/>
      <c r="J410" s="261"/>
      <c r="K410" s="261"/>
      <c r="L410" s="261"/>
      <c r="M410" s="261"/>
      <c r="N410" s="261"/>
      <c r="O410" s="261"/>
    </row>
    <row r="411" spans="1:33">
      <c r="A411" s="124"/>
      <c r="B411" s="124" t="s">
        <v>87</v>
      </c>
      <c r="C411" s="225" t="s">
        <v>211</v>
      </c>
      <c r="D411" s="225" t="s">
        <v>213</v>
      </c>
      <c r="E411" s="225" t="s">
        <v>215</v>
      </c>
      <c r="F411" s="225" t="s">
        <v>218</v>
      </c>
      <c r="G411" s="225" t="s">
        <v>220</v>
      </c>
      <c r="H411" s="225" t="s">
        <v>224</v>
      </c>
      <c r="I411" s="225" t="s">
        <v>226</v>
      </c>
      <c r="J411" s="225" t="s">
        <v>229</v>
      </c>
      <c r="K411" s="225" t="s">
        <v>239</v>
      </c>
      <c r="L411" s="225" t="s">
        <v>242</v>
      </c>
      <c r="M411" s="225" t="s">
        <v>244</v>
      </c>
      <c r="N411" s="225" t="s">
        <v>247</v>
      </c>
      <c r="O411" s="224" t="s">
        <v>281</v>
      </c>
    </row>
    <row r="412" spans="1:33">
      <c r="A412" s="124" t="s">
        <v>120</v>
      </c>
      <c r="B412" s="124" t="s">
        <v>195</v>
      </c>
      <c r="C412" s="225"/>
      <c r="D412" s="225"/>
      <c r="E412" s="225"/>
      <c r="F412" s="225"/>
      <c r="G412" s="225"/>
      <c r="H412" s="225"/>
      <c r="I412" s="225"/>
      <c r="J412" s="225"/>
      <c r="K412" s="225"/>
      <c r="L412" s="225"/>
      <c r="M412" s="225"/>
      <c r="N412" s="225"/>
      <c r="O412" s="224"/>
    </row>
    <row r="413" spans="1:33">
      <c r="A413" s="259" t="s">
        <v>71</v>
      </c>
      <c r="B413" s="126" t="s">
        <v>127</v>
      </c>
      <c r="C413" s="215">
        <v>27.663462874068198</v>
      </c>
      <c r="D413" s="215">
        <v>32.211216648838501</v>
      </c>
      <c r="E413" s="215">
        <v>40.765020854696999</v>
      </c>
      <c r="F413" s="215">
        <v>38.264322053250702</v>
      </c>
      <c r="G413" s="215">
        <v>57.252702504527399</v>
      </c>
      <c r="H413" s="215">
        <v>51.890255956294602</v>
      </c>
      <c r="I413" s="215">
        <v>67.585589426439896</v>
      </c>
      <c r="J413" s="215">
        <v>35.528474628064501</v>
      </c>
      <c r="K413" s="215">
        <v>21.1892065470701</v>
      </c>
      <c r="L413" s="215">
        <v>11.032690490901601</v>
      </c>
      <c r="M413" s="215">
        <v>20.2973648266365</v>
      </c>
      <c r="N413" s="215">
        <v>34.114137925313202</v>
      </c>
      <c r="O413" s="217">
        <v>35.031649862550204</v>
      </c>
      <c r="P413" s="158">
        <f>O413/C413-1</f>
        <v>0.26635085498963185</v>
      </c>
    </row>
    <row r="414" spans="1:33">
      <c r="A414" s="255"/>
      <c r="B414" s="126" t="s">
        <v>128</v>
      </c>
      <c r="C414" s="215">
        <v>102.803926576843</v>
      </c>
      <c r="D414" s="215">
        <v>88.768818947456197</v>
      </c>
      <c r="E414" s="215">
        <v>88.323514448075599</v>
      </c>
      <c r="F414" s="215">
        <v>105.77170815139399</v>
      </c>
      <c r="G414" s="215">
        <v>137.67775680716099</v>
      </c>
      <c r="H414" s="215">
        <v>133.31983673259199</v>
      </c>
      <c r="I414" s="215">
        <v>140.032644447618</v>
      </c>
      <c r="J414" s="215">
        <v>120.09650501401801</v>
      </c>
      <c r="K414" s="215">
        <v>77.523932633816997</v>
      </c>
      <c r="L414" s="215">
        <v>63.343057325899899</v>
      </c>
      <c r="M414" s="215">
        <v>112.62528893603999</v>
      </c>
      <c r="N414" s="215">
        <v>110.444987815045</v>
      </c>
      <c r="O414" s="217">
        <v>98.534198237232204</v>
      </c>
      <c r="P414" s="158">
        <f>O414/C414-1</f>
        <v>-4.1532735974041723E-2</v>
      </c>
    </row>
    <row r="415" spans="1:33">
      <c r="A415" s="255"/>
      <c r="B415" s="126" t="s">
        <v>194</v>
      </c>
      <c r="C415" s="215">
        <v>115.105830533025</v>
      </c>
      <c r="D415" s="215">
        <v>110.715963429957</v>
      </c>
      <c r="E415" s="215">
        <v>87.959738396162805</v>
      </c>
      <c r="F415" s="215">
        <v>130.53861334146299</v>
      </c>
      <c r="G415" s="215">
        <v>147.46420178288</v>
      </c>
      <c r="H415" s="215">
        <v>132.738858260623</v>
      </c>
      <c r="I415" s="215">
        <v>118.507930128092</v>
      </c>
      <c r="J415" s="215">
        <v>85.189289887866806</v>
      </c>
      <c r="K415" s="215">
        <v>52.314215232632201</v>
      </c>
      <c r="L415" s="215">
        <v>55.672629718271303</v>
      </c>
      <c r="M415" s="215">
        <v>95.530108455874696</v>
      </c>
      <c r="N415" s="215">
        <v>107.602873445448</v>
      </c>
      <c r="O415" s="217">
        <v>105.480863873232</v>
      </c>
      <c r="P415" s="158">
        <f>O415/C415-1</f>
        <v>-8.3618411119769531E-2</v>
      </c>
    </row>
    <row r="416" spans="1:33">
      <c r="A416" s="253"/>
      <c r="B416" s="126" t="s">
        <v>129</v>
      </c>
      <c r="C416" s="215">
        <v>114.689276915934</v>
      </c>
      <c r="D416" s="215">
        <v>106.671799086516</v>
      </c>
      <c r="E416" s="215">
        <v>96.757878917917694</v>
      </c>
      <c r="F416" s="215">
        <v>130.183471999234</v>
      </c>
      <c r="G416" s="215">
        <v>143.12100996733801</v>
      </c>
      <c r="H416" s="215">
        <v>128.90381284492199</v>
      </c>
      <c r="I416" s="215">
        <v>120.50257536491399</v>
      </c>
      <c r="J416" s="215">
        <v>90.112878959875403</v>
      </c>
      <c r="K416" s="215">
        <v>58.371273219869302</v>
      </c>
      <c r="L416" s="215">
        <v>55.693702808283803</v>
      </c>
      <c r="M416" s="215">
        <v>104.92151671869399</v>
      </c>
      <c r="N416" s="215">
        <v>121.560969400365</v>
      </c>
      <c r="O416" s="217">
        <v>109.94920297410501</v>
      </c>
      <c r="P416" s="158">
        <f>O416/C416-1</f>
        <v>-4.1329704653238153E-2</v>
      </c>
      <c r="R416" s="176">
        <v>147.141711762314</v>
      </c>
    </row>
    <row r="417" spans="1:19">
      <c r="A417" s="252" t="s">
        <v>75</v>
      </c>
      <c r="B417" s="126" t="s">
        <v>127</v>
      </c>
      <c r="C417" s="215"/>
      <c r="D417" s="215"/>
      <c r="E417" s="215"/>
      <c r="F417" s="215">
        <v>45.035521148107499</v>
      </c>
      <c r="G417" s="215">
        <v>33.6728066354367</v>
      </c>
      <c r="H417" s="215">
        <v>37.464347836437497</v>
      </c>
      <c r="I417" s="215">
        <v>26.586120179958801</v>
      </c>
      <c r="J417" s="215">
        <v>29.008521289236</v>
      </c>
      <c r="K417" s="215">
        <v>18.106053319026099</v>
      </c>
      <c r="L417" s="215">
        <v>17.670425277872901</v>
      </c>
      <c r="M417" s="215">
        <v>12.578851830091001</v>
      </c>
      <c r="N417" s="215">
        <v>13.7043949349003</v>
      </c>
      <c r="O417" s="217">
        <v>18.185907200234102</v>
      </c>
      <c r="P417" s="156"/>
    </row>
    <row r="418" spans="1:19">
      <c r="A418" s="255"/>
      <c r="B418" s="126" t="s">
        <v>128</v>
      </c>
      <c r="C418" s="215">
        <v>52.021473464803201</v>
      </c>
      <c r="D418" s="215">
        <v>33.235310798114703</v>
      </c>
      <c r="E418" s="215">
        <v>26.148324822846298</v>
      </c>
      <c r="F418" s="215">
        <v>66.731312689793199</v>
      </c>
      <c r="G418" s="215">
        <v>53.440641895754197</v>
      </c>
      <c r="H418" s="215">
        <v>24.699318291688499</v>
      </c>
      <c r="I418" s="215">
        <v>22.8086348971893</v>
      </c>
      <c r="J418" s="215">
        <v>-19.560346367263399</v>
      </c>
      <c r="K418" s="215">
        <v>-25.5019529327848</v>
      </c>
      <c r="L418" s="215">
        <v>-21.387505744658501</v>
      </c>
      <c r="M418" s="215">
        <v>12.013554372077399</v>
      </c>
      <c r="N418" s="215">
        <v>12.2452130523417</v>
      </c>
      <c r="O418" s="217">
        <v>15.0009598542237</v>
      </c>
      <c r="P418" s="158">
        <f>O418/C418-1</f>
        <v>-0.71163908180391933</v>
      </c>
    </row>
    <row r="419" spans="1:19">
      <c r="A419" s="255"/>
      <c r="B419" s="126" t="s">
        <v>194</v>
      </c>
      <c r="C419" s="215">
        <v>31.9436785560655</v>
      </c>
      <c r="D419" s="215">
        <v>25.912088802029398</v>
      </c>
      <c r="E419" s="215">
        <v>35.9725635476034</v>
      </c>
      <c r="F419" s="215">
        <v>59.567486707092399</v>
      </c>
      <c r="G419" s="215">
        <v>71.541896375312902</v>
      </c>
      <c r="H419" s="215">
        <v>54.339434263671102</v>
      </c>
      <c r="I419" s="215">
        <v>56.634930359701102</v>
      </c>
      <c r="J419" s="215">
        <v>3.8096046056091901</v>
      </c>
      <c r="K419" s="215">
        <v>-1.42669961329615</v>
      </c>
      <c r="L419" s="215">
        <v>-4.0810580168089503</v>
      </c>
      <c r="M419" s="215">
        <v>64.248668094270599</v>
      </c>
      <c r="N419" s="215">
        <v>22.334454021240301</v>
      </c>
      <c r="O419" s="217">
        <v>8.1725149183241292</v>
      </c>
      <c r="P419" s="158">
        <f>O419/C419-1</f>
        <v>-0.74415861642295655</v>
      </c>
    </row>
    <row r="420" spans="1:19">
      <c r="A420" s="253"/>
      <c r="B420" s="126" t="s">
        <v>129</v>
      </c>
      <c r="C420" s="215">
        <v>35.264518477117697</v>
      </c>
      <c r="D420" s="215">
        <v>14.2514126045167</v>
      </c>
      <c r="E420" s="215">
        <v>14.1504108036867</v>
      </c>
      <c r="F420" s="215">
        <v>47.966835835845302</v>
      </c>
      <c r="G420" s="215">
        <v>55.205082878229703</v>
      </c>
      <c r="H420" s="215">
        <v>45.334035121379898</v>
      </c>
      <c r="I420" s="215">
        <v>37.849235561131003</v>
      </c>
      <c r="J420" s="215">
        <v>1.73646640582874</v>
      </c>
      <c r="K420" s="215">
        <v>-3.2239345521952498</v>
      </c>
      <c r="L420" s="215">
        <v>-4.1235086641192602</v>
      </c>
      <c r="M420" s="215">
        <v>59.358578694159803</v>
      </c>
      <c r="N420" s="215">
        <v>18.3845955492576</v>
      </c>
      <c r="O420" s="217">
        <v>15.012926886109801</v>
      </c>
      <c r="P420" s="158">
        <f>O420/C420-1</f>
        <v>-0.57427670830522382</v>
      </c>
      <c r="R420" s="177">
        <v>39.372424399301003</v>
      </c>
    </row>
    <row r="421" spans="1:19">
      <c r="A421" s="163"/>
      <c r="B421" s="163"/>
      <c r="C421" s="163"/>
      <c r="D421" s="163"/>
      <c r="E421" s="163"/>
      <c r="F421" s="163"/>
      <c r="G421" s="163"/>
      <c r="H421" s="163"/>
      <c r="I421" s="163"/>
      <c r="J421" s="163"/>
      <c r="K421" s="163"/>
      <c r="L421" s="163"/>
      <c r="M421" s="163"/>
      <c r="N421" s="163"/>
      <c r="O421" s="163"/>
      <c r="P421" s="163"/>
      <c r="Q421" s="163"/>
      <c r="R421" s="163"/>
      <c r="S421" s="163"/>
    </row>
    <row r="422" spans="1:19">
      <c r="A422" s="186"/>
      <c r="B422" s="186"/>
      <c r="C422" s="186"/>
      <c r="D422" s="186"/>
      <c r="E422" s="186"/>
      <c r="F422" s="186"/>
      <c r="G422" s="186"/>
      <c r="H422" s="186"/>
      <c r="I422" s="186"/>
      <c r="J422" s="186"/>
      <c r="K422" s="186"/>
      <c r="L422" s="186"/>
      <c r="M422" s="186"/>
      <c r="N422" s="186"/>
      <c r="O422" s="186"/>
      <c r="P422" s="186"/>
      <c r="Q422" s="186"/>
      <c r="R422" s="186"/>
      <c r="S422" s="186"/>
    </row>
    <row r="423" spans="1:19">
      <c r="C423" s="174"/>
      <c r="D423" s="174"/>
      <c r="E423" s="174"/>
      <c r="F423" s="174"/>
      <c r="G423" s="174"/>
      <c r="H423" s="174"/>
      <c r="I423" s="174"/>
      <c r="J423" s="174"/>
      <c r="K423" s="174"/>
      <c r="L423" s="174"/>
      <c r="M423" s="174"/>
      <c r="N423" s="174"/>
      <c r="O423" s="174"/>
    </row>
    <row r="424" spans="1:19" s="116" customFormat="1" ht="13.8">
      <c r="B424" s="117" t="s">
        <v>236</v>
      </c>
      <c r="C424" s="118"/>
      <c r="D424" s="118"/>
      <c r="E424" s="118"/>
      <c r="F424" s="118"/>
      <c r="G424" s="118"/>
      <c r="H424" s="118"/>
      <c r="I424" s="118"/>
      <c r="J424" s="118"/>
    </row>
    <row r="425" spans="1:19" ht="13.8">
      <c r="A425" s="155"/>
      <c r="B425" s="155"/>
      <c r="C425" s="149" t="s">
        <v>231</v>
      </c>
      <c r="D425" s="149" t="s">
        <v>232</v>
      </c>
      <c r="E425" s="149" t="s">
        <v>233</v>
      </c>
      <c r="F425" s="149" t="s">
        <v>234</v>
      </c>
      <c r="G425" s="149" t="s">
        <v>235</v>
      </c>
      <c r="H425" s="118"/>
      <c r="I425" s="118"/>
      <c r="J425" s="118"/>
      <c r="K425" s="116"/>
      <c r="L425" s="116"/>
    </row>
    <row r="426" spans="1:19" ht="13.8">
      <c r="A426" s="151" t="s">
        <v>8</v>
      </c>
      <c r="B426" s="16" t="s">
        <v>212</v>
      </c>
      <c r="C426" s="188">
        <v>4.704301075268817</v>
      </c>
      <c r="D426" s="188">
        <v>7.795698924731183</v>
      </c>
      <c r="E426" s="188">
        <v>34.543010752688176</v>
      </c>
      <c r="F426" s="188">
        <v>51.881720430107528</v>
      </c>
      <c r="G426" s="188">
        <v>1.0752688172043012</v>
      </c>
      <c r="H426" s="118"/>
      <c r="I426" s="118"/>
      <c r="J426" s="118"/>
      <c r="K426" s="116"/>
      <c r="L426" s="116"/>
    </row>
    <row r="427" spans="1:19" ht="13.8">
      <c r="A427" s="151" t="s">
        <v>10</v>
      </c>
      <c r="B427" s="16" t="s">
        <v>214</v>
      </c>
      <c r="C427" s="188">
        <v>7.9166666666666661</v>
      </c>
      <c r="D427" s="188">
        <v>20.833333333333336</v>
      </c>
      <c r="E427" s="188">
        <v>37.777777777777779</v>
      </c>
      <c r="F427" s="188">
        <v>32.638888888888893</v>
      </c>
      <c r="G427" s="188">
        <v>0.83333333333333337</v>
      </c>
      <c r="H427" s="118"/>
      <c r="I427" s="118"/>
      <c r="J427" s="118"/>
      <c r="K427" s="116"/>
      <c r="L427" s="116"/>
    </row>
    <row r="428" spans="1:19" ht="13.8">
      <c r="A428" s="151" t="s">
        <v>11</v>
      </c>
      <c r="B428" s="16" t="s">
        <v>216</v>
      </c>
      <c r="C428" s="188">
        <v>2.0134228187919461</v>
      </c>
      <c r="D428" s="188">
        <v>25.906040268456376</v>
      </c>
      <c r="E428" s="188">
        <v>55.302013422818796</v>
      </c>
      <c r="F428" s="188">
        <v>15.302013422818792</v>
      </c>
      <c r="G428" s="188">
        <v>1.476510067114094</v>
      </c>
      <c r="H428" s="118"/>
      <c r="I428" s="118"/>
      <c r="J428" s="118"/>
      <c r="K428" s="116"/>
      <c r="L428" s="116"/>
    </row>
    <row r="429" spans="1:19" ht="13.8">
      <c r="A429" s="151" t="s">
        <v>12</v>
      </c>
      <c r="B429" s="16" t="s">
        <v>217</v>
      </c>
      <c r="C429" s="188" t="s">
        <v>132</v>
      </c>
      <c r="D429" s="188">
        <v>10.138888888888889</v>
      </c>
      <c r="E429" s="188">
        <v>27.222222222222221</v>
      </c>
      <c r="F429" s="188">
        <v>57.222222222222221</v>
      </c>
      <c r="G429" s="188">
        <v>5.416666666666667</v>
      </c>
      <c r="H429" s="118"/>
      <c r="I429" s="118"/>
      <c r="J429" s="118"/>
      <c r="K429" s="116"/>
      <c r="L429" s="116"/>
    </row>
    <row r="430" spans="1:19" ht="13.8">
      <c r="A430" s="151" t="s">
        <v>13</v>
      </c>
      <c r="B430" s="16" t="s">
        <v>222</v>
      </c>
      <c r="C430" s="188" t="s">
        <v>132</v>
      </c>
      <c r="D430" s="188">
        <v>11.155913978494624</v>
      </c>
      <c r="E430" s="188">
        <v>16.532258064516128</v>
      </c>
      <c r="F430" s="188">
        <v>59.005376344086024</v>
      </c>
      <c r="G430" s="188">
        <v>13.306451612903224</v>
      </c>
      <c r="H430" s="118"/>
      <c r="I430" s="118"/>
      <c r="J430" s="118"/>
      <c r="K430" s="116"/>
      <c r="L430" s="116"/>
    </row>
    <row r="431" spans="1:19" ht="13.8">
      <c r="A431" s="151" t="s">
        <v>5</v>
      </c>
      <c r="B431" s="16" t="s">
        <v>225</v>
      </c>
      <c r="C431" s="188">
        <v>0.13440860215053765</v>
      </c>
      <c r="D431" s="188">
        <v>22.58064516129032</v>
      </c>
      <c r="E431" s="188">
        <v>19.489247311827956</v>
      </c>
      <c r="F431" s="188">
        <v>45.833333333333329</v>
      </c>
      <c r="G431" s="188">
        <v>11.96236559139785</v>
      </c>
      <c r="H431" s="118"/>
      <c r="I431" s="118"/>
      <c r="J431" s="118"/>
      <c r="K431" s="116"/>
      <c r="L431" s="116"/>
    </row>
    <row r="432" spans="1:19" ht="13.8">
      <c r="A432" s="151" t="s">
        <v>6</v>
      </c>
      <c r="B432" s="16" t="s">
        <v>228</v>
      </c>
      <c r="C432" s="188" t="s">
        <v>132</v>
      </c>
      <c r="D432" s="188">
        <v>9.2261904761904763</v>
      </c>
      <c r="E432" s="188">
        <v>28.125</v>
      </c>
      <c r="F432" s="188">
        <v>47.916666666666671</v>
      </c>
      <c r="G432" s="188">
        <v>14.732142857142858</v>
      </c>
      <c r="H432" s="118"/>
      <c r="I432" s="118"/>
      <c r="J432" s="118"/>
      <c r="K432" s="116"/>
      <c r="L432" s="116"/>
    </row>
    <row r="433" spans="1:12" ht="13.8">
      <c r="A433" s="151" t="s">
        <v>7</v>
      </c>
      <c r="B433" s="16" t="s">
        <v>230</v>
      </c>
      <c r="C433" s="188">
        <v>9.690444145356663</v>
      </c>
      <c r="D433" s="188">
        <v>40.107671601615074</v>
      </c>
      <c r="E433" s="188">
        <v>33.109017496635261</v>
      </c>
      <c r="F433" s="188">
        <v>15.343203230148047</v>
      </c>
      <c r="G433" s="188">
        <v>1.7496635262449527</v>
      </c>
      <c r="H433" s="118"/>
      <c r="I433" s="118"/>
      <c r="J433" s="118"/>
      <c r="K433" s="116"/>
      <c r="L433" s="116"/>
    </row>
    <row r="434" spans="1:12" ht="13.8">
      <c r="A434" s="151" t="s">
        <v>8</v>
      </c>
      <c r="B434" s="16" t="s">
        <v>240</v>
      </c>
      <c r="C434" s="188">
        <v>24.861111111111111</v>
      </c>
      <c r="D434" s="188">
        <v>55.000000000000007</v>
      </c>
      <c r="E434" s="188">
        <v>15.416666666666668</v>
      </c>
      <c r="F434" s="188">
        <v>3.8888888888888888</v>
      </c>
      <c r="G434" s="188">
        <v>0.83333333333333337</v>
      </c>
      <c r="H434" s="118"/>
      <c r="I434" s="118"/>
      <c r="J434" s="118"/>
      <c r="K434" s="116"/>
      <c r="L434" s="116"/>
    </row>
    <row r="435" spans="1:12" ht="13.8">
      <c r="A435" s="151" t="s">
        <v>7</v>
      </c>
      <c r="B435" s="16" t="s">
        <v>243</v>
      </c>
      <c r="C435" s="188">
        <v>36.155913978494624</v>
      </c>
      <c r="D435" s="188">
        <v>54.166666666666664</v>
      </c>
      <c r="E435" s="188">
        <v>7.795698924731183</v>
      </c>
      <c r="F435" s="188">
        <v>1.881720430107527</v>
      </c>
      <c r="G435" s="188" t="s">
        <v>132</v>
      </c>
      <c r="H435" s="118"/>
      <c r="I435" s="118"/>
      <c r="J435" s="118"/>
      <c r="K435" s="116"/>
      <c r="L435" s="116"/>
    </row>
    <row r="436" spans="1:12" ht="13.8">
      <c r="A436" s="151" t="s">
        <v>9</v>
      </c>
      <c r="B436" s="16" t="s">
        <v>246</v>
      </c>
      <c r="C436" s="188">
        <v>11.944444444444445</v>
      </c>
      <c r="D436" s="188">
        <v>24.305555555555554</v>
      </c>
      <c r="E436" s="188">
        <v>20.138888888888889</v>
      </c>
      <c r="F436" s="188">
        <v>40.972222222222221</v>
      </c>
      <c r="G436" s="188">
        <v>2.6388888888888888</v>
      </c>
      <c r="H436" s="118"/>
      <c r="I436" s="118"/>
      <c r="J436" s="118"/>
      <c r="K436" s="116"/>
      <c r="L436" s="116"/>
    </row>
    <row r="437" spans="1:12" ht="13.8">
      <c r="A437" s="151" t="s">
        <v>9</v>
      </c>
      <c r="B437" s="16" t="s">
        <v>248</v>
      </c>
      <c r="C437" s="188">
        <v>4.032258064516129</v>
      </c>
      <c r="D437" s="188">
        <v>29.838709677419356</v>
      </c>
      <c r="E437" s="188">
        <v>30.376344086021508</v>
      </c>
      <c r="F437" s="188">
        <v>34.543010752688176</v>
      </c>
      <c r="G437" s="188">
        <v>1.2096774193548387</v>
      </c>
      <c r="H437" s="118"/>
      <c r="I437" s="118"/>
      <c r="J437" s="118"/>
      <c r="K437" s="116"/>
      <c r="L437" s="116"/>
    </row>
    <row r="438" spans="1:12" ht="13.8">
      <c r="A438" s="151" t="s">
        <v>8</v>
      </c>
      <c r="B438" s="16" t="s">
        <v>282</v>
      </c>
      <c r="C438" s="188">
        <v>7.661290322580645</v>
      </c>
      <c r="D438" s="188">
        <v>25.537634408602152</v>
      </c>
      <c r="E438" s="188">
        <v>37.365591397849464</v>
      </c>
      <c r="F438" s="188">
        <v>28.62903225806452</v>
      </c>
      <c r="G438" s="188">
        <v>0.80645161290322576</v>
      </c>
      <c r="H438" s="118"/>
      <c r="I438" s="118"/>
      <c r="J438" s="118"/>
      <c r="K438" s="116"/>
      <c r="L438" s="116"/>
    </row>
    <row r="439" spans="1:12" ht="13.8">
      <c r="J439" s="118"/>
      <c r="K439" s="116"/>
      <c r="L439" s="116"/>
    </row>
    <row r="440" spans="1:12" ht="13.8">
      <c r="C440" s="200"/>
      <c r="I440" s="118"/>
      <c r="J440" s="118"/>
      <c r="K440" s="116"/>
      <c r="L440" s="116"/>
    </row>
    <row r="441" spans="1:12" ht="13.8">
      <c r="H441" s="118"/>
      <c r="I441" s="118"/>
      <c r="J441" s="118"/>
      <c r="K441" s="116"/>
    </row>
    <row r="442" spans="1:12" ht="13.8">
      <c r="H442" s="118"/>
      <c r="I442" s="118"/>
      <c r="J442" s="118"/>
      <c r="K442" s="116"/>
    </row>
    <row r="451" spans="1:14">
      <c r="A451" s="106" t="s">
        <v>62</v>
      </c>
      <c r="B451" s="85"/>
      <c r="C451" s="85"/>
      <c r="D451" s="85"/>
      <c r="E451" s="85"/>
      <c r="F451" s="85"/>
      <c r="G451" s="85"/>
      <c r="H451" s="85"/>
      <c r="I451" s="85"/>
      <c r="N451" s="141"/>
    </row>
    <row r="452" spans="1:14">
      <c r="A452" s="14"/>
      <c r="B452" s="264" t="s">
        <v>1</v>
      </c>
      <c r="C452" s="264" t="s">
        <v>2</v>
      </c>
      <c r="D452" s="264" t="s">
        <v>25</v>
      </c>
      <c r="E452" s="264" t="s">
        <v>16</v>
      </c>
      <c r="F452" s="264" t="s">
        <v>17</v>
      </c>
      <c r="G452" s="264" t="s">
        <v>180</v>
      </c>
      <c r="H452" s="264" t="s">
        <v>26</v>
      </c>
      <c r="I452" s="264" t="s">
        <v>29</v>
      </c>
      <c r="J452" s="266" t="s">
        <v>118</v>
      </c>
    </row>
    <row r="453" spans="1:14">
      <c r="A453" s="15"/>
      <c r="B453" s="265"/>
      <c r="C453" s="265"/>
      <c r="D453" s="265"/>
      <c r="E453" s="265"/>
      <c r="F453" s="265"/>
      <c r="G453" s="265"/>
      <c r="H453" s="265"/>
      <c r="I453" s="265"/>
      <c r="J453" s="267"/>
    </row>
    <row r="454" spans="1:14">
      <c r="A454" s="107" t="str">
        <f>MID(B43,6,3) &amp; "-" &amp; MID(B43,3,2)</f>
        <v>Ago-24</v>
      </c>
      <c r="B454" s="105">
        <f>VLOOKUP("Mercado Diario",$A$45:$N$65,2,FALSE)</f>
        <v>91.3</v>
      </c>
      <c r="C454" s="105">
        <f>VLOOKUP("Mercado Intradiario",$A$45:$N$65,2,FALSE)</f>
        <v>-0.13</v>
      </c>
      <c r="D454" s="105">
        <f t="shared" ref="D454:D466" si="14">SUM(B454:C454)</f>
        <v>91.17</v>
      </c>
      <c r="E454" s="105">
        <f>SUM(B82:B90)</f>
        <v>8.7100000000000009</v>
      </c>
      <c r="F454" s="105">
        <f>VLOOKUP("Pago capacidad",$A$45:$N$65,2,FALSE)</f>
        <v>0.16</v>
      </c>
      <c r="G454" s="105">
        <f>VLOOKUP("Mecanismo Ajuste RD-L10/2022 Coste OM",$A$45:$N$65,2,FALSE)+VLOOKUP("Mecanismo Ajuste RD-L10/2022 Coste OS",$A$45:$N$65,2,FALSE)+VLOOKUP("Mecanismo Ajuste RD-L10/2022 Ajuste OS",$A$45:$N$65,2,FALSE)</f>
        <v>0</v>
      </c>
      <c r="H454" s="105">
        <f t="shared" ref="H454:H466" si="15">SUM(D454:G454)</f>
        <v>100.03999999999999</v>
      </c>
      <c r="I454" s="92">
        <f>VLOOKUP("Energía final MWh",$A$45:$N$61,2,FALSE)/1000</f>
        <v>20980.202612000001</v>
      </c>
      <c r="J454" s="110" t="str">
        <f t="shared" ref="J454:J466" si="16">MID(A454,1,1)</f>
        <v>A</v>
      </c>
      <c r="K454" s="174"/>
    </row>
    <row r="455" spans="1:14">
      <c r="A455" s="107" t="str">
        <f>MID(C43,6,3) &amp; "-" &amp; MID(C43,3,2)</f>
        <v>Sep-24</v>
      </c>
      <c r="B455" s="105">
        <f>VLOOKUP("Mercado Diario",$A$45:$N$65,3,FALSE)</f>
        <v>72.87</v>
      </c>
      <c r="C455" s="105">
        <f>VLOOKUP("Mercado Intradiario",$A$45:$N$65,3,FALSE)</f>
        <v>-0.09</v>
      </c>
      <c r="D455" s="105">
        <f t="shared" si="14"/>
        <v>72.78</v>
      </c>
      <c r="E455" s="105">
        <f>SUM(C82:C90)</f>
        <v>10.820000000000002</v>
      </c>
      <c r="F455" s="105">
        <f>VLOOKUP("Pago capacidad",$A$45:$N$65,3,FALSE)</f>
        <v>0.16</v>
      </c>
      <c r="G455" s="105">
        <f>VLOOKUP("Mecanismo Ajuste RD-L10/2022 Coste OM",$A$45:$N$65,3,FALSE)+VLOOKUP("Mecanismo Ajuste RD-L10/2022 Coste OS",$A$45:$N$65,3,FALSE)+VLOOKUP("Mecanismo Ajuste RD-L10/2022 Ajuste OS",$A$45:$N$65,3,FALSE)</f>
        <v>0</v>
      </c>
      <c r="H455" s="105">
        <f t="shared" si="15"/>
        <v>83.76</v>
      </c>
      <c r="I455" s="92">
        <f>VLOOKUP("Energía final MWh",$A$45:$N$61,3,FALSE)/1000</f>
        <v>18713.237051</v>
      </c>
      <c r="J455" s="110" t="str">
        <f t="shared" si="16"/>
        <v>S</v>
      </c>
      <c r="K455" s="174"/>
    </row>
    <row r="456" spans="1:14">
      <c r="A456" s="107" t="str">
        <f>MID(D43,6,3) &amp; "-" &amp; MID(D43,3,2)</f>
        <v>Oct-24</v>
      </c>
      <c r="B456" s="105">
        <f>VLOOKUP("Mercado Diario",$A$45:$N$65,4,FALSE)</f>
        <v>70.11</v>
      </c>
      <c r="C456" s="105">
        <f>VLOOKUP("Mercado Intradiario",$A$45:$N$65,4,FALSE)</f>
        <v>-7.0000000000000007E-2</v>
      </c>
      <c r="D456" s="105">
        <f t="shared" si="14"/>
        <v>70.040000000000006</v>
      </c>
      <c r="E456" s="105">
        <f>SUM(D82:D90)</f>
        <v>14.280000000000001</v>
      </c>
      <c r="F456" s="105">
        <f>VLOOKUP("Pago capacidad",$A$45:$N$65,4,FALSE)</f>
        <v>0.16</v>
      </c>
      <c r="G456" s="105">
        <f>VLOOKUP("Mecanismo Ajuste RD-L10/2022 Coste OM",$A$45:$N$65,4,FALSE)+VLOOKUP("Mecanismo Ajuste RD-L10/2022 Coste OS",$A$45:$N$65,4,FALSE)+VLOOKUP("Mecanismo Ajuste RD-L10/2022 Ajuste OS",$A$45:$N$65,4,FALSE)</f>
        <v>0</v>
      </c>
      <c r="H456" s="105">
        <f t="shared" si="15"/>
        <v>84.48</v>
      </c>
      <c r="I456" s="92">
        <f>VLOOKUP("Energía final MWh",$A$45:$N$61,4,FALSE)/1000</f>
        <v>19034.122653999999</v>
      </c>
      <c r="J456" s="110" t="str">
        <f t="shared" si="16"/>
        <v>O</v>
      </c>
    </row>
    <row r="457" spans="1:14">
      <c r="A457" s="107" t="str">
        <f>MID(E43,6,3) &amp; "-" &amp; MID(E43,3,2)</f>
        <v>Nov-24</v>
      </c>
      <c r="B457" s="105">
        <f>VLOOKUP("Mercado Diario",$A$45:$N$65,5,FALSE)</f>
        <v>106.72</v>
      </c>
      <c r="C457" s="105">
        <f>VLOOKUP("Mercado Intradiario",$A$45:$N$65,5,FALSE)</f>
        <v>-0.09</v>
      </c>
      <c r="D457" s="105">
        <f t="shared" si="14"/>
        <v>106.63</v>
      </c>
      <c r="E457" s="105">
        <f>SUM(E82:E90)</f>
        <v>11.990000000000002</v>
      </c>
      <c r="F457" s="105">
        <f>VLOOKUP("Pago capacidad",$A$45:$N$65,5,FALSE)</f>
        <v>0.19</v>
      </c>
      <c r="G457" s="105">
        <f>VLOOKUP("Mecanismo Ajuste RD-L10/2022 Coste OM",$A$45:$N$65,5,FALSE)+VLOOKUP("Mecanismo Ajuste RD-L10/2022 Coste OS",$A$45:$N$65,5,FALSE)+VLOOKUP("Mecanismo Ajuste RD-L10/2022 Ajuste OS",$A$45:$N$65,5,FALSE)</f>
        <v>0</v>
      </c>
      <c r="H457" s="105">
        <f t="shared" si="15"/>
        <v>118.81</v>
      </c>
      <c r="I457" s="92">
        <f>VLOOKUP("Energía final MWh",$A$45:$N$61,5,FALSE)/1000</f>
        <v>18668.177702000001</v>
      </c>
      <c r="J457" s="110" t="str">
        <f t="shared" si="16"/>
        <v>N</v>
      </c>
    </row>
    <row r="458" spans="1:14">
      <c r="A458" s="107" t="str">
        <f>MID(F43,6,3) &amp; "-" &amp; MID(F43,3,2)</f>
        <v>Dic-24</v>
      </c>
      <c r="B458" s="105">
        <f>VLOOKUP("Mercado Diario",$A$45:$N$65,6,FALSE)</f>
        <v>113.97</v>
      </c>
      <c r="C458" s="105">
        <f>VLOOKUP("Mercado Intradiario",$A$45:$N$65,6,FALSE)</f>
        <v>-0.08</v>
      </c>
      <c r="D458" s="105">
        <f t="shared" si="14"/>
        <v>113.89</v>
      </c>
      <c r="E458" s="105">
        <f>SUM(F82:F90)</f>
        <v>10.53</v>
      </c>
      <c r="F458" s="105">
        <f>VLOOKUP("Pago capacidad",$A$45:$N$65,6,FALSE)</f>
        <v>0.28000000000000003</v>
      </c>
      <c r="G458" s="105">
        <f>VLOOKUP("Mecanismo Ajuste RD-L10/2022 Coste OM",$A$45:$N$65,6,FALSE)+VLOOKUP("Mecanismo Ajuste RD-L10/2022 Coste OS",$A$45:$N$65,6,FALSE)+VLOOKUP("Mecanismo Ajuste RD-L10/2022 Ajuste OS",$A$45:$N$65,6,FALSE)</f>
        <v>0</v>
      </c>
      <c r="H458" s="105">
        <f t="shared" si="15"/>
        <v>124.7</v>
      </c>
      <c r="I458" s="92">
        <f>VLOOKUP("Energía final MWh",$A$45:$N$61,6,FALSE)/1000</f>
        <v>20394.640105000002</v>
      </c>
      <c r="J458" s="110" t="str">
        <f t="shared" si="16"/>
        <v>D</v>
      </c>
    </row>
    <row r="459" spans="1:14">
      <c r="A459" s="107" t="str">
        <f>MID(G43,6,3) &amp; "-" &amp; MID(G43,3,2)</f>
        <v>Ene-25</v>
      </c>
      <c r="B459" s="105">
        <f>VLOOKUP("Mercado Diario",$A$45:$N$65,7,FALSE)</f>
        <v>100.3</v>
      </c>
      <c r="C459" s="105">
        <f>VLOOKUP("Mercado Intradiario",$A$45:$N$65,7,FALSE)</f>
        <v>-0.1</v>
      </c>
      <c r="D459" s="105">
        <f t="shared" si="14"/>
        <v>100.2</v>
      </c>
      <c r="E459" s="105">
        <f>SUM(G82:G90)</f>
        <v>10.889999999999999</v>
      </c>
      <c r="F459" s="105">
        <f>VLOOKUP("Pago capacidad",$A$45:$N$65,7,FALSE)</f>
        <v>0.27</v>
      </c>
      <c r="G459" s="105">
        <f>VLOOKUP("Mecanismo Ajuste RD-L10/2022 Coste OM",$A$45:$N$65,7,FALSE)+VLOOKUP("Mecanismo Ajuste RD-L10/2022 Coste OS",$A$45:$N$65,7,FALSE)+VLOOKUP("Mecanismo Ajuste RD-L10/2022 Ajuste OS",$A$45:$N$65,7,FALSE)</f>
        <v>0</v>
      </c>
      <c r="H459" s="105">
        <f t="shared" si="15"/>
        <v>111.36</v>
      </c>
      <c r="I459" s="92">
        <f>VLOOKUP("Energía final MWh",$A$45:$N$61,7,FALSE)/1000</f>
        <v>21682.201730000001</v>
      </c>
      <c r="J459" s="110" t="str">
        <f t="shared" si="16"/>
        <v>E</v>
      </c>
    </row>
    <row r="460" spans="1:14">
      <c r="A460" s="107" t="str">
        <f>MID(H43,6,3) &amp; "-" &amp; MID(H43,3,2)</f>
        <v>Feb-25</v>
      </c>
      <c r="B460" s="105">
        <f>VLOOKUP("Mercado Diario",$A$45:$N$65,8,FALSE)</f>
        <v>110.76</v>
      </c>
      <c r="C460" s="105">
        <f>VLOOKUP("Mercado Intradiario",$A$45:$N$65,8,FALSE)</f>
        <v>-0.1</v>
      </c>
      <c r="D460" s="105">
        <f t="shared" si="14"/>
        <v>110.66000000000001</v>
      </c>
      <c r="E460" s="105">
        <f>SUM(H82:H90)</f>
        <v>15.880000000000003</v>
      </c>
      <c r="F460" s="105">
        <f>VLOOKUP("Pago capacidad",$A$45:$N$65,8,FALSE)</f>
        <v>0.27</v>
      </c>
      <c r="G460" s="105">
        <f>VLOOKUP("Mecanismo Ajuste RD-L10/2022 Coste OM",$A$45:$N$65,8,FALSE)+VLOOKUP("Mecanismo Ajuste RD-L10/2022 Coste OS",$A$45:$N$65,8,FALSE)+VLOOKUP("Mecanismo Ajuste RD-L10/2022 Ajuste OS",$A$45:$N$65,8,FALSE)</f>
        <v>0</v>
      </c>
      <c r="H460" s="105">
        <f t="shared" si="15"/>
        <v>126.81000000000002</v>
      </c>
      <c r="I460" s="92">
        <f>VLOOKUP("Energía final MWh",$A$45:$N$61,8,FALSE)/1000</f>
        <v>19177.656296000001</v>
      </c>
      <c r="J460" s="110" t="str">
        <f t="shared" si="16"/>
        <v>F</v>
      </c>
    </row>
    <row r="461" spans="1:14">
      <c r="A461" s="107" t="str">
        <f>MID(I43,6,3) &amp; "-" &amp; MID(I43,3,2)</f>
        <v>Mar-25</v>
      </c>
      <c r="B461" s="105">
        <f>VLOOKUP("Mercado Diario",$A$45:$N$65,9,FALSE)</f>
        <v>55.56</v>
      </c>
      <c r="C461" s="105">
        <f>VLOOKUP("Mercado Intradiario",$A$45:$N$65,9,FALSE)</f>
        <v>-0.1</v>
      </c>
      <c r="D461" s="105">
        <f t="shared" si="14"/>
        <v>55.46</v>
      </c>
      <c r="E461" s="105">
        <f>SUM(I82:I90)</f>
        <v>15.400000000000002</v>
      </c>
      <c r="F461" s="105">
        <f>VLOOKUP("Pago capacidad",$A$45:$N$65,9,FALSE)</f>
        <v>0.18</v>
      </c>
      <c r="G461" s="105">
        <f>VLOOKUP("Mecanismo Ajuste RD-L10/2022 Coste OM",$A$45:$N$65,9,FALSE)+VLOOKUP("Mecanismo Ajuste RD-L10/2022 Coste OS",$A$45:$N$65,9,FALSE)+VLOOKUP("Mecanismo Ajuste RD-L10/2022 Ajuste OS",$A$45:$N$65,9,FALSE)</f>
        <v>0</v>
      </c>
      <c r="H461" s="105">
        <f t="shared" si="15"/>
        <v>71.040000000000006</v>
      </c>
      <c r="I461" s="92">
        <f>VLOOKUP("Energía final MWh",$A$45:$N$61,9,FALSE)/1000</f>
        <v>20774.405912000002</v>
      </c>
      <c r="J461" s="110" t="str">
        <f t="shared" si="16"/>
        <v>M</v>
      </c>
    </row>
    <row r="462" spans="1:14">
      <c r="A462" s="107" t="str">
        <f>MID(J43,6,3) &amp; "-" &amp; MID(J43,3,2)</f>
        <v>Abr-25</v>
      </c>
      <c r="B462" s="105">
        <f>VLOOKUP("Mercado Diario",$A$45:$N$65,10,FALSE)</f>
        <v>27.66</v>
      </c>
      <c r="C462" s="105">
        <f>VLOOKUP("Mercado Intradiario",$A$45:$N$65,10,FALSE)</f>
        <v>-0.01</v>
      </c>
      <c r="D462" s="105">
        <f t="shared" si="14"/>
        <v>27.65</v>
      </c>
      <c r="E462" s="105">
        <f>SUM(J82:J90)</f>
        <v>17.102</v>
      </c>
      <c r="F462" s="105">
        <f>VLOOKUP("Pago capacidad",$A$45:$N$65,10,FALSE)</f>
        <v>0.14000000000000001</v>
      </c>
      <c r="G462" s="105">
        <f>VLOOKUP("Mecanismo Ajuste RD-L10/2022 Coste OM",$A$45:$N$65,10,FALSE)+VLOOKUP("Mecanismo Ajuste RD-L10/2022 Coste OS",$A$45:$N$65,10,FALSE)+VLOOKUP("Mecanismo Ajuste RD-L10/2022 Ajuste OS",$A$45:$N$65,10,FALSE)</f>
        <v>0</v>
      </c>
      <c r="H462" s="105">
        <f t="shared" si="15"/>
        <v>44.891999999999996</v>
      </c>
      <c r="I462" s="92">
        <f>VLOOKUP("Energía final MWh",$A$45:$N$61,10,FALSE)/1000</f>
        <v>17721.496469000002</v>
      </c>
      <c r="J462" s="110" t="str">
        <f t="shared" si="16"/>
        <v>A</v>
      </c>
    </row>
    <row r="463" spans="1:14">
      <c r="A463" s="107" t="str">
        <f>MID(K43,6,3) &amp; "-" &amp; MID(K43,3,2)</f>
        <v>May-25</v>
      </c>
      <c r="B463" s="105">
        <f>VLOOKUP("Mercado Diario",$A$45:$N$65,11,FALSE)</f>
        <v>17.440000000000001</v>
      </c>
      <c r="C463" s="105">
        <f>VLOOKUP("Mercado Intradiario",$A$45:$N$65,11,FALSE)</f>
        <v>-7.0000000000000007E-2</v>
      </c>
      <c r="D463" s="105">
        <f t="shared" si="14"/>
        <v>17.37</v>
      </c>
      <c r="E463" s="105">
        <f>SUM(K82:K90)</f>
        <v>25.259999999999994</v>
      </c>
      <c r="F463" s="105">
        <f>VLOOKUP("Pago capacidad",$A$45:$N$65,11,FALSE)</f>
        <v>0.13</v>
      </c>
      <c r="G463" s="105">
        <f>VLOOKUP("Mecanismo Ajuste RD-L10/2022 Coste OM",$A$45:$N$65,11,FALSE)+VLOOKUP("Mecanismo Ajuste RD-L10/2022 Coste OS",$A$45:$N$65,11,FALSE)+VLOOKUP("Mecanismo Ajuste RD-L10/2022 Ajuste OS",$A$45:$N$65,11,FALSE)</f>
        <v>0</v>
      </c>
      <c r="H463" s="105">
        <f t="shared" si="15"/>
        <v>42.76</v>
      </c>
      <c r="I463" s="92">
        <f>VLOOKUP("Energía final MWh",$A$45:$N$61,11,FALSE)/1000</f>
        <v>18561.646811999999</v>
      </c>
      <c r="J463" s="110" t="str">
        <f t="shared" si="16"/>
        <v>M</v>
      </c>
    </row>
    <row r="464" spans="1:14">
      <c r="A464" s="107" t="str">
        <f>MID(L43,6,3) &amp; "-" &amp; MID(L43,3,2)</f>
        <v>Jun-25</v>
      </c>
      <c r="B464" s="105">
        <f>VLOOKUP("Mercado Diario",$A$45:$N$65,12,FALSE)</f>
        <v>72.47</v>
      </c>
      <c r="C464" s="105">
        <f>VLOOKUP("Mercado Intradiario",$A$45:$N$65,12,FALSE)</f>
        <v>-0.13</v>
      </c>
      <c r="D464" s="105">
        <f t="shared" si="14"/>
        <v>72.34</v>
      </c>
      <c r="E464" s="105">
        <f>SUM(L82:L90)</f>
        <v>14.790000000000006</v>
      </c>
      <c r="F464" s="105">
        <f>VLOOKUP("Pago capacidad",$A$45:$N$65,12,FALSE)</f>
        <v>0.15</v>
      </c>
      <c r="G464" s="105">
        <f>VLOOKUP("Mecanismo Ajuste RD-L10/2022 Coste OM",$A$45:$N$65,12,FALSE)+VLOOKUP("Mecanismo Ajuste RD-L10/2022 Coste OS",$A$45:$N$65,12,FALSE)+VLOOKUP("Mecanismo Ajuste RD-L10/2022 Ajuste OS",$A$45:$N$65,12,FALSE)</f>
        <v>0</v>
      </c>
      <c r="H464" s="105">
        <f t="shared" si="15"/>
        <v>87.280000000000015</v>
      </c>
      <c r="I464" s="92">
        <f>VLOOKUP("Energía final MWh",$A$45:$N$61,12,FALSE)/1000</f>
        <v>20686.961293</v>
      </c>
      <c r="J464" s="110" t="str">
        <f t="shared" si="16"/>
        <v>J</v>
      </c>
    </row>
    <row r="465" spans="1:15">
      <c r="A465" s="107" t="str">
        <f>MID(M43,6,3) &amp; "-" &amp; MID(M43,3,2)</f>
        <v>Jul-25</v>
      </c>
      <c r="B465" s="105">
        <f>VLOOKUP("Mercado Diario",$A$45:$N$65,13,FALSE)</f>
        <v>71.069999999999993</v>
      </c>
      <c r="C465" s="105">
        <f>VLOOKUP("Mercado Intradiario",$A$45:$N$65,13,FALSE)</f>
        <v>-0.16</v>
      </c>
      <c r="D465" s="105">
        <f t="shared" si="14"/>
        <v>70.91</v>
      </c>
      <c r="E465" s="105">
        <f>SUM(M82:M90)</f>
        <v>14.996</v>
      </c>
      <c r="F465" s="105">
        <f>VLOOKUP("Pago capacidad",$A$45:$N$65,13,FALSE)</f>
        <v>0.27</v>
      </c>
      <c r="G465" s="105"/>
      <c r="H465" s="105">
        <f t="shared" si="15"/>
        <v>86.175999999999988</v>
      </c>
      <c r="I465" s="92">
        <f>VLOOKUP("Energía final MWh",$A$45:$N$61,13,FALSE)/1000</f>
        <v>21808.081568000001</v>
      </c>
      <c r="J465" s="110" t="str">
        <f t="shared" si="16"/>
        <v>J</v>
      </c>
      <c r="K465" s="129"/>
      <c r="N465" t="s">
        <v>181</v>
      </c>
    </row>
    <row r="466" spans="1:15">
      <c r="A466" s="108" t="str">
        <f>MID(N43,6,3) &amp; "-" &amp; MID(N43,3,2)</f>
        <v>Ago-25</v>
      </c>
      <c r="B466" s="104">
        <f>VLOOKUP("Mercado Diario",$A$45:$N$65,14,FALSE)</f>
        <v>68.709999999999994</v>
      </c>
      <c r="C466" s="104">
        <f>VLOOKUP("Mercado Intradiario",$A$45:$N$65,14,FALSE)</f>
        <v>-0.11</v>
      </c>
      <c r="D466" s="104">
        <f t="shared" si="14"/>
        <v>68.599999999999994</v>
      </c>
      <c r="E466" s="104">
        <f>SUM(N82:N90)</f>
        <v>13.6</v>
      </c>
      <c r="F466" s="104">
        <f>VLOOKUP("Pago capacidad",$A$45:$N$65,14,FALSE)</f>
        <v>0.14000000000000001</v>
      </c>
      <c r="G466" s="104"/>
      <c r="H466" s="104">
        <f t="shared" si="15"/>
        <v>82.339999999999989</v>
      </c>
      <c r="I466" s="109">
        <f>VLOOKUP("Energía final MWh",$A$45:$N$61,14,FALSE)/1000</f>
        <v>20633.368473999999</v>
      </c>
      <c r="J466" s="111" t="str">
        <f t="shared" si="16"/>
        <v>A</v>
      </c>
      <c r="K466" s="49">
        <f>(H466/H465-1)*100</f>
        <v>-4.4513553657630878</v>
      </c>
      <c r="L466" s="49">
        <f>(H466/H454-1)*100</f>
        <v>-17.692922830867651</v>
      </c>
      <c r="M466" s="49">
        <f>H466/H454</f>
        <v>0.82307077169132348</v>
      </c>
      <c r="N466" s="141">
        <f>E466/H466</f>
        <v>0.16516881224192376</v>
      </c>
    </row>
    <row r="467" spans="1:15">
      <c r="D467" s="141"/>
      <c r="E467" s="141"/>
      <c r="F467" s="141"/>
      <c r="G467" s="141"/>
      <c r="H467" s="141"/>
    </row>
    <row r="468" spans="1:15">
      <c r="D468" s="141"/>
      <c r="E468" s="179"/>
      <c r="F468" s="141"/>
      <c r="G468" s="141"/>
    </row>
    <row r="474" spans="1:15">
      <c r="C474" s="62"/>
      <c r="D474" s="62"/>
      <c r="E474" s="62"/>
      <c r="F474" s="62"/>
      <c r="G474" s="62"/>
      <c r="H474" s="62"/>
      <c r="I474" s="62"/>
      <c r="J474" s="62"/>
      <c r="K474" s="62"/>
      <c r="L474" s="62"/>
      <c r="M474" s="62"/>
      <c r="N474" s="62"/>
      <c r="O474" s="62"/>
    </row>
    <row r="476" spans="1:15">
      <c r="C476" s="62"/>
      <c r="D476" s="62"/>
      <c r="E476" s="62"/>
      <c r="F476" s="62"/>
      <c r="G476" s="62"/>
      <c r="H476" s="62"/>
      <c r="I476" s="62"/>
      <c r="J476" s="62"/>
      <c r="K476" s="62"/>
      <c r="L476" s="62"/>
      <c r="M476" s="62"/>
      <c r="N476" s="62"/>
      <c r="O476" s="62"/>
    </row>
    <row r="478" spans="1:15">
      <c r="C478" s="62"/>
      <c r="D478" s="62"/>
      <c r="E478" s="62"/>
      <c r="F478" s="62"/>
      <c r="G478" s="62"/>
      <c r="H478" s="62"/>
      <c r="I478" s="62"/>
      <c r="J478" s="62"/>
      <c r="K478" s="62"/>
      <c r="L478" s="62"/>
      <c r="M478" s="62"/>
      <c r="N478" s="62"/>
      <c r="O478" s="62"/>
    </row>
    <row r="480" spans="1:15">
      <c r="C480" s="62"/>
      <c r="D480" s="62"/>
      <c r="E480" s="62"/>
      <c r="F480" s="62"/>
      <c r="G480" s="62"/>
      <c r="H480" s="62"/>
      <c r="I480" s="62"/>
      <c r="J480" s="62"/>
      <c r="K480" s="62"/>
      <c r="L480" s="62"/>
      <c r="M480" s="62"/>
      <c r="N480" s="62"/>
      <c r="O480" s="62"/>
    </row>
    <row r="482" spans="3:15">
      <c r="C482" s="62"/>
      <c r="D482" s="62"/>
      <c r="E482" s="62"/>
      <c r="F482" s="62"/>
      <c r="G482" s="62"/>
      <c r="H482" s="62"/>
      <c r="I482" s="62"/>
      <c r="J482" s="62"/>
      <c r="K482" s="62"/>
      <c r="L482" s="62"/>
      <c r="M482" s="62"/>
      <c r="N482" s="62"/>
      <c r="O482" s="62"/>
    </row>
    <row r="740" ht="37.5" customHeight="1"/>
    <row r="741" ht="37.5" customHeight="1"/>
  </sheetData>
  <mergeCells count="39">
    <mergeCell ref="E452:E453"/>
    <mergeCell ref="B41:N41"/>
    <mergeCell ref="B452:B453"/>
    <mergeCell ref="H452:H453"/>
    <mergeCell ref="J452:J453"/>
    <mergeCell ref="D452:D453"/>
    <mergeCell ref="G452:G453"/>
    <mergeCell ref="I452:I453"/>
    <mergeCell ref="F452:F453"/>
    <mergeCell ref="B118:C118"/>
    <mergeCell ref="C452:C453"/>
    <mergeCell ref="C195:O195"/>
    <mergeCell ref="C131:O131"/>
    <mergeCell ref="B188:N188"/>
    <mergeCell ref="C258:O258"/>
    <mergeCell ref="B323:B324"/>
    <mergeCell ref="A323:A326"/>
    <mergeCell ref="D320:P320"/>
    <mergeCell ref="B4:AB4"/>
    <mergeCell ref="B5:AB5"/>
    <mergeCell ref="A261:A279"/>
    <mergeCell ref="A217:A235"/>
    <mergeCell ref="A198:A216"/>
    <mergeCell ref="A134:A153"/>
    <mergeCell ref="A154:A173"/>
    <mergeCell ref="A280:A298"/>
    <mergeCell ref="B325:B326"/>
    <mergeCell ref="A403:A404"/>
    <mergeCell ref="C400:O400"/>
    <mergeCell ref="A417:A420"/>
    <mergeCell ref="A413:A416"/>
    <mergeCell ref="C410:O410"/>
    <mergeCell ref="A405:A406"/>
    <mergeCell ref="B327:B328"/>
    <mergeCell ref="A359:A377"/>
    <mergeCell ref="A340:A358"/>
    <mergeCell ref="C337:O337"/>
    <mergeCell ref="B329:B330"/>
    <mergeCell ref="A327:A330"/>
  </mergeCells>
  <phoneticPr fontId="73" type="noConversion"/>
  <conditionalFormatting sqref="L94">
    <cfRule type="cellIs" dxfId="0" priority="1" operator="notEqual">
      <formula>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dimension ref="B1:H31"/>
  <sheetViews>
    <sheetView showGridLines="0" showRowColHeaders="0" zoomScale="99" zoomScaleNormal="99" workbookViewId="0">
      <selection activeCell="Q12" sqref="Q12"/>
    </sheetView>
  </sheetViews>
  <sheetFormatPr baseColWidth="10" defaultColWidth="11.44140625" defaultRowHeight="13.2"/>
  <cols>
    <col min="1" max="1" width="0.44140625" customWidth="1"/>
    <col min="2" max="2" width="2.5546875" customWidth="1"/>
    <col min="3" max="3" width="16.44140625" customWidth="1"/>
    <col min="4" max="4" width="4.5546875" customWidth="1"/>
    <col min="5" max="5" width="95.5546875" customWidth="1"/>
  </cols>
  <sheetData>
    <row r="1" spans="2:8" ht="0.75" customHeight="1"/>
    <row r="2" spans="2:8" ht="21" customHeight="1">
      <c r="C2" s="94"/>
      <c r="D2" s="94"/>
      <c r="E2" s="181" t="s">
        <v>31</v>
      </c>
    </row>
    <row r="3" spans="2:8" ht="15" customHeight="1">
      <c r="C3" s="94"/>
      <c r="D3" s="94"/>
      <c r="E3" s="18" t="str">
        <f>Dat_01!A2</f>
        <v>Agosto 2025</v>
      </c>
    </row>
    <row r="4" spans="2:8" s="1" customFormat="1" ht="20.25" customHeight="1">
      <c r="B4" s="2"/>
      <c r="C4" s="11" t="s">
        <v>30</v>
      </c>
    </row>
    <row r="5" spans="2:8" s="1" customFormat="1" ht="9" customHeight="1">
      <c r="B5" s="2"/>
      <c r="C5" s="3"/>
    </row>
    <row r="6" spans="2:8" s="1" customFormat="1" ht="3" customHeight="1">
      <c r="B6" s="2"/>
      <c r="C6" s="3"/>
    </row>
    <row r="7" spans="2:8" s="1" customFormat="1" ht="7.5" customHeight="1">
      <c r="B7" s="2"/>
      <c r="C7" s="95"/>
      <c r="D7" s="9"/>
      <c r="E7" s="9"/>
    </row>
    <row r="8" spans="2:8" s="1" customFormat="1" ht="12.6" customHeight="1">
      <c r="B8" s="2"/>
      <c r="C8" s="96"/>
      <c r="D8" s="97" t="s">
        <v>65</v>
      </c>
      <c r="E8" s="98" t="s">
        <v>37</v>
      </c>
      <c r="F8" s="99"/>
      <c r="G8" s="74"/>
    </row>
    <row r="9" spans="2:8" s="1" customFormat="1" ht="12.6" customHeight="1">
      <c r="B9" s="2"/>
      <c r="C9" s="96"/>
      <c r="D9" s="97" t="s">
        <v>65</v>
      </c>
      <c r="E9" s="98" t="s">
        <v>237</v>
      </c>
      <c r="F9" s="99"/>
      <c r="G9" s="74"/>
    </row>
    <row r="10" spans="2:8" s="1" customFormat="1" ht="12.6" customHeight="1">
      <c r="B10" s="2"/>
      <c r="C10" s="96"/>
      <c r="D10" s="97" t="s">
        <v>65</v>
      </c>
      <c r="E10" s="98" t="s">
        <v>66</v>
      </c>
      <c r="F10" s="99"/>
      <c r="H10" s="94"/>
    </row>
    <row r="11" spans="2:8" s="1" customFormat="1" ht="12.6" customHeight="1">
      <c r="B11" s="2"/>
      <c r="C11" s="96"/>
      <c r="D11" s="97" t="s">
        <v>65</v>
      </c>
      <c r="E11" s="98" t="s">
        <v>67</v>
      </c>
      <c r="F11" s="99"/>
      <c r="H11" s="94"/>
    </row>
    <row r="12" spans="2:8" s="1" customFormat="1" ht="12.6" customHeight="1">
      <c r="B12" s="2"/>
      <c r="C12" s="96"/>
      <c r="D12" s="97" t="s">
        <v>65</v>
      </c>
      <c r="E12" s="98" t="s">
        <v>28</v>
      </c>
      <c r="F12" s="99"/>
    </row>
    <row r="13" spans="2:8" s="1" customFormat="1" ht="12.6" customHeight="1">
      <c r="B13" s="2"/>
      <c r="C13" s="96"/>
      <c r="D13" s="97" t="s">
        <v>65</v>
      </c>
      <c r="E13" s="98" t="s">
        <v>68</v>
      </c>
      <c r="F13" s="99"/>
    </row>
    <row r="14" spans="2:8" s="1" customFormat="1" ht="12.6" customHeight="1">
      <c r="B14" s="2"/>
      <c r="C14" s="96"/>
      <c r="D14" s="97" t="s">
        <v>65</v>
      </c>
      <c r="E14" s="98" t="s">
        <v>170</v>
      </c>
      <c r="F14" s="99"/>
    </row>
    <row r="15" spans="2:8" s="1" customFormat="1" ht="12.6" customHeight="1">
      <c r="B15" s="2"/>
      <c r="C15" s="96"/>
      <c r="D15" s="97" t="s">
        <v>65</v>
      </c>
      <c r="E15" s="98" t="s">
        <v>35</v>
      </c>
      <c r="F15" s="99"/>
    </row>
    <row r="16" spans="2:8" s="1" customFormat="1" ht="12.6" customHeight="1">
      <c r="B16" s="2"/>
      <c r="C16" s="96"/>
      <c r="D16" s="97" t="s">
        <v>65</v>
      </c>
      <c r="E16" s="98" t="s">
        <v>219</v>
      </c>
      <c r="F16" s="99"/>
    </row>
    <row r="17" spans="2:6" s="1" customFormat="1" ht="12.6" customHeight="1">
      <c r="B17" s="2"/>
      <c r="C17" s="96"/>
      <c r="D17" s="97" t="s">
        <v>65</v>
      </c>
      <c r="E17" s="98" t="s">
        <v>64</v>
      </c>
      <c r="F17" s="99"/>
    </row>
    <row r="18" spans="2:6" s="1" customFormat="1" ht="12.6" customHeight="1">
      <c r="B18" s="2"/>
      <c r="C18" s="96"/>
      <c r="D18" s="97" t="s">
        <v>65</v>
      </c>
      <c r="E18" s="98" t="s">
        <v>3</v>
      </c>
      <c r="F18" s="99"/>
    </row>
    <row r="19" spans="2:6" s="1" customFormat="1" ht="12.6" customHeight="1">
      <c r="B19" s="2"/>
      <c r="C19" s="96"/>
      <c r="D19" s="97" t="s">
        <v>65</v>
      </c>
      <c r="E19" s="98" t="s">
        <v>148</v>
      </c>
      <c r="F19" s="99"/>
    </row>
    <row r="20" spans="2:6" s="1" customFormat="1" ht="12.6" customHeight="1">
      <c r="B20" s="2"/>
      <c r="C20" s="96"/>
      <c r="D20" s="97" t="s">
        <v>65</v>
      </c>
      <c r="E20" s="98" t="s">
        <v>146</v>
      </c>
      <c r="F20" s="99"/>
    </row>
    <row r="21" spans="2:6" s="1" customFormat="1" ht="12.6" customHeight="1">
      <c r="B21" s="2"/>
      <c r="C21" s="96"/>
      <c r="D21" s="100" t="s">
        <v>65</v>
      </c>
      <c r="E21" s="98" t="s">
        <v>24</v>
      </c>
      <c r="F21" s="99"/>
    </row>
    <row r="22" spans="2:6" s="1" customFormat="1" ht="8.25" customHeight="1">
      <c r="B22" s="2"/>
      <c r="C22" s="96"/>
      <c r="D22" s="100"/>
      <c r="E22" s="101"/>
      <c r="F22" s="99"/>
    </row>
    <row r="23" spans="2:6" ht="11.25" customHeight="1"/>
    <row r="24" spans="2:6">
      <c r="C24" s="102" t="s">
        <v>205</v>
      </c>
      <c r="E24" s="1"/>
    </row>
    <row r="27" spans="2:6">
      <c r="E27" s="3"/>
    </row>
    <row r="28" spans="2:6">
      <c r="E28" s="3"/>
    </row>
    <row r="29" spans="2:6">
      <c r="E29" s="3"/>
    </row>
    <row r="30" spans="2:6">
      <c r="E30" s="6"/>
    </row>
    <row r="31" spans="2:6">
      <c r="E31" s="103"/>
    </row>
  </sheetData>
  <hyperlinks>
    <hyperlink ref="E8" location="'M1'!A1" display="Valores extremos y medio del precio del mercado diario" xr:uid="{00000000-0004-0000-0000-000000000000}"/>
    <hyperlink ref="E9" location="'M2'!A1" display="Mercado diario: participación de cada tecnología en el precio marginal." xr:uid="{00000000-0004-0000-0000-000001000000}"/>
    <hyperlink ref="E10" location="'M3'!A1" display="Evolución del componente del  precio medio final de la energía." xr:uid="{00000000-0004-0000-0000-000002000000}"/>
    <hyperlink ref="E11" location="'M4'!A1" display="Componentes del precio medio final de la energía." xr:uid="{00000000-0004-0000-0000-000003000000}"/>
    <hyperlink ref="E12" location="'M5'!A1" display="Repercusión de los servicios de ajuste del sistema en el precio final medio" xr:uid="{00000000-0004-0000-0000-000004000000}"/>
    <hyperlink ref="E13" location="'M6'!A1" display="Coste de los servicios de ajuste" xr:uid="{00000000-0004-0000-0000-000005000000}"/>
    <hyperlink ref="E14" location="'M7'!A1" display="Energía gestionada en los servicios de ajustes" xr:uid="{00000000-0004-0000-0000-000006000000}"/>
    <hyperlink ref="E15" location="'M8'!A1" display="Solución de restricciones técnicas (Fase I)" xr:uid="{00000000-0004-0000-0000-000007000000}"/>
    <hyperlink ref="E16" location="'M9'!A1" display="Banda de regulación secundaria" xr:uid="{00000000-0004-0000-0000-000008000000}"/>
    <hyperlink ref="E17" location="'M10'!A1" display="Regulación secundaria utilizada" xr:uid="{00000000-0004-0000-0000-000009000000}"/>
    <hyperlink ref="E18" location="'M11'!A1" display="Regulación terciaria" xr:uid="{00000000-0004-0000-0000-00000A000000}"/>
    <hyperlink ref="E19" location="'M12'!A1" display="Gestión de desvíos" xr:uid="{00000000-0004-0000-0000-00000B000000}"/>
    <hyperlink ref="E20" location="'M13'!A1" display="Restricciones técnicas en tiempo real" xr:uid="{00000000-0004-0000-0000-00000C000000}"/>
    <hyperlink ref="E21" location="'M14'!A1" display="Restricciones técnicas en tiempo real" xr:uid="{A4AEBA58-2C24-463C-BCAD-35616F427214}"/>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pageSetUpPr fitToPage="1"/>
  </sheetPr>
  <dimension ref="A2:P71"/>
  <sheetViews>
    <sheetView showGridLines="0" showRowColHeaders="0" topLeftCell="B1" zoomScaleNormal="100" workbookViewId="0">
      <selection activeCell="R22" sqref="R22"/>
    </sheetView>
  </sheetViews>
  <sheetFormatPr baseColWidth="10" defaultColWidth="10.5546875" defaultRowHeight="10.199999999999999"/>
  <cols>
    <col min="1" max="1" width="10.5546875" style="41" hidden="1" customWidth="1"/>
    <col min="2" max="2" width="2.5546875" style="41" customWidth="1"/>
    <col min="3" max="3" width="23.5546875" style="41" customWidth="1"/>
    <col min="4" max="4" width="2.5546875" style="41" customWidth="1"/>
    <col min="5" max="58" width="10.5546875" style="41" customWidth="1"/>
    <col min="59" max="16384" width="10.5546875" style="41"/>
  </cols>
  <sheetData>
    <row r="2" spans="3:12" ht="13.2">
      <c r="C2"/>
      <c r="D2"/>
      <c r="L2" s="17" t="s">
        <v>31</v>
      </c>
    </row>
    <row r="3" spans="3:12" ht="13.2">
      <c r="C3"/>
      <c r="D3"/>
      <c r="L3" s="18" t="str">
        <f>Indice!E3</f>
        <v>Agosto 2025</v>
      </c>
    </row>
    <row r="4" spans="3:12" ht="13.2">
      <c r="C4" s="19" t="s">
        <v>30</v>
      </c>
    </row>
    <row r="5" spans="3:12">
      <c r="C5" s="3"/>
    </row>
    <row r="6" spans="3:12">
      <c r="C6" s="4"/>
    </row>
    <row r="7" spans="3:12" ht="10.5" customHeight="1">
      <c r="C7" s="246" t="s">
        <v>37</v>
      </c>
    </row>
    <row r="8" spans="3:12" ht="10.5" customHeight="1">
      <c r="C8" s="246"/>
    </row>
    <row r="9" spans="3:12" ht="10.5" customHeight="1">
      <c r="C9" s="48" t="s">
        <v>14</v>
      </c>
    </row>
    <row r="10" spans="3:12" ht="10.5" customHeight="1"/>
    <row r="11" spans="3:12" ht="10.5" customHeight="1">
      <c r="C11" s="48"/>
    </row>
    <row r="12" spans="3:12" ht="10.5" customHeight="1">
      <c r="C12" s="48"/>
    </row>
    <row r="30" spans="9:13">
      <c r="I30" s="40"/>
    </row>
    <row r="32" spans="9:13">
      <c r="I32" s="43"/>
      <c r="M32" s="43"/>
    </row>
    <row r="33" spans="9:16">
      <c r="I33" s="43"/>
      <c r="M33" s="43"/>
    </row>
    <row r="34" spans="9:16">
      <c r="I34" s="43"/>
      <c r="M34" s="44"/>
    </row>
    <row r="35" spans="9:16">
      <c r="I35" s="43"/>
      <c r="M35" s="44"/>
    </row>
    <row r="36" spans="9:16">
      <c r="I36" s="43"/>
      <c r="M36" s="44"/>
    </row>
    <row r="37" spans="9:16">
      <c r="I37" s="43"/>
    </row>
    <row r="38" spans="9:16">
      <c r="I38" s="43"/>
    </row>
    <row r="39" spans="9:16">
      <c r="I39" s="43"/>
    </row>
    <row r="40" spans="9:16">
      <c r="I40" s="43"/>
      <c r="M40" s="45"/>
    </row>
    <row r="41" spans="9:16">
      <c r="I41" s="43"/>
      <c r="M41" s="45"/>
    </row>
    <row r="42" spans="9:16">
      <c r="I42" s="43"/>
    </row>
    <row r="43" spans="9:16">
      <c r="I43" s="43"/>
    </row>
    <row r="44" spans="9:16">
      <c r="I44" s="43"/>
      <c r="M44" s="45"/>
    </row>
    <row r="45" spans="9:16">
      <c r="I45" s="43"/>
      <c r="O45" s="43"/>
    </row>
    <row r="46" spans="9:16">
      <c r="I46" s="43"/>
      <c r="P46" s="43"/>
    </row>
    <row r="47" spans="9:16">
      <c r="I47" s="43"/>
      <c r="P47" s="43"/>
    </row>
    <row r="48" spans="9:16">
      <c r="I48" s="43"/>
      <c r="P48" s="43"/>
    </row>
    <row r="49" spans="8:16">
      <c r="I49" s="43"/>
      <c r="P49" s="43"/>
    </row>
    <row r="50" spans="8:16">
      <c r="I50" s="43"/>
      <c r="P50" s="43"/>
    </row>
    <row r="51" spans="8:16">
      <c r="I51" s="43"/>
      <c r="P51" s="43"/>
    </row>
    <row r="52" spans="8:16">
      <c r="I52" s="43"/>
      <c r="P52" s="43"/>
    </row>
    <row r="53" spans="8:16">
      <c r="I53" s="43"/>
      <c r="M53" s="43"/>
      <c r="N53" s="43"/>
      <c r="P53" s="43"/>
    </row>
    <row r="54" spans="8:16">
      <c r="I54" s="43"/>
      <c r="M54" s="43"/>
      <c r="N54" s="43"/>
      <c r="P54" s="43"/>
    </row>
    <row r="55" spans="8:16">
      <c r="I55" s="43"/>
      <c r="M55" s="43"/>
      <c r="N55" s="43"/>
      <c r="P55" s="43"/>
    </row>
    <row r="56" spans="8:16">
      <c r="I56" s="43"/>
      <c r="M56" s="43"/>
      <c r="N56" s="43"/>
      <c r="P56" s="43"/>
    </row>
    <row r="57" spans="8:16">
      <c r="I57" s="43"/>
      <c r="P57" s="43"/>
    </row>
    <row r="58" spans="8:16" ht="10.5" customHeight="1">
      <c r="I58" s="43"/>
      <c r="M58" s="43"/>
      <c r="N58" s="43"/>
      <c r="P58" s="43"/>
    </row>
    <row r="59" spans="8:16">
      <c r="I59" s="43"/>
      <c r="P59" s="43"/>
    </row>
    <row r="60" spans="8:16">
      <c r="I60" s="43"/>
    </row>
    <row r="61" spans="8:16">
      <c r="I61" s="43"/>
    </row>
    <row r="62" spans="8:16" s="46" customFormat="1" ht="13.2">
      <c r="I62" s="43"/>
    </row>
    <row r="63" spans="8:16">
      <c r="H63" s="45"/>
    </row>
    <row r="64" spans="8:16">
      <c r="H64" s="45"/>
    </row>
    <row r="71" spans="10:10">
      <c r="J71" s="42"/>
    </row>
  </sheetData>
  <mergeCells count="1">
    <mergeCell ref="C7:C8"/>
  </mergeCells>
  <printOptions horizontalCentered="1" verticalCentered="1"/>
  <pageMargins left="0" right="0" top="0.6692913385826772" bottom="0.31496062992125984" header="0" footer="0"/>
  <pageSetup paperSize="9" orientation="landscape" horizontalDpi="355" verticalDpi="355"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pageSetUpPr autoPageBreaks="0"/>
  </sheetPr>
  <dimension ref="B1:M28"/>
  <sheetViews>
    <sheetView showGridLines="0" showRowColHeaders="0" topLeftCell="A2" zoomScale="96" zoomScaleNormal="96" workbookViewId="0">
      <selection activeCell="E34" sqref="E34"/>
    </sheetView>
  </sheetViews>
  <sheetFormatPr baseColWidth="10" defaultRowHeight="13.2"/>
  <cols>
    <col min="1" max="1" width="0.44140625" customWidth="1"/>
    <col min="2" max="2" width="2.5546875" customWidth="1"/>
    <col min="3" max="3" width="23.5546875" customWidth="1"/>
    <col min="4" max="4" width="1.44140625" customWidth="1"/>
    <col min="5" max="5" width="105.5546875" customWidth="1"/>
    <col min="6" max="6" width="11.44140625" style="7" customWidth="1"/>
    <col min="8" max="11" width="11.44140625" customWidth="1"/>
  </cols>
  <sheetData>
    <row r="1" spans="2:11" ht="0.6" customHeight="1">
      <c r="F1"/>
    </row>
    <row r="2" spans="2:11" ht="21" customHeight="1">
      <c r="E2" s="17" t="s">
        <v>31</v>
      </c>
      <c r="F2"/>
    </row>
    <row r="3" spans="2:11" ht="15" customHeight="1">
      <c r="E3" s="18" t="str">
        <f>Indice!E3</f>
        <v>Agosto 2025</v>
      </c>
      <c r="F3"/>
    </row>
    <row r="4" spans="2:11" s="1" customFormat="1" ht="20.100000000000001" customHeight="1">
      <c r="B4" s="2"/>
      <c r="C4" s="120" t="s">
        <v>30</v>
      </c>
      <c r="H4" s="247">
        <f>DATEVALUE(TEXT("01"&amp;"-"&amp;MID(Dat_01!B5,6,3)&amp;"-"&amp;MID(Dat_01!B5,1,4),"dd-mmm-aaaa"))</f>
        <v>45870</v>
      </c>
      <c r="I4" s="247"/>
      <c r="J4" s="247"/>
      <c r="K4" s="247"/>
    </row>
    <row r="5" spans="2:11" s="1" customFormat="1" ht="12.6" customHeight="1">
      <c r="B5" s="2"/>
      <c r="C5" s="3"/>
      <c r="H5" s="247"/>
      <c r="I5" s="247"/>
      <c r="J5" s="247"/>
      <c r="K5" s="247"/>
    </row>
    <row r="6" spans="2:11" s="1" customFormat="1" ht="13.35" customHeight="1">
      <c r="B6" s="2"/>
      <c r="C6" s="4"/>
      <c r="D6" s="5"/>
      <c r="E6" s="5"/>
    </row>
    <row r="7" spans="2:11" s="1" customFormat="1" ht="12.75" customHeight="1">
      <c r="B7" s="2"/>
      <c r="C7" s="246" t="s">
        <v>238</v>
      </c>
      <c r="D7" s="5"/>
      <c r="E7" s="6"/>
      <c r="H7" s="130"/>
    </row>
    <row r="8" spans="2:11" s="1" customFormat="1" ht="12.75" customHeight="1">
      <c r="B8" s="2"/>
      <c r="C8" s="246"/>
      <c r="D8" s="5"/>
      <c r="E8" s="6"/>
    </row>
    <row r="9" spans="2:11" s="1" customFormat="1">
      <c r="B9" s="2"/>
      <c r="C9" s="246"/>
      <c r="D9" s="5"/>
      <c r="E9" s="6"/>
    </row>
    <row r="10" spans="2:11" s="1" customFormat="1" ht="12.75" customHeight="1">
      <c r="B10" s="2"/>
      <c r="C10" s="246"/>
      <c r="D10" s="5"/>
      <c r="E10" s="6"/>
    </row>
    <row r="11" spans="2:11" s="1" customFormat="1" ht="12.75" customHeight="1">
      <c r="B11" s="2"/>
      <c r="C11" s="8"/>
      <c r="D11" s="5"/>
      <c r="E11" s="6"/>
      <c r="F11" s="50"/>
    </row>
    <row r="12" spans="2:11" s="1" customFormat="1" ht="12.75" customHeight="1">
      <c r="B12" s="2"/>
      <c r="C12" s="38"/>
      <c r="D12" s="5"/>
      <c r="E12" s="6"/>
      <c r="F12" s="50"/>
    </row>
    <row r="13" spans="2:11" s="1" customFormat="1" ht="12.75" customHeight="1">
      <c r="B13" s="2"/>
      <c r="C13" s="4"/>
      <c r="D13" s="5"/>
      <c r="E13" s="6"/>
      <c r="F13" s="50"/>
    </row>
    <row r="14" spans="2:11" s="1" customFormat="1" ht="12.75" customHeight="1">
      <c r="B14" s="2"/>
      <c r="C14" s="4"/>
      <c r="D14" s="5"/>
      <c r="E14" s="6"/>
      <c r="F14" s="50"/>
    </row>
    <row r="15" spans="2:11" s="1" customFormat="1" ht="12.75" customHeight="1">
      <c r="B15" s="2"/>
      <c r="C15" s="4"/>
      <c r="D15" s="5"/>
      <c r="E15" s="6"/>
      <c r="F15" s="50"/>
    </row>
    <row r="16" spans="2:11" s="1" customFormat="1" ht="12.75" customHeight="1">
      <c r="B16" s="2"/>
      <c r="C16" s="4"/>
      <c r="D16" s="5"/>
      <c r="E16" s="6"/>
      <c r="F16" s="50"/>
    </row>
    <row r="17" spans="2:13" s="1" customFormat="1" ht="12.75" customHeight="1">
      <c r="B17" s="2"/>
      <c r="C17" s="4"/>
      <c r="D17" s="5"/>
      <c r="E17" s="6"/>
      <c r="F17" s="50"/>
    </row>
    <row r="18" spans="2:13" s="1" customFormat="1" ht="12.75" customHeight="1">
      <c r="B18" s="2"/>
      <c r="C18" s="4"/>
      <c r="D18" s="5"/>
      <c r="E18" s="6"/>
      <c r="F18" s="50"/>
    </row>
    <row r="19" spans="2:13" s="1" customFormat="1" ht="12.75" customHeight="1">
      <c r="B19" s="2"/>
      <c r="C19" s="4"/>
      <c r="D19" s="5"/>
      <c r="E19" s="6"/>
      <c r="F19" s="50"/>
    </row>
    <row r="20" spans="2:13" s="1" customFormat="1" ht="12.75" customHeight="1">
      <c r="B20" s="2"/>
      <c r="C20" s="4"/>
      <c r="D20" s="5"/>
      <c r="E20" s="6"/>
      <c r="F20" s="50"/>
    </row>
    <row r="21" spans="2:13" s="1" customFormat="1" ht="12.75" customHeight="1">
      <c r="B21" s="2"/>
      <c r="C21" s="4"/>
      <c r="D21" s="5"/>
      <c r="E21" s="6"/>
      <c r="F21" s="50"/>
    </row>
    <row r="22" spans="2:13">
      <c r="E22" s="6"/>
      <c r="F22" s="50"/>
    </row>
    <row r="23" spans="2:13">
      <c r="E23" s="6"/>
      <c r="F23" s="50"/>
    </row>
    <row r="24" spans="2:13">
      <c r="E24" s="6"/>
      <c r="F24" s="1"/>
      <c r="G24" s="1"/>
      <c r="H24" s="1"/>
    </row>
    <row r="25" spans="2:13">
      <c r="E25" s="6"/>
      <c r="F25" s="1"/>
      <c r="G25" s="1"/>
      <c r="H25" s="1"/>
    </row>
    <row r="26" spans="2:13">
      <c r="E26" s="6"/>
    </row>
    <row r="27" spans="2:13">
      <c r="E27" s="6"/>
      <c r="H27" s="49"/>
      <c r="L27" s="49"/>
      <c r="M27" s="49"/>
    </row>
    <row r="28" spans="2:13">
      <c r="E28" s="6"/>
    </row>
  </sheetData>
  <mergeCells count="2">
    <mergeCell ref="H4:K5"/>
    <mergeCell ref="C7:C10"/>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legacyDrawing r:id="rId3"/>
  <controls>
    <mc:AlternateContent xmlns:mc="http://schemas.openxmlformats.org/markup-compatibility/2006">
      <mc:Choice Requires="x14">
        <control shapeId="3073" r:id="rId4" name="OMIE">
          <controlPr defaultSize="0" autoFill="0" autoLine="0" autoPict="0" r:id="rId5">
            <anchor moveWithCells="1">
              <from>
                <xdr:col>11</xdr:col>
                <xdr:colOff>106680</xdr:colOff>
                <xdr:row>1</xdr:row>
                <xdr:rowOff>144780</xdr:rowOff>
              </from>
              <to>
                <xdr:col>15</xdr:col>
                <xdr:colOff>30480</xdr:colOff>
                <xdr:row>3</xdr:row>
                <xdr:rowOff>30480</xdr:rowOff>
              </to>
            </anchor>
          </controlPr>
        </control>
      </mc:Choice>
      <mc:Fallback>
        <control shapeId="3073" r:id="rId4" name="OMIE"/>
      </mc:Fallback>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pageSetUpPr autoPageBreaks="0"/>
  </sheetPr>
  <dimension ref="B1:S28"/>
  <sheetViews>
    <sheetView showGridLines="0" showRowColHeaders="0" topLeftCell="A2" zoomScale="93" zoomScaleNormal="93" workbookViewId="0">
      <selection activeCell="E28" sqref="E28"/>
    </sheetView>
  </sheetViews>
  <sheetFormatPr baseColWidth="10" defaultRowHeight="13.2"/>
  <cols>
    <col min="1" max="1" width="0.44140625" customWidth="1"/>
    <col min="2" max="2" width="2.5546875" customWidth="1"/>
    <col min="3" max="3" width="23.5546875" customWidth="1"/>
    <col min="4" max="4" width="1.44140625" customWidth="1"/>
    <col min="5" max="5" width="105.5546875" customWidth="1"/>
    <col min="6" max="6" width="11.44140625" style="7" customWidth="1"/>
  </cols>
  <sheetData>
    <row r="1" spans="2:19" ht="0.6" customHeight="1">
      <c r="F1"/>
    </row>
    <row r="2" spans="2:19" ht="21" customHeight="1">
      <c r="E2" s="17" t="s">
        <v>31</v>
      </c>
      <c r="F2"/>
    </row>
    <row r="3" spans="2:19" ht="15" customHeight="1">
      <c r="E3" s="78" t="str">
        <f>Indice!E3</f>
        <v>Agosto 2025</v>
      </c>
      <c r="F3"/>
    </row>
    <row r="4" spans="2:19" s="1" customFormat="1" ht="20.100000000000001" customHeight="1">
      <c r="B4" s="2"/>
      <c r="C4" s="19" t="s">
        <v>30</v>
      </c>
    </row>
    <row r="5" spans="2:19" s="1" customFormat="1" ht="12.6" customHeight="1">
      <c r="B5" s="2"/>
      <c r="C5" s="3"/>
    </row>
    <row r="6" spans="2:19" s="1" customFormat="1" ht="13.35" customHeight="1">
      <c r="B6" s="2"/>
      <c r="C6" s="4"/>
      <c r="D6" s="5"/>
      <c r="E6" s="5"/>
    </row>
    <row r="7" spans="2:19" s="1" customFormat="1" ht="12.75" customHeight="1">
      <c r="B7" s="2"/>
      <c r="C7" s="246" t="s">
        <v>44</v>
      </c>
      <c r="D7" s="5"/>
      <c r="E7" s="12"/>
    </row>
    <row r="8" spans="2:19" s="1" customFormat="1" ht="12.75" customHeight="1">
      <c r="B8" s="2"/>
      <c r="C8" s="246"/>
      <c r="D8" s="5"/>
      <c r="E8" s="12"/>
    </row>
    <row r="9" spans="2:19" s="1" customFormat="1" ht="18" customHeight="1">
      <c r="B9" s="2"/>
      <c r="C9" s="246"/>
      <c r="D9" s="5"/>
      <c r="E9" s="12"/>
      <c r="F9" s="50"/>
      <c r="R9" s="79"/>
      <c r="S9" s="82"/>
    </row>
    <row r="10" spans="2:19" s="1" customFormat="1" ht="12.75" customHeight="1">
      <c r="B10" s="2"/>
      <c r="D10" s="5"/>
      <c r="E10" s="12"/>
      <c r="F10" s="50"/>
      <c r="R10" s="79"/>
      <c r="S10" s="82"/>
    </row>
    <row r="11" spans="2:19" s="1" customFormat="1" ht="12.75" customHeight="1">
      <c r="B11" s="2"/>
      <c r="C11" s="8"/>
      <c r="D11" s="5"/>
      <c r="E11" s="12"/>
      <c r="F11" s="50"/>
      <c r="R11" s="79"/>
      <c r="S11" s="82"/>
    </row>
    <row r="12" spans="2:19" s="1" customFormat="1" ht="12.75" customHeight="1">
      <c r="B12" s="2"/>
      <c r="C12" s="38"/>
      <c r="D12" s="5"/>
      <c r="E12" s="12"/>
      <c r="F12" s="50"/>
      <c r="R12" s="79"/>
      <c r="S12" s="82"/>
    </row>
    <row r="13" spans="2:19" s="1" customFormat="1" ht="12.75" customHeight="1">
      <c r="B13" s="2"/>
      <c r="C13" s="4"/>
      <c r="D13" s="5"/>
      <c r="E13" s="12"/>
      <c r="F13" s="50"/>
      <c r="R13" s="79"/>
      <c r="S13" s="82"/>
    </row>
    <row r="14" spans="2:19" s="1" customFormat="1" ht="12.75" customHeight="1">
      <c r="B14" s="2"/>
      <c r="C14" s="4"/>
      <c r="D14" s="5"/>
      <c r="E14" s="12"/>
      <c r="F14" s="50"/>
      <c r="R14" s="79"/>
      <c r="S14" s="82"/>
    </row>
    <row r="15" spans="2:19" s="1" customFormat="1" ht="12.75" customHeight="1">
      <c r="B15" s="2"/>
      <c r="C15" s="4"/>
      <c r="D15" s="5"/>
      <c r="E15" s="12"/>
      <c r="F15" s="50"/>
      <c r="R15" s="79"/>
      <c r="S15" s="82"/>
    </row>
    <row r="16" spans="2:19" s="1" customFormat="1" ht="12.75" customHeight="1">
      <c r="B16" s="2"/>
      <c r="C16" s="4"/>
      <c r="D16" s="5"/>
      <c r="E16" s="12"/>
      <c r="F16" s="50"/>
      <c r="R16" s="79"/>
      <c r="S16" s="82"/>
    </row>
    <row r="17" spans="2:19" s="1" customFormat="1" ht="12.75" customHeight="1">
      <c r="B17" s="2"/>
      <c r="C17" s="4"/>
      <c r="D17" s="5"/>
      <c r="E17" s="12"/>
      <c r="F17" s="50"/>
      <c r="R17" s="79"/>
      <c r="S17" s="82"/>
    </row>
    <row r="18" spans="2:19" s="1" customFormat="1" ht="12.75" customHeight="1">
      <c r="B18" s="2"/>
      <c r="C18" s="4"/>
      <c r="D18" s="5"/>
      <c r="E18" s="12"/>
      <c r="F18" s="50"/>
      <c r="R18" s="79"/>
      <c r="S18" s="82"/>
    </row>
    <row r="19" spans="2:19" s="1" customFormat="1" ht="12.75" customHeight="1">
      <c r="B19" s="2"/>
      <c r="C19" s="4"/>
      <c r="D19" s="5"/>
      <c r="E19" s="12"/>
      <c r="F19" s="50"/>
      <c r="R19" s="79"/>
      <c r="S19" s="82"/>
    </row>
    <row r="20" spans="2:19" s="1" customFormat="1" ht="12.75" customHeight="1">
      <c r="B20" s="2"/>
      <c r="C20" s="4"/>
      <c r="D20" s="5"/>
      <c r="E20" s="12"/>
      <c r="F20" s="50"/>
      <c r="R20" s="79"/>
      <c r="S20" s="82"/>
    </row>
    <row r="21" spans="2:19" s="1" customFormat="1" ht="12.75" customHeight="1">
      <c r="B21" s="2"/>
      <c r="C21" s="4"/>
      <c r="D21" s="5"/>
      <c r="E21" s="12"/>
      <c r="F21" s="50"/>
      <c r="R21" s="79"/>
      <c r="S21" s="82"/>
    </row>
    <row r="22" spans="2:19">
      <c r="E22" s="12"/>
      <c r="F22" s="1"/>
      <c r="R22" s="80"/>
    </row>
    <row r="23" spans="2:19">
      <c r="E23" s="12"/>
      <c r="F23" s="1"/>
      <c r="R23" s="81"/>
    </row>
    <row r="24" spans="2:19">
      <c r="E24" s="12"/>
      <c r="F24" s="1"/>
    </row>
    <row r="25" spans="2:19">
      <c r="E25" s="6"/>
      <c r="F25" s="1"/>
      <c r="G25" s="1"/>
      <c r="H25" s="1"/>
      <c r="Q25" s="1"/>
    </row>
    <row r="26" spans="2:19">
      <c r="E26" s="6"/>
    </row>
    <row r="27" spans="2:19">
      <c r="E27" s="6"/>
    </row>
    <row r="28" spans="2:19">
      <c r="E28" s="6"/>
    </row>
  </sheetData>
  <customSheetViews>
    <customSheetView guid="{900DFCB2-DCF9-11D6-8470-0008C7298EBA}" showGridLines="0" showRowCol="0" outlineSymbols="0" showRuler="0"/>
    <customSheetView guid="{900DFCB4-DCF9-11D6-8470-0008C7298EBA}" showGridLines="0" showRowCol="0" outlineSymbols="0" showRuler="0"/>
    <customSheetView guid="{900DFCB5-DCF9-11D6-8470-0008C7298EBA}" showGridLines="0" showRowCol="0" outlineSymbols="0" showRuler="0"/>
    <customSheetView guid="{900DFCB6-DCF9-11D6-8470-0008C7298EBA}" showGridLines="0" showRowCol="0" outlineSymbols="0" showRuler="0"/>
    <customSheetView guid="{900DFCB7-DCF9-11D6-8470-0008C7298EBA}" showGridLines="0" showRowCol="0" outlineSymbols="0" showRuler="0"/>
    <customSheetView guid="{900DFCB8-DCF9-11D6-8470-0008C7298EBA}" showGridLines="0" showRowCol="0" outlineSymbols="0" showRuler="0"/>
    <customSheetView guid="{900DFCB9-DCF9-11D6-8470-0008C7298EBA}" showGridLines="0" showRowCol="0" outlineSymbols="0" showRuler="0"/>
    <customSheetView guid="{900DFCBA-DCF9-11D6-8470-0008C7298EBA}" showGridLines="0" showRowCol="0" outlineSymbols="0" showRuler="0"/>
    <customSheetView guid="{900DFCBB-DCF9-11D6-8470-0008C7298EBA}" showGridLines="0" showRowCol="0" outlineSymbols="0" showRuler="0"/>
    <customSheetView guid="{900DFCBC-DCF9-11D6-8470-0008C7298EBA}" showGridLines="0" showRowCol="0" outlineSymbols="0" showRuler="0"/>
    <customSheetView guid="{900DFCBD-DCF9-11D6-8470-0008C7298EBA}" showGridLines="0" showRowCol="0" outlineSymbols="0" showRuler="0"/>
    <customSheetView guid="{900DFCBE-DCF9-11D6-8470-0008C7298EBA}" showGridLines="0" showRowCol="0" outlineSymbols="0" showRuler="0"/>
    <customSheetView guid="{900DFCBF-DCF9-11D6-8470-0008C7298EBA}" showGridLines="0" showRowCol="0" outlineSymbols="0" showRuler="0"/>
    <customSheetView guid="{900DFCC0-DCF9-11D6-8470-0008C7298EBA}" showGridLines="0" showRowCol="0" outlineSymbols="0" showRuler="0"/>
    <customSheetView guid="{900DFCC1-DCF9-11D6-8470-0008C7298EBA}" showGridLines="0" showRowCol="0" outlineSymbols="0" showRuler="0"/>
    <customSheetView guid="{900DFCC2-DCF9-11D6-8470-0008C7298EBA}" showGridLines="0" showRowCol="0" outlineSymbols="0" showRuler="0"/>
    <customSheetView guid="{900DFCC3-DCF9-11D6-8470-0008C7298EBA}" showGridLines="0" showRowCol="0" outlineSymbols="0" showRuler="0"/>
    <customSheetView guid="{900DFCC4-DCF9-11D6-8470-0008C7298EBA}" showGridLines="0" showRowCol="0" outlineSymbols="0" showRuler="0"/>
    <customSheetView guid="{900DFCC5-DCF9-11D6-8470-0008C7298EBA}" showGridLines="0" showRowCol="0" outlineSymbols="0" showRuler="0"/>
    <customSheetView guid="{900DFCC6-DCF9-11D6-8470-0008C7298EBA}" showGridLines="0" showRowCol="0" outlineSymbols="0" showRuler="0"/>
    <customSheetView guid="{900DFCC7-DCF9-11D6-8470-0008C7298EBA}" showGridLines="0" showRowCol="0" outlineSymbols="0" showRuler="0"/>
  </customSheetViews>
  <mergeCells count="1">
    <mergeCell ref="C7:C9"/>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3"/>
  <dimension ref="A1:S36"/>
  <sheetViews>
    <sheetView showGridLines="0" showRowColHeaders="0" workbookViewId="0">
      <selection activeCell="G36" sqref="G36"/>
    </sheetView>
  </sheetViews>
  <sheetFormatPr baseColWidth="10" defaultColWidth="11.44140625" defaultRowHeight="13.2"/>
  <cols>
    <col min="1" max="1" width="3.5546875" style="20" customWidth="1"/>
    <col min="2" max="2" width="23.5546875" style="20" customWidth="1"/>
    <col min="3" max="3" width="11.44140625" style="20"/>
    <col min="4" max="4" width="12.44140625" style="20" customWidth="1"/>
    <col min="5" max="5" width="11.44140625" style="20" customWidth="1"/>
    <col min="6" max="6" width="11.44140625" style="20"/>
    <col min="7" max="7" width="12.44140625" style="20" customWidth="1"/>
    <col min="8" max="10" width="11.44140625" style="20"/>
    <col min="11" max="11" width="13" style="20" customWidth="1"/>
    <col min="12" max="16384" width="11.44140625" style="20"/>
  </cols>
  <sheetData>
    <row r="1" spans="1:8">
      <c r="A1" s="20" t="s">
        <v>4</v>
      </c>
    </row>
    <row r="2" spans="1:8">
      <c r="H2" s="17" t="s">
        <v>31</v>
      </c>
    </row>
    <row r="3" spans="1:8">
      <c r="H3" s="78" t="str">
        <f>Indice!E3</f>
        <v>Agosto 2025</v>
      </c>
    </row>
    <row r="4" spans="1:8">
      <c r="B4" s="19" t="s">
        <v>30</v>
      </c>
    </row>
    <row r="7" spans="1:8" ht="12.75" customHeight="1">
      <c r="B7" s="248" t="s">
        <v>38</v>
      </c>
    </row>
    <row r="8" spans="1:8">
      <c r="B8" s="248"/>
    </row>
    <row r="9" spans="1:8">
      <c r="B9" s="47" t="s">
        <v>14</v>
      </c>
    </row>
    <row r="27" spans="5:19">
      <c r="P27" s="21"/>
      <c r="Q27" s="22"/>
      <c r="R27" s="21"/>
      <c r="S27" s="22"/>
    </row>
    <row r="28" spans="5:19">
      <c r="P28" s="23"/>
      <c r="Q28" s="24"/>
      <c r="R28" s="23"/>
      <c r="S28" s="24"/>
    </row>
    <row r="30" spans="5:19">
      <c r="E30" s="66"/>
      <c r="F30" s="66"/>
      <c r="G30" s="66"/>
      <c r="H30" s="66"/>
    </row>
    <row r="32" spans="5:19">
      <c r="J32" s="25"/>
      <c r="K32" s="26"/>
      <c r="L32" s="26"/>
      <c r="M32" s="26"/>
      <c r="N32" s="26"/>
    </row>
    <row r="33" spans="10:15">
      <c r="J33" s="25"/>
      <c r="K33" s="26"/>
      <c r="L33" s="26"/>
      <c r="M33" s="26"/>
      <c r="N33" s="26"/>
      <c r="O33" s="26"/>
    </row>
    <row r="34" spans="10:15">
      <c r="J34" s="26"/>
      <c r="K34" s="26"/>
      <c r="L34" s="26"/>
      <c r="M34" s="26"/>
      <c r="N34" s="26"/>
    </row>
    <row r="35" spans="10:15">
      <c r="J35" s="26"/>
      <c r="K35" s="26"/>
      <c r="L35" s="26"/>
      <c r="M35" s="26"/>
      <c r="N35" s="26"/>
    </row>
    <row r="36" spans="10:15">
      <c r="K36" s="27"/>
    </row>
  </sheetData>
  <mergeCells count="1">
    <mergeCell ref="B7:B8"/>
  </mergeCells>
  <printOptions horizontalCentered="1" verticalCentered="1"/>
  <pageMargins left="0.78740157480314965" right="0.78740157480314965" top="0.98425196850393704" bottom="0.98425196850393704" header="0" footer="0"/>
  <pageSetup paperSize="9" scale="8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autoPageBreaks="0"/>
  </sheetPr>
  <dimension ref="B1:AM34"/>
  <sheetViews>
    <sheetView showGridLines="0" showRowColHeaders="0" topLeftCell="A2" zoomScale="106" zoomScaleNormal="106" workbookViewId="0">
      <selection activeCell="E36" sqref="E36"/>
    </sheetView>
  </sheetViews>
  <sheetFormatPr baseColWidth="10" defaultRowHeight="13.2"/>
  <cols>
    <col min="1" max="1" width="0.44140625" customWidth="1"/>
    <col min="2" max="2" width="2.5546875" customWidth="1"/>
    <col min="3" max="3" width="23.5546875" customWidth="1"/>
    <col min="4" max="4" width="1.44140625" customWidth="1"/>
    <col min="5" max="5" width="105.5546875" customWidth="1"/>
    <col min="6" max="6" width="11.44140625" style="7" customWidth="1"/>
    <col min="7" max="7" width="28.44140625" customWidth="1"/>
    <col min="8" max="20" width="9.44140625" customWidth="1"/>
    <col min="24" max="36" width="13.44140625" bestFit="1" customWidth="1"/>
  </cols>
  <sheetData>
    <row r="1" spans="2:39" ht="0.6" customHeight="1">
      <c r="F1"/>
    </row>
    <row r="2" spans="2:39" ht="21" customHeight="1">
      <c r="E2" s="17" t="s">
        <v>31</v>
      </c>
      <c r="F2" s="10"/>
      <c r="G2" s="10"/>
      <c r="H2" s="10"/>
      <c r="I2" s="10"/>
      <c r="J2" s="10"/>
      <c r="K2" s="10"/>
      <c r="L2" s="10"/>
      <c r="M2" s="10"/>
      <c r="N2" s="10"/>
      <c r="O2" s="10"/>
      <c r="P2" s="10"/>
      <c r="Q2" s="10"/>
      <c r="R2" s="10"/>
      <c r="S2" s="10"/>
      <c r="T2" s="10"/>
    </row>
    <row r="3" spans="2:39" ht="15" customHeight="1">
      <c r="E3" s="78" t="str">
        <f>Indice!E3</f>
        <v>Agosto 2025</v>
      </c>
      <c r="F3" s="11"/>
      <c r="G3" s="11"/>
      <c r="H3" s="11"/>
      <c r="I3" s="11"/>
      <c r="J3" s="11"/>
      <c r="K3" s="11"/>
      <c r="L3" s="11"/>
      <c r="M3" s="11"/>
      <c r="N3" s="11"/>
      <c r="O3" s="11"/>
      <c r="P3" s="11"/>
      <c r="Q3" s="11"/>
      <c r="R3" s="11"/>
      <c r="S3" s="11"/>
      <c r="T3" s="11"/>
    </row>
    <row r="4" spans="2:39" s="1" customFormat="1" ht="20.100000000000001" customHeight="1">
      <c r="C4" s="19" t="s">
        <v>30</v>
      </c>
    </row>
    <row r="5" spans="2:39" s="1" customFormat="1" ht="12.6" customHeight="1">
      <c r="B5" s="2"/>
      <c r="C5" s="3"/>
    </row>
    <row r="6" spans="2:39" s="1" customFormat="1" ht="13.35" customHeight="1">
      <c r="B6" s="2"/>
      <c r="C6" s="4"/>
      <c r="D6" s="5"/>
      <c r="E6" s="5"/>
    </row>
    <row r="7" spans="2:39" s="1" customFormat="1" ht="12.75" customHeight="1">
      <c r="B7" s="2"/>
      <c r="C7" s="248" t="s">
        <v>28</v>
      </c>
      <c r="D7" s="5"/>
      <c r="E7" s="12"/>
    </row>
    <row r="8" spans="2:39" s="1" customFormat="1" ht="12.75" customHeight="1">
      <c r="B8" s="2"/>
      <c r="C8" s="248"/>
      <c r="D8" s="5"/>
      <c r="E8" s="12"/>
    </row>
    <row r="9" spans="2:39" s="1" customFormat="1" ht="12.75" customHeight="1">
      <c r="B9" s="2"/>
      <c r="C9" s="248"/>
      <c r="D9" s="5"/>
      <c r="E9" s="12"/>
    </row>
    <row r="10" spans="2:39" s="1" customFormat="1" ht="12.75" customHeight="1">
      <c r="B10" s="2"/>
      <c r="C10" s="248"/>
      <c r="D10" s="5"/>
      <c r="E10" s="12"/>
    </row>
    <row r="11" spans="2:39" s="1" customFormat="1" ht="12.75" customHeight="1">
      <c r="B11" s="2"/>
      <c r="C11" s="47"/>
      <c r="D11" s="5"/>
      <c r="E11" s="9"/>
    </row>
    <row r="12" spans="2:39" s="1" customFormat="1" ht="12.75" customHeight="1">
      <c r="B12" s="2"/>
      <c r="C12" s="47"/>
      <c r="D12" s="5"/>
      <c r="E12" s="9"/>
    </row>
    <row r="13" spans="2:39" s="1" customFormat="1" ht="12.75" customHeight="1">
      <c r="B13" s="2"/>
      <c r="C13" s="4"/>
      <c r="D13" s="5"/>
      <c r="E13" s="9"/>
    </row>
    <row r="14" spans="2:39" s="1" customFormat="1" ht="12.75" customHeight="1">
      <c r="B14" s="2"/>
      <c r="C14" s="4"/>
      <c r="D14" s="5"/>
      <c r="E14" s="9"/>
    </row>
    <row r="15" spans="2:39" s="1" customFormat="1" ht="12.75" customHeight="1">
      <c r="B15" s="2"/>
      <c r="C15" s="4"/>
      <c r="D15" s="5"/>
      <c r="E15" s="9"/>
    </row>
    <row r="16" spans="2:39" s="74" customFormat="1" ht="12.75" customHeight="1">
      <c r="C16" s="75"/>
      <c r="D16" s="76"/>
      <c r="E16" s="77"/>
      <c r="AL16" s="1"/>
      <c r="AM16" s="1"/>
    </row>
    <row r="17" spans="2:39" s="1" customFormat="1" ht="12.75" customHeight="1">
      <c r="B17" s="2"/>
      <c r="C17" s="4"/>
      <c r="D17" s="5"/>
      <c r="E17" s="9"/>
    </row>
    <row r="18" spans="2:39" s="1" customFormat="1" ht="12.75" customHeight="1">
      <c r="B18" s="2"/>
      <c r="C18" s="4"/>
      <c r="D18" s="5"/>
      <c r="E18" s="9"/>
    </row>
    <row r="19" spans="2:39" s="1" customFormat="1" ht="12.75" customHeight="1">
      <c r="B19" s="2"/>
      <c r="C19" s="4"/>
      <c r="D19" s="5"/>
      <c r="E19" s="9"/>
      <c r="AL19" s="74"/>
      <c r="AM19" s="74"/>
    </row>
    <row r="20" spans="2:39" s="1" customFormat="1" ht="12.75" customHeight="1">
      <c r="B20" s="2"/>
      <c r="C20" s="4"/>
      <c r="D20" s="5"/>
      <c r="E20" s="9"/>
    </row>
    <row r="21" spans="2:39" s="1" customFormat="1" ht="12.75" customHeight="1">
      <c r="B21" s="2"/>
      <c r="C21" s="4"/>
      <c r="D21" s="5"/>
      <c r="E21" s="9"/>
    </row>
    <row r="22" spans="2:39">
      <c r="E22" s="13"/>
      <c r="AL22" s="1"/>
      <c r="AM22" s="1"/>
    </row>
    <row r="23" spans="2:39">
      <c r="E23" s="13"/>
      <c r="AL23" s="1"/>
      <c r="AM23" s="1"/>
    </row>
    <row r="24" spans="2:39">
      <c r="E24" s="13"/>
      <c r="AL24" s="1"/>
      <c r="AM24" s="1"/>
    </row>
    <row r="25" spans="2:39" ht="16.350000000000001" customHeight="1">
      <c r="E25" s="39"/>
    </row>
    <row r="27" spans="2:39">
      <c r="E27" s="134" t="s">
        <v>190</v>
      </c>
    </row>
    <row r="34" spans="6:6">
      <c r="F34" s="70"/>
    </row>
  </sheetData>
  <customSheetViews>
    <customSheetView guid="{900DFCB2-DCF9-11D6-8470-0008C7298EBA}" showGridLines="0" showRowCol="0" outlineSymbols="0" showRuler="0"/>
    <customSheetView guid="{900DFCB4-DCF9-11D6-8470-0008C7298EBA}" showGridLines="0" showRowCol="0" outlineSymbols="0" showRuler="0"/>
    <customSheetView guid="{900DFCB5-DCF9-11D6-8470-0008C7298EBA}" showGridLines="0" showRowCol="0" outlineSymbols="0" showRuler="0"/>
    <customSheetView guid="{900DFCB6-DCF9-11D6-8470-0008C7298EBA}" showGridLines="0" showRowCol="0" outlineSymbols="0" showRuler="0"/>
    <customSheetView guid="{900DFCB7-DCF9-11D6-8470-0008C7298EBA}" showGridLines="0" showRowCol="0" outlineSymbols="0" showRuler="0"/>
    <customSheetView guid="{900DFCB8-DCF9-11D6-8470-0008C7298EBA}" showGridLines="0" showRowCol="0" outlineSymbols="0" showRuler="0"/>
    <customSheetView guid="{900DFCB9-DCF9-11D6-8470-0008C7298EBA}" showGridLines="0" showRowCol="0" outlineSymbols="0" showRuler="0"/>
    <customSheetView guid="{900DFCBA-DCF9-11D6-8470-0008C7298EBA}" showGridLines="0" showRowCol="0" outlineSymbols="0" showRuler="0"/>
    <customSheetView guid="{900DFCBB-DCF9-11D6-8470-0008C7298EBA}" showGridLines="0" showRowCol="0" outlineSymbols="0" showRuler="0"/>
    <customSheetView guid="{900DFCBC-DCF9-11D6-8470-0008C7298EBA}" showGridLines="0" showRowCol="0" outlineSymbols="0" showRuler="0"/>
    <customSheetView guid="{900DFCBD-DCF9-11D6-8470-0008C7298EBA}" showGridLines="0" showRowCol="0" outlineSymbols="0" showRuler="0"/>
    <customSheetView guid="{900DFCBE-DCF9-11D6-8470-0008C7298EBA}" showGridLines="0" showRowCol="0" outlineSymbols="0" showRuler="0"/>
    <customSheetView guid="{900DFCBF-DCF9-11D6-8470-0008C7298EBA}" showGridLines="0" showRowCol="0" outlineSymbols="0" showRuler="0"/>
    <customSheetView guid="{900DFCC0-DCF9-11D6-8470-0008C7298EBA}" showGridLines="0" showRowCol="0" outlineSymbols="0" showRuler="0"/>
    <customSheetView guid="{900DFCC1-DCF9-11D6-8470-0008C7298EBA}" showGridLines="0" showRowCol="0" outlineSymbols="0" showRuler="0"/>
    <customSheetView guid="{900DFCC2-DCF9-11D6-8470-0008C7298EBA}" showGridLines="0" showRowCol="0" outlineSymbols="0" showRuler="0"/>
    <customSheetView guid="{900DFCC3-DCF9-11D6-8470-0008C7298EBA}" showGridLines="0" showRowCol="0" outlineSymbols="0" showRuler="0"/>
    <customSheetView guid="{900DFCC4-DCF9-11D6-8470-0008C7298EBA}" showGridLines="0" showRowCol="0" outlineSymbols="0" showRuler="0"/>
    <customSheetView guid="{900DFCC5-DCF9-11D6-8470-0008C7298EBA}" showGridLines="0" showRowCol="0" outlineSymbols="0" showRuler="0"/>
    <customSheetView guid="{900DFCC6-DCF9-11D6-8470-0008C7298EBA}" showGridLines="0" showRowCol="0" outlineSymbols="0" showRuler="0"/>
    <customSheetView guid="{900DFCC7-DCF9-11D6-8470-0008C7298EBA}" showGridLines="0" showRowCol="0" outlineSymbols="0" showRuler="0"/>
  </customSheetViews>
  <mergeCells count="1">
    <mergeCell ref="C7:C10"/>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5">
    <pageSetUpPr autoPageBreaks="0"/>
  </sheetPr>
  <dimension ref="B1:K39"/>
  <sheetViews>
    <sheetView showGridLines="0" showRowColHeaders="0" topLeftCell="A2" workbookViewId="0">
      <selection activeCell="E33" sqref="E33"/>
    </sheetView>
  </sheetViews>
  <sheetFormatPr baseColWidth="10" defaultRowHeight="13.2"/>
  <cols>
    <col min="1" max="1" width="0.44140625" customWidth="1"/>
    <col min="2" max="2" width="2.5546875" customWidth="1"/>
    <col min="3" max="3" width="23.5546875" customWidth="1"/>
    <col min="4" max="4" width="1.44140625" customWidth="1"/>
    <col min="5" max="5" width="50.5546875" customWidth="1"/>
    <col min="6" max="6" width="18.5546875" style="7" customWidth="1"/>
    <col min="7" max="7" width="18.5546875" customWidth="1"/>
    <col min="8" max="9" width="9.44140625" customWidth="1"/>
    <col min="11" max="11" width="26.5546875" bestFit="1" customWidth="1"/>
    <col min="12" max="12" width="12.44140625" bestFit="1" customWidth="1"/>
    <col min="13" max="13" width="35.44140625" bestFit="1" customWidth="1"/>
    <col min="14" max="14" width="20.44140625" bestFit="1" customWidth="1"/>
    <col min="15" max="15" width="28.44140625" bestFit="1" customWidth="1"/>
    <col min="16" max="16" width="12.44140625" bestFit="1" customWidth="1"/>
    <col min="17" max="17" width="35.44140625" bestFit="1" customWidth="1"/>
    <col min="18" max="18" width="20.44140625" bestFit="1" customWidth="1"/>
  </cols>
  <sheetData>
    <row r="1" spans="2:11" ht="0.6" customHeight="1">
      <c r="F1"/>
    </row>
    <row r="2" spans="2:11" ht="21" customHeight="1">
      <c r="E2" s="249" t="s">
        <v>31</v>
      </c>
      <c r="F2" s="249"/>
      <c r="G2" s="249"/>
      <c r="H2" s="10"/>
      <c r="I2" s="10"/>
    </row>
    <row r="3" spans="2:11" ht="15" customHeight="1">
      <c r="E3" s="250" t="str">
        <f>Indice!E3</f>
        <v>Agosto 2025</v>
      </c>
      <c r="F3" s="250"/>
      <c r="G3" s="250"/>
      <c r="H3" s="11"/>
      <c r="I3" s="11"/>
    </row>
    <row r="4" spans="2:11" s="1" customFormat="1" ht="20.100000000000001" customHeight="1">
      <c r="C4" s="19" t="s">
        <v>30</v>
      </c>
    </row>
    <row r="5" spans="2:11" s="1" customFormat="1" ht="12.6" customHeight="1">
      <c r="B5" s="2"/>
      <c r="C5" s="3"/>
    </row>
    <row r="6" spans="2:11" s="1" customFormat="1" ht="13.35" customHeight="1">
      <c r="B6" s="2"/>
      <c r="C6" s="4"/>
      <c r="D6" s="5"/>
      <c r="E6" s="5"/>
      <c r="F6" s="73"/>
    </row>
    <row r="7" spans="2:11" s="57" customFormat="1" ht="15" customHeight="1">
      <c r="B7" s="54"/>
      <c r="C7" s="248" t="s">
        <v>63</v>
      </c>
      <c r="D7" s="55"/>
      <c r="E7" s="56"/>
      <c r="F7" s="72"/>
      <c r="G7" s="72"/>
      <c r="I7" s="132"/>
    </row>
    <row r="8" spans="2:11" s="57" customFormat="1" ht="15" customHeight="1">
      <c r="B8" s="54"/>
      <c r="C8" s="248"/>
      <c r="D8" s="55"/>
      <c r="E8" s="58"/>
      <c r="F8" s="59" t="str">
        <f>Dat_01!G97</f>
        <v>2024 Agosto</v>
      </c>
      <c r="G8" s="59" t="str">
        <f>Dat_01!C97</f>
        <v>2025 Agosto</v>
      </c>
      <c r="I8" s="132"/>
    </row>
    <row r="9" spans="2:11" s="1" customFormat="1" ht="15" customHeight="1">
      <c r="B9" s="2"/>
      <c r="C9" s="47"/>
      <c r="D9" s="5"/>
      <c r="E9" s="136" t="s">
        <v>151</v>
      </c>
      <c r="F9" s="137">
        <f>Dat_01!G98/1000000</f>
        <v>71.332688880799992</v>
      </c>
      <c r="G9" s="137">
        <f>Dat_01!C98/1000000</f>
        <v>174.55829729004</v>
      </c>
      <c r="H9" s="57"/>
      <c r="I9" s="132"/>
      <c r="J9" s="57"/>
      <c r="K9" s="57"/>
    </row>
    <row r="10" spans="2:11" s="1" customFormat="1" ht="15" customHeight="1">
      <c r="B10" s="2"/>
      <c r="C10" s="248"/>
      <c r="D10" s="5"/>
      <c r="E10" s="136" t="s">
        <v>152</v>
      </c>
      <c r="F10" s="137">
        <f>Dat_01!G99/1000000</f>
        <v>66.507242280039989</v>
      </c>
      <c r="G10" s="137">
        <f>Dat_01!C99/1000000</f>
        <v>65.201444377840005</v>
      </c>
      <c r="H10" s="57"/>
      <c r="I10" s="132"/>
      <c r="J10" s="57"/>
      <c r="K10" s="57"/>
    </row>
    <row r="11" spans="2:11" s="1" customFormat="1" ht="15" customHeight="1">
      <c r="B11" s="2"/>
      <c r="C11" s="248"/>
      <c r="D11" s="5"/>
      <c r="E11" s="52" t="s">
        <v>40</v>
      </c>
      <c r="F11" s="138">
        <f>SUM(F9:F10)</f>
        <v>137.83993116083997</v>
      </c>
      <c r="G11" s="138">
        <f>SUM(G9:G10)</f>
        <v>239.75974166788001</v>
      </c>
      <c r="H11" s="57"/>
      <c r="I11" s="132"/>
      <c r="J11" s="57"/>
      <c r="K11" s="57"/>
    </row>
    <row r="12" spans="2:11" s="1" customFormat="1" ht="15" customHeight="1">
      <c r="B12" s="2"/>
      <c r="C12" s="248"/>
      <c r="D12" s="5"/>
      <c r="E12" s="52" t="s">
        <v>21</v>
      </c>
      <c r="F12" s="138">
        <f>Dat_01!G101/1000000</f>
        <v>45.527039668039997</v>
      </c>
      <c r="G12" s="138">
        <f>Dat_01!C101/1000000</f>
        <v>66.0267791168</v>
      </c>
      <c r="H12" s="57"/>
      <c r="I12" s="132"/>
      <c r="J12" s="57"/>
      <c r="K12" s="57"/>
    </row>
    <row r="13" spans="2:11" s="1" customFormat="1" ht="15" customHeight="1">
      <c r="B13" s="2"/>
      <c r="C13" s="4"/>
      <c r="D13" s="5"/>
      <c r="E13" s="52" t="s">
        <v>15</v>
      </c>
      <c r="F13" s="138">
        <f>IF(Dat_01!G102="-",0,Dat_01!G102/1000000)</f>
        <v>8.8116850970399998</v>
      </c>
      <c r="G13" s="138">
        <f>Dat_01!C102/1000000</f>
        <v>4.74567474902</v>
      </c>
      <c r="H13" s="57"/>
      <c r="I13" s="132"/>
      <c r="J13" s="57"/>
      <c r="K13" s="57"/>
    </row>
    <row r="14" spans="2:11" s="1" customFormat="1" ht="15" customHeight="1">
      <c r="B14" s="2"/>
      <c r="C14" s="4"/>
      <c r="D14" s="5"/>
      <c r="E14" s="52" t="s">
        <v>135</v>
      </c>
      <c r="F14" s="138">
        <f>(SUM(Dat_01!G103:G105)+IF(Dat_01!G106="-",0,Dat_01!G106))/1000000</f>
        <v>-7.155780479679998</v>
      </c>
      <c r="G14" s="138">
        <f>(SUM(Dat_01!C103:C105)+IF(Dat_01!C106="-",0,Dat_01!C106))/1000000</f>
        <v>-28.06138112464</v>
      </c>
      <c r="H14" s="57"/>
      <c r="I14" s="132"/>
      <c r="J14" s="57"/>
      <c r="K14" s="57"/>
    </row>
    <row r="15" spans="2:11" s="1" customFormat="1" ht="15" customHeight="1">
      <c r="B15" s="2"/>
      <c r="C15" s="4"/>
      <c r="D15" s="5"/>
      <c r="E15" s="52" t="s">
        <v>41</v>
      </c>
      <c r="F15" s="139">
        <f>IF(Dat_01!G107="-","-",Dat_01!G107/1000000)</f>
        <v>-2.0980202611999998</v>
      </c>
      <c r="G15" s="139">
        <f>IF(Dat_01!C107="-","-",Dat_01!C107/1000000)</f>
        <v>-1.8570031626599999</v>
      </c>
      <c r="H15" s="57"/>
      <c r="I15" s="132"/>
      <c r="J15" s="57"/>
      <c r="K15" s="57"/>
    </row>
    <row r="16" spans="2:11" s="1" customFormat="1" ht="15" customHeight="1">
      <c r="B16" s="2"/>
      <c r="C16" s="4"/>
      <c r="D16" s="5"/>
      <c r="E16" s="53" t="s">
        <v>136</v>
      </c>
      <c r="F16" s="140">
        <f>SUM(F11:F15)</f>
        <v>182.92485518503997</v>
      </c>
      <c r="G16" s="140">
        <f>SUM(G11:G15)</f>
        <v>280.61381124640002</v>
      </c>
      <c r="I16" s="94"/>
    </row>
    <row r="17" spans="2:10" s="1" customFormat="1" ht="15" customHeight="1">
      <c r="B17" s="2"/>
      <c r="C17" s="4"/>
      <c r="D17" s="4"/>
      <c r="E17" s="60" t="str">
        <f>"∆"&amp;MID(G8,1,4)&amp;"/"&amp;MID(F8,1,4)</f>
        <v>∆2025/2024</v>
      </c>
      <c r="F17" s="131"/>
      <c r="G17" s="61">
        <f>(G16-F16)/F16</f>
        <v>0.53403872296381771</v>
      </c>
      <c r="I17" s="4"/>
      <c r="J17" s="4"/>
    </row>
    <row r="18" spans="2:10" s="1" customFormat="1" ht="12.75" customHeight="1">
      <c r="B18" s="2"/>
      <c r="C18" s="4"/>
      <c r="D18" s="5"/>
      <c r="H18" s="51"/>
      <c r="I18" s="51"/>
    </row>
    <row r="19" spans="2:10" s="1" customFormat="1" ht="12.75" customHeight="1">
      <c r="B19" s="2"/>
      <c r="C19" s="4"/>
      <c r="D19" s="4"/>
      <c r="E19" s="251" t="s">
        <v>208</v>
      </c>
      <c r="F19" s="251"/>
      <c r="G19" s="251"/>
    </row>
    <row r="20" spans="2:10" s="1" customFormat="1" ht="12.75" customHeight="1">
      <c r="B20" s="2"/>
      <c r="C20" s="4"/>
      <c r="D20" s="4"/>
      <c r="E20" s="251"/>
      <c r="F20" s="251"/>
      <c r="G20" s="251"/>
    </row>
    <row r="24" spans="2:10" ht="16.350000000000001" customHeight="1"/>
    <row r="37" ht="9.75" customHeight="1"/>
    <row r="38" ht="12.75" hidden="1" customHeight="1"/>
    <row r="39" ht="12.75" hidden="1" customHeight="1"/>
  </sheetData>
  <mergeCells count="5">
    <mergeCell ref="E2:G2"/>
    <mergeCell ref="E3:G3"/>
    <mergeCell ref="C7:C8"/>
    <mergeCell ref="C10:C12"/>
    <mergeCell ref="E19:G20"/>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6">
    <pageSetUpPr autoPageBreaks="0"/>
  </sheetPr>
  <dimension ref="B1:I27"/>
  <sheetViews>
    <sheetView showGridLines="0" showRowColHeaders="0" topLeftCell="A3" zoomScaleNormal="100" workbookViewId="0">
      <selection activeCell="E36" sqref="E36"/>
    </sheetView>
  </sheetViews>
  <sheetFormatPr baseColWidth="10" defaultRowHeight="13.2"/>
  <cols>
    <col min="1" max="1" width="0.44140625" customWidth="1"/>
    <col min="2" max="2" width="2.5546875" customWidth="1"/>
    <col min="3" max="3" width="23.5546875" customWidth="1"/>
    <col min="4" max="4" width="1.44140625" customWidth="1"/>
    <col min="5" max="5" width="105.5546875" customWidth="1"/>
    <col min="6" max="6" width="11.44140625" style="7" customWidth="1"/>
    <col min="7" max="7" width="28.44140625" customWidth="1"/>
    <col min="8" max="9" width="9.44140625" customWidth="1"/>
  </cols>
  <sheetData>
    <row r="1" spans="2:9" ht="0.6" customHeight="1">
      <c r="F1"/>
    </row>
    <row r="2" spans="2:9" ht="21" customHeight="1">
      <c r="E2" s="17" t="s">
        <v>31</v>
      </c>
      <c r="F2" s="10"/>
      <c r="G2" s="10"/>
      <c r="H2" s="10"/>
      <c r="I2" s="10"/>
    </row>
    <row r="3" spans="2:9" ht="15" customHeight="1">
      <c r="E3" s="18" t="str">
        <f>Indice!E3</f>
        <v>Agosto 2025</v>
      </c>
      <c r="F3" s="11"/>
      <c r="G3" s="11"/>
      <c r="H3" s="11"/>
      <c r="I3" s="11"/>
    </row>
    <row r="4" spans="2:9" s="1" customFormat="1" ht="20.100000000000001" customHeight="1">
      <c r="C4" s="19" t="s">
        <v>30</v>
      </c>
    </row>
    <row r="5" spans="2:9" s="1" customFormat="1" ht="12.6" customHeight="1">
      <c r="B5" s="2"/>
      <c r="C5" s="3"/>
    </row>
    <row r="6" spans="2:9" s="1" customFormat="1" ht="13.35" customHeight="1">
      <c r="B6" s="2"/>
      <c r="C6" s="4"/>
      <c r="D6" s="5"/>
      <c r="E6" s="5"/>
    </row>
    <row r="7" spans="2:9" s="1" customFormat="1" ht="12.75" customHeight="1">
      <c r="B7" s="2"/>
      <c r="C7" s="248" t="s">
        <v>170</v>
      </c>
      <c r="D7" s="5"/>
      <c r="E7" s="12"/>
    </row>
    <row r="8" spans="2:9" s="1" customFormat="1" ht="12.75" customHeight="1">
      <c r="B8" s="2"/>
      <c r="C8" s="248"/>
      <c r="D8" s="5"/>
      <c r="E8" s="12"/>
    </row>
    <row r="9" spans="2:9" s="1" customFormat="1" ht="12.75" customHeight="1">
      <c r="B9" s="2"/>
      <c r="C9" s="248"/>
      <c r="D9" s="5"/>
      <c r="E9" s="12"/>
    </row>
    <row r="10" spans="2:9" s="1" customFormat="1" ht="12.75" customHeight="1">
      <c r="B10" s="2"/>
      <c r="C10" s="47" t="s">
        <v>42</v>
      </c>
      <c r="D10" s="5"/>
      <c r="E10" s="12"/>
    </row>
    <row r="11" spans="2:9" s="1" customFormat="1" ht="12.75" customHeight="1">
      <c r="B11" s="2"/>
      <c r="C11" s="47"/>
      <c r="D11" s="5"/>
      <c r="E11" s="9"/>
    </row>
    <row r="12" spans="2:9" s="1" customFormat="1" ht="12.75" customHeight="1">
      <c r="B12" s="2"/>
      <c r="C12" s="47"/>
      <c r="D12" s="5"/>
      <c r="E12" s="9"/>
    </row>
    <row r="13" spans="2:9" s="1" customFormat="1" ht="12.75" customHeight="1">
      <c r="B13" s="2"/>
      <c r="C13" s="4"/>
      <c r="D13" s="5"/>
      <c r="E13" s="9"/>
    </row>
    <row r="14" spans="2:9" s="1" customFormat="1" ht="12.75" customHeight="1">
      <c r="B14" s="2"/>
      <c r="C14" s="4"/>
      <c r="D14" s="5"/>
      <c r="E14" s="9"/>
    </row>
    <row r="15" spans="2:9" s="1" customFormat="1" ht="12.75" customHeight="1">
      <c r="B15" s="2"/>
      <c r="C15" s="4"/>
      <c r="D15" s="5"/>
      <c r="E15" s="9"/>
    </row>
    <row r="16" spans="2:9" s="1" customFormat="1" ht="12.75" customHeight="1">
      <c r="B16" s="2"/>
      <c r="C16" s="4"/>
      <c r="D16" s="5"/>
      <c r="E16" s="9"/>
    </row>
    <row r="17" spans="2:9" s="1" customFormat="1" ht="12.75" customHeight="1">
      <c r="B17" s="2"/>
      <c r="C17" s="4"/>
      <c r="D17" s="5"/>
      <c r="E17" s="9"/>
    </row>
    <row r="18" spans="2:9" s="1" customFormat="1" ht="12.75" customHeight="1">
      <c r="B18" s="2"/>
      <c r="C18" s="4"/>
      <c r="D18" s="5"/>
      <c r="E18" s="9"/>
      <c r="H18" s="51"/>
      <c r="I18" s="51"/>
    </row>
    <row r="19" spans="2:9" s="1" customFormat="1" ht="12.75" customHeight="1">
      <c r="B19" s="2"/>
      <c r="C19" s="4"/>
      <c r="D19" s="5"/>
      <c r="E19" s="9"/>
      <c r="H19" s="51"/>
      <c r="I19" s="51"/>
    </row>
    <row r="20" spans="2:9" s="1" customFormat="1" ht="12.75" customHeight="1">
      <c r="B20" s="2"/>
      <c r="C20" s="4"/>
      <c r="D20" s="5"/>
      <c r="E20" s="9"/>
    </row>
    <row r="21" spans="2:9" s="1" customFormat="1" ht="12.75" customHeight="1">
      <c r="B21" s="2"/>
      <c r="C21" s="4"/>
      <c r="D21" s="5"/>
      <c r="E21" s="9"/>
    </row>
    <row r="22" spans="2:9">
      <c r="E22" s="13"/>
    </row>
    <row r="23" spans="2:9">
      <c r="E23" s="13"/>
    </row>
    <row r="24" spans="2:9">
      <c r="E24" s="13"/>
    </row>
    <row r="25" spans="2:9" ht="16.350000000000001" customHeight="1">
      <c r="E25" s="39"/>
    </row>
    <row r="27" spans="2:9">
      <c r="E27" s="134" t="s">
        <v>159</v>
      </c>
    </row>
  </sheetData>
  <mergeCells count="1">
    <mergeCell ref="C7:C9"/>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Indice</vt:lpstr>
      <vt:lpstr>M1</vt:lpstr>
      <vt:lpstr>M2</vt:lpstr>
      <vt:lpstr>M3</vt:lpstr>
      <vt:lpstr>M4</vt:lpstr>
      <vt:lpstr>M5</vt:lpstr>
      <vt:lpstr>M6</vt:lpstr>
      <vt:lpstr>M7</vt:lpstr>
      <vt:lpstr>M8</vt:lpstr>
      <vt:lpstr>M9</vt:lpstr>
      <vt:lpstr>M10</vt:lpstr>
      <vt:lpstr>M11</vt:lpstr>
      <vt:lpstr>M12</vt:lpstr>
      <vt:lpstr>M13</vt:lpstr>
      <vt:lpstr>M14</vt:lpstr>
      <vt:lpstr>Dat_01</vt:lpstr>
    </vt:vector>
  </TitlesOfParts>
  <Company>Red Eléctrica de España,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Operación del Sistema Eléctrico. Informe 1998 (4)</dc:title>
  <dc:creator>FUEPERRO</dc:creator>
  <cp:lastModifiedBy>Sevilla Penas, Marta</cp:lastModifiedBy>
  <cp:lastPrinted>2024-05-20T10:15:27Z</cp:lastPrinted>
  <dcterms:created xsi:type="dcterms:W3CDTF">1999-07-09T11:45:32Z</dcterms:created>
  <dcterms:modified xsi:type="dcterms:W3CDTF">2025-09-16T08:20:06Z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06 Mercados.xlsm</vt:lpwstr>
  </property>
</Properties>
</file>