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OCT\INF_ELABORADA\"/>
    </mc:Choice>
  </mc:AlternateContent>
  <xr:revisionPtr revIDLastSave="0" documentId="13_ncr:1_{43E79D07-3ACE-47D3-9FFD-E2A1D8E66815}" xr6:coauthVersionLast="45" xr6:coauthVersionMax="45" xr10:uidLastSave="{00000000-0000-0000-0000-000000000000}"/>
  <bookViews>
    <workbookView xWindow="-120" yWindow="-120" windowWidth="24240" windowHeight="13140" tabRatio="932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Dat_01!$A$233:$O$255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9" i="96" l="1"/>
  <c r="Q292" i="96"/>
  <c r="I107" i="99"/>
  <c r="J107" i="99"/>
  <c r="K107" i="99"/>
  <c r="L107" i="99"/>
  <c r="M107" i="99"/>
  <c r="N107" i="99"/>
  <c r="O107" i="99"/>
  <c r="P107" i="99"/>
  <c r="P115" i="99" s="1"/>
  <c r="P114" i="99"/>
  <c r="P113" i="99"/>
  <c r="P112" i="99"/>
  <c r="C12" i="99"/>
  <c r="O26" i="99"/>
  <c r="E164" i="98"/>
  <c r="E163" i="98"/>
  <c r="E162" i="98"/>
  <c r="E161" i="98"/>
  <c r="E160" i="98"/>
  <c r="O91" i="98"/>
  <c r="G39" i="98"/>
  <c r="K79" i="96" l="1"/>
  <c r="E39" i="98" l="1"/>
  <c r="E6" i="98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35" i="98"/>
  <c r="E5" i="98"/>
  <c r="E36" i="98" s="1"/>
  <c r="D257" i="96" l="1"/>
  <c r="E257" i="96"/>
  <c r="F257" i="96"/>
  <c r="G257" i="96"/>
  <c r="H257" i="96"/>
  <c r="I257" i="96"/>
  <c r="J257" i="96"/>
  <c r="K257" i="96"/>
  <c r="L257" i="96"/>
  <c r="M257" i="96"/>
  <c r="N257" i="96"/>
  <c r="O257" i="96"/>
  <c r="C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O230" i="96" l="1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95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C96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C97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C98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C99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C100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C101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C102" i="99"/>
  <c r="D102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C103" i="99"/>
  <c r="D103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93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C94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C91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C154" i="98" l="1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C35" i="98"/>
  <c r="D35" i="98"/>
  <c r="A2" i="96" l="1"/>
  <c r="B35" i="98" l="1"/>
  <c r="B45" i="98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E107" i="99" l="1"/>
  <c r="F107" i="99"/>
  <c r="G107" i="99"/>
  <c r="H107" i="99"/>
  <c r="E108" i="99"/>
  <c r="F108" i="99"/>
  <c r="G108" i="99"/>
  <c r="H108" i="99"/>
  <c r="I108" i="99"/>
  <c r="D108" i="99"/>
  <c r="D107" i="99"/>
  <c r="C34" i="98" l="1"/>
  <c r="D34" i="98"/>
  <c r="B83" i="96" l="1"/>
  <c r="C105" i="99" l="1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B34" i="98" l="1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P78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5" i="99" l="1"/>
  <c r="O27" i="99"/>
  <c r="O28" i="99"/>
  <c r="O30" i="99"/>
  <c r="O29" i="99"/>
  <c r="P76" i="99"/>
  <c r="P74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V318" i="97" l="1"/>
  <c r="AH256" i="97"/>
  <c r="AJ238" i="97"/>
  <c r="AJ251" i="97"/>
  <c r="AK339" i="97"/>
  <c r="AB43" i="97"/>
  <c r="D119" i="98"/>
  <c r="D120" i="98" s="1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93" i="97" l="1"/>
  <c r="BJ29" i="97" s="1"/>
  <c r="AY237" i="97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<sst xmlns="http://schemas.openxmlformats.org/spreadsheetml/2006/main" count="1865" uniqueCount="345">
  <si>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</si>
  <si>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</si>
  <si>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</si>
  <si>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</si>
  <si>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</si>
  <si>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</si>
  <si>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</si>
  <si>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</si>
  <si>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</si>
  <si>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</si>
  <si>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</si>
  <si>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</si>
  <si>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</si>
  <si>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</si>
  <si>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</si>
  <si>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</si>
  <si>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</si>
  <si>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</si>
  <si>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</si>
  <si>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</si>
  <si>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</si>
  <si>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</si>
  <si>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</si>
  <si>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</si>
  <si>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</si>
  <si>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</si>
  <si>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</si>
  <si>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</si>
  <si>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</si>
  <si>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</si>
  <si>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</si>
  <si>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</si>
  <si>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</si>
  <si>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</si>
  <si>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</si>
  <si>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</si>
  <si>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</si>
  <si>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</si>
  <si>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</si>
  <si>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</si>
  <si>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</si>
  <si>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</si>
  <si>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</si>
  <si>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</si>
  <si>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</si>
  <si>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</si>
  <si>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</si>
  <si>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</si>
  <si>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</si>
  <si>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</si>
  <si>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</si>
  <si>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</si>
  <si>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</si>
  <si>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</si>
  <si>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</si>
  <si>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</si>
  <si>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</si>
  <si>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</si>
  <si>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</si>
  <si>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</si>
  <si>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</si>
  <si>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</si>
  <si>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</si>
  <si>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</si>
  <si>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</si>
  <si>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</si>
  <si>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</si>
  <si>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</si>
  <si>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</si>
  <si>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</si>
  <si>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</si>
  <si>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</si>
  <si>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</si>
  <si>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</si>
  <si>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</si>
  <si>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</si>
  <si>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</si>
  <si>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</si>
  <si>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</si>
  <si>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</si>
  <si>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</si>
  <si>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</si>
  <si>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</si>
  <si>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</si>
  <si>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</si>
  <si>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</si>
  <si>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</si>
  <si>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</si>
  <si>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</si>
  <si>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</si>
  <si>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</si>
  <si>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</si>
  <si>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</si>
  <si>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</si>
  <si>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</si>
  <si>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</si>
  <si>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</si>
  <si>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</si>
  <si>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</si>
  <si>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</si>
  <si>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</si>
  <si>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</si>
  <si>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</si>
  <si>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</si>
  <si>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</si>
  <si>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</si>
  <si>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</si>
  <si>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</si>
  <si>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</si>
  <si>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</si>
  <si>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</si>
  <si>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</si>
  <si>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</si>
  <si>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</si>
  <si>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</si>
  <si>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</si>
  <si>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</si>
  <si>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</si>
  <si>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</si>
  <si>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</si>
  <si>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</si>
  <si>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</si>
  <si>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</si>
  <si>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</si>
  <si>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</si>
  <si>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</si>
  <si>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</si>
  <si>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</si>
  <si>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</si>
  <si>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</si>
  <si>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</si>
  <si>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</si>
  <si>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</si>
  <si>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</si>
  <si>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</si>
  <si>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</si>
  <si>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</si>
  <si>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</si>
  <si>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</si>
  <si>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</si>
  <si>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</si>
  <si>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</si>
  <si>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</si>
  <si>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</si>
  <si>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</si>
  <si>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</si>
  <si>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</si>
  <si>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</si>
  <si>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</si>
  <si>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</si>
  <si>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</si>
  <si>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</si>
  <si>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</si>
  <si>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</si>
  <si>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</si>
  <si>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</si>
  <si>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</si>
  <si>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</si>
  <si>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</si>
  <si>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</si>
  <si>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</si>
  <si>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</si>
  <si>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</si>
  <si>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</si>
  <si>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</si>
  <si>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</si>
  <si>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</si>
  <si>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</si>
  <si>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</si>
  <si>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</si>
  <si>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</si>
  <si>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</si>
  <si>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</si>
  <si>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</si>
  <si>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</si>
  <si>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</si>
  <si>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</si>
  <si>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</si>
  <si>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</si>
  <si>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</si>
  <si>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</si>
  <si>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</si>
  <si>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</si>
  <si>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</si>
  <si>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</si>
  <si>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</si>
  <si>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</si>
  <si>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</si>
  <si>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</si>
  <si>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</si>
  <si>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</si>
  <si>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</si>
  <si>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</si>
  <si>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</si>
  <si>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</si>
  <si>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</si>
  <si>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</si>
  <si>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</si>
  <si>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</si>
  <si>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</si>
  <si>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</si>
  <si>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</si>
  <si>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</si>
  <si>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</si>
  <si>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</si>
  <si>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</si>
  <si>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</si>
  <si>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</si>
  <si>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</si>
  <si>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</si>
  <si>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</si>
  <si>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</si>
  <si>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</si>
  <si>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</si>
  <si>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</si>
  <si>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</si>
  <si>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</si>
  <si>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</si>
  <si>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</si>
  <si>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</si>
  <si>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</si>
  <si>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</si>
  <si>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</si>
  <si>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</si>
  <si>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</si>
  <si>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</si>
  <si>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</si>
  <si>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</si>
  <si>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</si>
  <si>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</si>
  <si>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</si>
  <si>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</si>
  <si>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</si>
  <si>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</si>
  <si>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</si>
  <si>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</si>
  <si>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</si>
  <si>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</si>
  <si>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</si>
  <si>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</si>
  <si>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</si>
  <si>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</si>
  <si>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</si>
  <si>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</si>
  <si>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</si>
  <si>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</si>
  <si>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</si>
  <si>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</si>
  <si>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</si>
  <si>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</si>
  <si>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</si>
  <si>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</si>
  <si>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</si>
  <si>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</si>
  <si>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</si>
  <si>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</si>
  <si>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</si>
  <si>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</si>
  <si>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</si>
  <si>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</si>
  <si>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</si>
  <si>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</si>
  <si>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</si>
  <si>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</si>
  <si>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</si>
  <si>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</si>
  <si>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</si>
  <si>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29</t>
  </si>
  <si>
    <t>2019 Abril</t>
  </si>
  <si>
    <t>Precio ( €/MW)</t>
  </si>
  <si>
    <t>Potencia (MW) a subir</t>
  </si>
  <si>
    <t>Potencia (MW) a bajar</t>
  </si>
  <si>
    <t>(MW y €/MW)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</si>
  <si>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</si>
  <si>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</si>
  <si>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</si>
  <si>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</si>
  <si>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</si>
  <si>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</si>
  <si>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</si>
  <si>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</si>
  <si>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</si>
  <si>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</si>
  <si>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</si>
  <si>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</si>
  <si>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</si>
  <si>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</si>
  <si>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</si>
  <si>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</si>
  <si>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</si>
  <si>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</si>
  <si>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</si>
  <si>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</si>
  <si>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</si>
  <si>
    <t>ABR-20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</si>
  <si>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</si>
  <si>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</si>
  <si>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</si>
  <si>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</si>
  <si>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</si>
  <si>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</si>
  <si>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</si>
  <si>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</si>
  <si>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</si>
  <si>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</si>
  <si>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</si>
  <si>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</si>
  <si>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</si>
  <si>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</si>
  <si>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</si>
  <si>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</si>
  <si>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</si>
  <si>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</si>
  <si>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</si>
  <si>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</si>
  <si>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</si>
  <si>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</si>
  <si>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</si>
  <si>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</si>
  <si>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31</t>
  </si>
  <si>
    <t>2020 Octubre</t>
  </si>
  <si>
    <t>&lt;mi app="e" ver="22"&gt;&lt;rptloc guid="10f389a82f2f4ded8cc0ebe9e756dec3" rank="0" ds="1"&gt;&lt;ri hasPG="0" name="Liquidación por Segmentos" id="583F2E494C5430311274FA807F49FE83" path="Public Objects\Reports\Informes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ut="11/11/2020 16:37:49" si="2.000000016e3d8696aa33e9cf10e5d581afcc0cfda28b64f48db4cf8ce73f3cb8db615b65c8540a9343c934cefa6549fc4b828b884f011dbf1e57e0f40272f8182d2d8c96cdecc8302e59a981d57c12af87b116ea9f8c1cdfc91434333469204b087280ffa7ce893ebcbf76972a72057338c4fa37cb6138f35663b1776ce47e267899.8192.1.1.Europe/Madrid.upriv*_1*_pidn2*_4*_session*-lat*_1.000000018fba65bee26313c44e5963ef582aa3f1b5ee3e72527cef4f6ba04726ff361fb1d8073e1edfa722e745c84bc3dbb8c5eb90329db9.000000011be5e98309818b03405b4ec57ccf6254b5ee3e72d5df084d74c4b9622665d9e63eb7a25b5c25c6572adcabaab3b202b8c570f124.0.1.1.SIOSbi.A04572404A6ABF2446090B938515E87E.0-1033.1.1_-0.1.0_-1033.1.1_5.5.0.*0.00000001b6081ba3a24a71dfffdfa1308c661a71c911585a9c15e3f6462bfbee36da00cbbe606fd2.0.10*.25*.15*.214.23.10*.4*.0400*.0074J.e.00000001f3e149fd128e63815251608b9d821797c911585ab8013d1f476cc9f5f9f260a1d0761c63.0" msgID="3606429811EB243C37600080EFA5B280"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cols="7" /&gt;&lt;esdo ews="" ece="" ptn="" /&gt;&lt;/excel&gt;&lt;pgs&gt;&lt;pg rows="2" cols="6" nrr="90" nrc="553"&gt;&lt;pg /&gt;&lt;bls&gt;&lt;bl sr="1" sc="1" rfetch="2" cfetch="6" posid="1" darows="0" dacols="1"&gt;&lt;excel&gt;&lt;epo ews="Dat_01" ece="A259" enr="MSTR.Precio_por_segmentos_Desvíos" ptn="" qtn="" rows="5" cols="7" /&gt;&lt;esdo ews="" ece="" ptn="" /&gt;&lt;/excel&gt;&lt;gridRng&gt;&lt;sect id="TITLE_AREA" rngprop="1:1:3:1" /&gt;&lt;sect id="ROWHEADERS_AREA" rngprop="4:1:2:1" /&gt;&lt;sect id="COLUMNHEADERS_AREA" rngprop="1:2:3:6" /&gt;&lt;sect id="DATA_AREA" rngprop="4:2:2:6" /&gt;&lt;/gridRng&gt;&lt;shapes /&gt;&lt;/bl&gt;&lt;/bls&gt;&lt;/pg&gt;&lt;/pgs&gt;&lt;/rptloc&gt;&lt;/mi&gt;</t>
  </si>
  <si>
    <t>&lt;mi app="e" ver="22"&gt;&lt;rptloc guid="5913d7658c724940a2e6cf1a718b951d" rank="0" ds="1"&gt;&lt;ri hasPG="1" name="Precios Medios Ponderados Mensuales" id="932760E5464DE2BFBECEE5BB8D664643" path="Public Objects\Reports\Informes Específicos\Estadística\INFORMES MACROS\Office\Boletín\Precios Medios Ponderados Mensuales"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ut="11/11/2020 16:52:34" si="2.000000016e3d8696aa33e9cf10e5d581afcc0cfda28b64f48db4cf8ce73f3cb8db615b65c8540a9343c934cefa6549fc4b828b884f011dbf1e57e0f40272f8182d2d8c96cdecc8302e59a981d57c12af87b116ea9f8c1cdfc91434333469204b087280ffa7ce893ebcbf76972a72057338c4fa37cb6138f35663b1776ce47e267899.8192.1.1.Europe/Madrid.upriv*_1*_pidn2*_4*_session*-lat*_1.000000018fba65bee26313c44e5963ef582aa3f1b5ee3e72527cef4f6ba04726ff361fb1d8073e1edfa722e745c84bc3dbb8c5eb90329db9.000000011be5e98309818b03405b4ec57ccf6254b5ee3e72d5df084d74c4b9622665d9e63eb7a25b5c25c6572adcabaab3b202b8c570f124.0.1.1.SIOSbi.A04572404A6ABF2446090B938515E87E.0-1033.1.1_-0.1.0_-1033.1.1_5.5.0.*0.00000001b6081ba3a24a71dfffdfa1308c661a71c911585a9c15e3f6462bfbee36da00cbbe606fd2.0.10*.25*.15*.214.23.10*.4*.0400*.0074J.e.00000001f3e149fd128e63815251608b9d821797c911585ab8013d1f476cc9f5f9f260a1d0761c63.0" msgID="F3F2182611EB243D37600080EF25B27F"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cols="9" /&gt;&lt;esdo ews="" ece="" ptn="" /&gt;&lt;/excel&gt;&lt;pgs&gt;&lt;pg rows="1" cols="8" nrr="9" nrc="60"&gt;&lt;pg&gt;&lt;attEl aeid="HF:42CE103947CBD45E0B50E58D7EE89330:FFB4C0E047CD118F812AF3A02A4E48CC:42CE103947CBD45E0B50E58D7EE89330:47" aedn="RR" aen="Precios Medios Ponderados" /&gt;&lt;/pg&gt;&lt;bls&gt;&lt;bl sr="1" sc="1" rfetch="1" cfetch="8" posid="1" darows="1" dacols="1"&gt;&lt;excel&gt;&lt;epo ews="Dat_01" ece="A299" enr="MSTR.Precio_mensual_reserva_sustitución" ptn="" qtn="" rows="4" cols="9" /&gt;&lt;esdo ews="" ece="" ptn="" /&gt;&lt;/excel&gt;&lt;gridRng&gt;&lt;sect id="TITLE_AREA" rngprop="1:1:2:1" /&gt;&lt;sect id="ROWHEADERS_AREA" rngprop="3:1:1:0" /&gt;&lt;sect id="COLUMNHEADERS_AREA" rngprop="1:2:2:8" /&gt;&lt;sect id="DATA_AREA" rngprop="3:2:1:8" /&gt;&lt;/gridRng&gt;&lt;shapes /&gt;&lt;/bl&gt;&lt;/bls&gt;&lt;/pg&gt;&lt;/pgs&gt;&lt;/rptloc&gt;&lt;/mi&gt;</t>
  </si>
  <si>
    <t>OCT-20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</si>
  <si>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10:39:42"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msgID="7FB276BC11EB259C37600080EF65307B"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cols="29" /&gt;&lt;esdo ews="" ece="" ptn="" /&gt;&lt;/excel&gt;&lt;pgs&gt;&lt;pg rows="31" cols="28" nrr="1470" nrc="1327"&gt;&lt;pg /&gt;&lt;bls&gt;&lt;bl sr="1" sc="1" rfetch="31" cfetch="28" posid="1" darows="0" dacols="1"&gt;&lt;excel&gt;&lt;epo ews="Dat_01" ece="$A$4" enr="MSTR.Precio_Mercado_Diario" ptn="" qtn="" rows="35" cols="29" /&gt;&lt;esdo ews="" ece="" ptn="" /&gt;&lt;/excel&gt;&lt;gridRng&gt;&lt;sect id="TITLE_AREA" rngprop="1:1:4:1" /&gt;&lt;sect id="ROWHEADERS_AREA" rngprop="5:1:31:1" /&gt;&lt;sect id="COLUMNHEADERS_AREA" rngprop="1:2:4:28" /&gt;&lt;sect id="DATA_AREA" rngprop="5:2:31:28"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</si>
  <si>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12:15:31"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msgID="D9F8B21411EB25A937600080EFB5D17E"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nrr="240" nrc="96"&gt;&lt;pg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</si>
  <si>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Reg.Secu. a bajar (GWh)</t>
  </si>
  <si>
    <t>Reg.Secu. a subir (GWh)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</si>
  <si>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12:23:54"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msgID="058D103711EB25AB37600080EF65317D"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nrr="88" nrc="572"&gt;&lt;pg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</si>
  <si>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ut="11/13/2020 12:24:54"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msgID="0580F6FD11EB25AB37600080EF45F17D"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nrr="936" nrc="676"&gt;&lt;pg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</si>
  <si>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Reserva Asignada (MW)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</si>
  <si>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12:25:53"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msgID="3B1A31F211EB25AB37600080EF45F07B"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nrr="720" nrc="585"&gt;&lt;pg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</si>
  <si>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12:26:55"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msgID="0581131D11EB25AB37600080EFC5F27E"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nrr="135" nrc="585"&gt;&lt;pg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</si>
  <si>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12:27:59"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msgID="058BB40D11EB25AB37600080EF25B17D"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nrr="1496" nrc="572"&gt;&lt;pg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</si>
  <si>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12:31:11"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msgID="840A487011EB25AB37600080EF15917D"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nrr="767" nrc="611"&gt;&lt;pg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</si>
  <si>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12:32:16"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msgID="1C71483F11EB25AC37600080EF85707B"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nrr="82" nrc="533"&gt;&lt;pg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</si>
  <si>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R.Adi.Subir</t>
  </si>
  <si>
    <t>Balit</t>
  </si>
  <si>
    <t>Precio Medio Ponderado (€/MWh) según Medidas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</si>
  <si>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ut="11/13/2020 12:35:31"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msgID="A9C2400F11EB25AB37600080EF55117D"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nrr="486" nrc="351"&gt;&lt;pg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</si>
  <si>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12:38:56"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msgID="43557C0511EB25AC37600080EF959280"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nrr="84" nrc="546"&gt;&lt;pg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</si>
  <si>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Asignación Tiempo Real (MWh)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</si>
  <si>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12:42:12"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msgID="0596F2EB11EB25AB37600080EF45F27F"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nrr="1044" nrc="559"&gt;&lt;pg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</si>
  <si>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1b0762a8e5be4f6a831f3daf55795f75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</si>
  <si>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ut="11/13/2020 12:43:14" si="2.00000001285bd11a81c78312493ce6530d328cfc3709c4a8513549ba78c9ecf544d5dcb2a6e0e1d560860865d3cbacc27b779f01bd5b9cbe20d4ba4e61197ca8e5ae602ff0d454be1854fc6b42302650549b36c7676d581116ba8d4ea4b4c126bdfa5569bdc555a197e3c89f84ddaae0d85c6cb4285010e0ba082b801851f458dd77.3082.0.1.Europe/Madrid.upriv*_1*_pidn2*_7*_session*-lat*_1.00000001d75a73998f97b63a4d72c785465c46bbb5ee3e72bd152a5d066a5ec7a4a34b14b386c24f7341e224b648a94bc0878b08677f956f.000000014bfcf673a79a7630eede3627ad52d311b5ee3e72002a6438fe1ff9cd47fc07387a2146c5ace92a9207d9396f3458191edb957748.0.1.1.SIOSbi.A04572404A6ABF2446090B938515E87E.0-3082.1.1_-0.1.0_-3082.1.1_5.5.0.*0.00000001b79d1e176b9eec1c686e5eae042ec259c911585a64dcfb0acf3250f5281dae2adbb6b2e4.0.10*.25*.15*.214.23.10*.4*.0400*.0074J.e.00000001146c9de5fd639615bf95c5117d9c2ef7c911585a3141cf60dd30389c666703e4e1045783.0" msgID="5F4AFA2111EB25AB37600080EFE5317C"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nrr="1022" nrc="637"&gt;&lt;pg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</si>
</sst>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2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1" fillId="3" borderId="0" xfId="62" quotePrefix="1" applyBorder="1" applyAlignment="1">
      <alignment horizontal="center"/>
    </xf>
    <xf numFmtId="4" fontId="20" fillId="11" borderId="2" xfId="39" applyAlignment="1">
      <alignment horizontal="right" vertic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3" fontId="20" fillId="2" borderId="2" xfId="58" quotePrefix="1" applyAlignment="1">
      <alignment horizontal="right" vertical="center"/>
    </xf>
    <xf numFmtId="0" fontId="0" fillId="0" borderId="0" xfId="0" applyAlignment="1">
      <alignment wrapText="1"/>
    </xf>
    <xf numFmtId="164" fontId="39" fillId="5" borderId="0" xfId="20" applyNumberFormat="1" applyFont="1" applyFill="1"/>
    <xf numFmtId="0" fontId="21" fillId="3" borderId="2" xfId="62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7" xfId="62" quotePrefix="1" applyBorder="1" applyAlignment="1">
      <alignment horizontal="center"/>
    </xf>
    <xf numFmtId="0" fontId="73" fillId="17" borderId="0" xfId="0" applyFont="1" applyFill="1" applyAlignment="1">
      <alignment horizontal="center" vertical="center" wrapText="1"/>
    </xf>
    <xf numFmtId="0" fontId="21" fillId="3" borderId="2" xfId="62" applyAlignment="1">
      <alignment horizont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2C4D75"/>
      <color rgb="FFEE6112"/>
      <color rgb="FF004563"/>
      <color rgb="FFA99BBD"/>
      <color rgb="FF70303C"/>
      <color rgb="FFFFC000"/>
      <color rgb="FF993300"/>
      <color rgb="FFCFA2CA"/>
      <color rgb="FFCFA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54.83</c:v>
                </c:pt>
                <c:pt idx="1">
                  <c:v>40</c:v>
                </c:pt>
                <c:pt idx="2">
                  <c:v>39.72</c:v>
                </c:pt>
                <c:pt idx="3">
                  <c:v>36</c:v>
                </c:pt>
                <c:pt idx="4">
                  <c:v>55.23</c:v>
                </c:pt>
                <c:pt idx="5">
                  <c:v>52.99</c:v>
                </c:pt>
                <c:pt idx="6">
                  <c:v>53</c:v>
                </c:pt>
                <c:pt idx="7">
                  <c:v>52.39</c:v>
                </c:pt>
                <c:pt idx="8">
                  <c:v>59.3</c:v>
                </c:pt>
                <c:pt idx="9">
                  <c:v>43.06</c:v>
                </c:pt>
                <c:pt idx="10">
                  <c:v>44.91</c:v>
                </c:pt>
                <c:pt idx="11">
                  <c:v>53.49</c:v>
                </c:pt>
                <c:pt idx="12">
                  <c:v>50.9</c:v>
                </c:pt>
                <c:pt idx="13">
                  <c:v>51.69</c:v>
                </c:pt>
                <c:pt idx="14">
                  <c:v>50.34</c:v>
                </c:pt>
                <c:pt idx="15">
                  <c:v>54.08</c:v>
                </c:pt>
                <c:pt idx="16">
                  <c:v>50.46</c:v>
                </c:pt>
                <c:pt idx="17">
                  <c:v>49.6</c:v>
                </c:pt>
                <c:pt idx="18">
                  <c:v>48.2</c:v>
                </c:pt>
                <c:pt idx="19">
                  <c:v>45.67</c:v>
                </c:pt>
                <c:pt idx="20">
                  <c:v>49.77</c:v>
                </c:pt>
                <c:pt idx="21">
                  <c:v>56.63</c:v>
                </c:pt>
                <c:pt idx="22">
                  <c:v>54.05</c:v>
                </c:pt>
                <c:pt idx="23">
                  <c:v>41.33</c:v>
                </c:pt>
                <c:pt idx="24">
                  <c:v>39.049999999999997</c:v>
                </c:pt>
                <c:pt idx="25">
                  <c:v>49.5</c:v>
                </c:pt>
                <c:pt idx="26">
                  <c:v>47.69</c:v>
                </c:pt>
                <c:pt idx="27">
                  <c:v>52.61</c:v>
                </c:pt>
                <c:pt idx="28">
                  <c:v>50.1</c:v>
                </c:pt>
                <c:pt idx="29">
                  <c:v>49</c:v>
                </c:pt>
                <c:pt idx="30">
                  <c:v>44.83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29.75</c:v>
                </c:pt>
                <c:pt idx="1">
                  <c:v>16.55</c:v>
                </c:pt>
                <c:pt idx="2">
                  <c:v>11.3</c:v>
                </c:pt>
                <c:pt idx="3">
                  <c:v>2.5</c:v>
                </c:pt>
                <c:pt idx="4">
                  <c:v>14.2</c:v>
                </c:pt>
                <c:pt idx="5">
                  <c:v>31.94</c:v>
                </c:pt>
                <c:pt idx="6">
                  <c:v>34.21</c:v>
                </c:pt>
                <c:pt idx="7">
                  <c:v>35.020000000000003</c:v>
                </c:pt>
                <c:pt idx="8">
                  <c:v>33.54</c:v>
                </c:pt>
                <c:pt idx="9">
                  <c:v>26.25</c:v>
                </c:pt>
                <c:pt idx="10">
                  <c:v>20</c:v>
                </c:pt>
                <c:pt idx="11">
                  <c:v>28.72</c:v>
                </c:pt>
                <c:pt idx="12">
                  <c:v>31.58</c:v>
                </c:pt>
                <c:pt idx="13">
                  <c:v>27.5</c:v>
                </c:pt>
                <c:pt idx="14">
                  <c:v>29.78</c:v>
                </c:pt>
                <c:pt idx="15">
                  <c:v>33.020000000000003</c:v>
                </c:pt>
                <c:pt idx="16">
                  <c:v>36.1</c:v>
                </c:pt>
                <c:pt idx="17">
                  <c:v>31.5</c:v>
                </c:pt>
                <c:pt idx="18">
                  <c:v>21.64</c:v>
                </c:pt>
                <c:pt idx="19">
                  <c:v>24.8</c:v>
                </c:pt>
                <c:pt idx="20">
                  <c:v>22.2</c:v>
                </c:pt>
                <c:pt idx="21">
                  <c:v>32.68</c:v>
                </c:pt>
                <c:pt idx="22">
                  <c:v>34.35</c:v>
                </c:pt>
                <c:pt idx="23">
                  <c:v>24.02</c:v>
                </c:pt>
                <c:pt idx="24">
                  <c:v>1.95</c:v>
                </c:pt>
                <c:pt idx="25">
                  <c:v>18.8</c:v>
                </c:pt>
                <c:pt idx="26">
                  <c:v>28.04</c:v>
                </c:pt>
                <c:pt idx="27">
                  <c:v>32.6</c:v>
                </c:pt>
                <c:pt idx="28">
                  <c:v>39</c:v>
                </c:pt>
                <c:pt idx="29">
                  <c:v>36.020000000000003</c:v>
                </c:pt>
                <c:pt idx="30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42.255346638699997</c:v>
                </c:pt>
                <c:pt idx="1">
                  <c:v>24.890652486600001</c:v>
                </c:pt>
                <c:pt idx="2">
                  <c:v>18.551581004199999</c:v>
                </c:pt>
                <c:pt idx="3">
                  <c:v>14.0699051215</c:v>
                </c:pt>
                <c:pt idx="4">
                  <c:v>36.319475247299998</c:v>
                </c:pt>
                <c:pt idx="5">
                  <c:v>41.288729326000002</c:v>
                </c:pt>
                <c:pt idx="6">
                  <c:v>43.1387263648</c:v>
                </c:pt>
                <c:pt idx="7">
                  <c:v>43.8743596156</c:v>
                </c:pt>
                <c:pt idx="8">
                  <c:v>44.750890073699999</c:v>
                </c:pt>
                <c:pt idx="9">
                  <c:v>32.273489057799999</c:v>
                </c:pt>
                <c:pt idx="10">
                  <c:v>27.4260712494</c:v>
                </c:pt>
                <c:pt idx="11">
                  <c:v>38.811338987699997</c:v>
                </c:pt>
                <c:pt idx="12">
                  <c:v>40.859394808499999</c:v>
                </c:pt>
                <c:pt idx="13">
                  <c:v>36.737749987100003</c:v>
                </c:pt>
                <c:pt idx="14">
                  <c:v>39.804501791900002</c:v>
                </c:pt>
                <c:pt idx="15">
                  <c:v>43.911734682400002</c:v>
                </c:pt>
                <c:pt idx="16">
                  <c:v>42.503396618399996</c:v>
                </c:pt>
                <c:pt idx="17">
                  <c:v>40.209391799899997</c:v>
                </c:pt>
                <c:pt idx="18">
                  <c:v>35.410663984700001</c:v>
                </c:pt>
                <c:pt idx="19">
                  <c:v>36.385845916900003</c:v>
                </c:pt>
                <c:pt idx="20">
                  <c:v>36.8822025176</c:v>
                </c:pt>
                <c:pt idx="21">
                  <c:v>46.250200271600001</c:v>
                </c:pt>
                <c:pt idx="22">
                  <c:v>46.002050755200003</c:v>
                </c:pt>
                <c:pt idx="23">
                  <c:v>31.9804827916</c:v>
                </c:pt>
                <c:pt idx="24">
                  <c:v>15.1529604885</c:v>
                </c:pt>
                <c:pt idx="25">
                  <c:v>34.711645095199998</c:v>
                </c:pt>
                <c:pt idx="26">
                  <c:v>40.480273391099999</c:v>
                </c:pt>
                <c:pt idx="27">
                  <c:v>44.188562878500001</c:v>
                </c:pt>
                <c:pt idx="28">
                  <c:v>45.262165739399997</c:v>
                </c:pt>
                <c:pt idx="29">
                  <c:v>41.490357750299999</c:v>
                </c:pt>
                <c:pt idx="30">
                  <c:v>35.647252335399997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498.52885906040001</c:v>
                </c:pt>
                <c:pt idx="1">
                  <c:v>503.2638888889</c:v>
                </c:pt>
                <c:pt idx="2">
                  <c:v>498.48790322579998</c:v>
                </c:pt>
                <c:pt idx="3">
                  <c:v>495.1720430108</c:v>
                </c:pt>
                <c:pt idx="4">
                  <c:v>496.26436781609999</c:v>
                </c:pt>
                <c:pt idx="5">
                  <c:v>496.17631224759998</c:v>
                </c:pt>
                <c:pt idx="6">
                  <c:v>490.24861111109999</c:v>
                </c:pt>
                <c:pt idx="7">
                  <c:v>488.13844086019998</c:v>
                </c:pt>
                <c:pt idx="8">
                  <c:v>485.04722222219999</c:v>
                </c:pt>
                <c:pt idx="9">
                  <c:v>485.73118279570002</c:v>
                </c:pt>
                <c:pt idx="10">
                  <c:v>489.15725806450001</c:v>
                </c:pt>
                <c:pt idx="11">
                  <c:v>487.00972222220003</c:v>
                </c:pt>
                <c:pt idx="12">
                  <c:v>490.332885906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76.272752999999994</c:v>
                </c:pt>
                <c:pt idx="1">
                  <c:v>79.309334000000007</c:v>
                </c:pt>
                <c:pt idx="2">
                  <c:v>114.384942</c:v>
                </c:pt>
                <c:pt idx="3">
                  <c:v>78.584890000000001</c:v>
                </c:pt>
                <c:pt idx="4">
                  <c:v>104.664981</c:v>
                </c:pt>
                <c:pt idx="5">
                  <c:v>123.158113</c:v>
                </c:pt>
                <c:pt idx="6">
                  <c:v>144.862315</c:v>
                </c:pt>
                <c:pt idx="7">
                  <c:v>120.89386399999999</c:v>
                </c:pt>
                <c:pt idx="8">
                  <c:v>102.75619500000001</c:v>
                </c:pt>
                <c:pt idx="9">
                  <c:v>75.578515999999993</c:v>
                </c:pt>
                <c:pt idx="10">
                  <c:v>89.481482999999997</c:v>
                </c:pt>
                <c:pt idx="11">
                  <c:v>86.928173000000001</c:v>
                </c:pt>
                <c:pt idx="12">
                  <c:v>102.214063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50.179593491299997</c:v>
                </c:pt>
                <c:pt idx="1">
                  <c:v>46.350588822200002</c:v>
                </c:pt>
                <c:pt idx="2">
                  <c:v>35.809814197400001</c:v>
                </c:pt>
                <c:pt idx="3">
                  <c:v>44.908773556900002</c:v>
                </c:pt>
                <c:pt idx="4">
                  <c:v>38.5221324408</c:v>
                </c:pt>
                <c:pt idx="5">
                  <c:v>32.614345674500001</c:v>
                </c:pt>
                <c:pt idx="6">
                  <c:v>22.2030908453</c:v>
                </c:pt>
                <c:pt idx="7">
                  <c:v>23.175307143800001</c:v>
                </c:pt>
                <c:pt idx="8">
                  <c:v>34.681040398599997</c:v>
                </c:pt>
                <c:pt idx="9">
                  <c:v>38.7775060309</c:v>
                </c:pt>
                <c:pt idx="10">
                  <c:v>38.595920901299998</c:v>
                </c:pt>
                <c:pt idx="11">
                  <c:v>42.414120448600002</c:v>
                </c:pt>
                <c:pt idx="12">
                  <c:v>39.1541967175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153.81776099999999</c:v>
                </c:pt>
                <c:pt idx="1">
                  <c:v>149.51709099999999</c:v>
                </c:pt>
                <c:pt idx="2">
                  <c:v>128.77504999999999</c:v>
                </c:pt>
                <c:pt idx="3">
                  <c:v>156.61495199999999</c:v>
                </c:pt>
                <c:pt idx="4">
                  <c:v>110.919667</c:v>
                </c:pt>
                <c:pt idx="5">
                  <c:v>115.19556900000001</c:v>
                </c:pt>
                <c:pt idx="6">
                  <c:v>85.375321999999997</c:v>
                </c:pt>
                <c:pt idx="7">
                  <c:v>101.92267200000001</c:v>
                </c:pt>
                <c:pt idx="8">
                  <c:v>123.13703099999999</c:v>
                </c:pt>
                <c:pt idx="9">
                  <c:v>178.97455400000001</c:v>
                </c:pt>
                <c:pt idx="10">
                  <c:v>167.32082800000001</c:v>
                </c:pt>
                <c:pt idx="11">
                  <c:v>170.78920400000001</c:v>
                </c:pt>
                <c:pt idx="12">
                  <c:v>141.31985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37.896432389200001</c:v>
                </c:pt>
                <c:pt idx="1">
                  <c:v>35.808596891400001</c:v>
                </c:pt>
                <c:pt idx="2">
                  <c:v>29.499786643499998</c:v>
                </c:pt>
                <c:pt idx="3">
                  <c:v>36.986360982999997</c:v>
                </c:pt>
                <c:pt idx="4">
                  <c:v>27.985248008399999</c:v>
                </c:pt>
                <c:pt idx="5">
                  <c:v>21.560182145500001</c:v>
                </c:pt>
                <c:pt idx="6">
                  <c:v>11.765537587100001</c:v>
                </c:pt>
                <c:pt idx="7">
                  <c:v>17.574793466999999</c:v>
                </c:pt>
                <c:pt idx="8">
                  <c:v>25.900861049700001</c:v>
                </c:pt>
                <c:pt idx="9">
                  <c:v>28.7260205157</c:v>
                </c:pt>
                <c:pt idx="10">
                  <c:v>29.100856350099999</c:v>
                </c:pt>
                <c:pt idx="11">
                  <c:v>34.666283473</c:v>
                </c:pt>
                <c:pt idx="12">
                  <c:v>28.510194993799999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1567.5</c:v>
                </c:pt>
                <c:pt idx="1">
                  <c:v>1032.3</c:v>
                </c:pt>
                <c:pt idx="2">
                  <c:v>528.1</c:v>
                </c:pt>
                <c:pt idx="3">
                  <c:v>543.5</c:v>
                </c:pt>
                <c:pt idx="4">
                  <c:v>538.4</c:v>
                </c:pt>
                <c:pt idx="5">
                  <c:v>386.4</c:v>
                </c:pt>
                <c:pt idx="6">
                  <c:v>97.2</c:v>
                </c:pt>
                <c:pt idx="7">
                  <c:v>18.3</c:v>
                </c:pt>
                <c:pt idx="8">
                  <c:v>76.599999999999994</c:v>
                </c:pt>
                <c:pt idx="9">
                  <c:v>1</c:v>
                </c:pt>
                <c:pt idx="10">
                  <c:v>0.8</c:v>
                </c:pt>
                <c:pt idx="11">
                  <c:v>48.5</c:v>
                </c:pt>
                <c:pt idx="12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27564.7</c:v>
                </c:pt>
                <c:pt idx="1">
                  <c:v>9659.7999999999993</c:v>
                </c:pt>
                <c:pt idx="2">
                  <c:v>11341.1</c:v>
                </c:pt>
                <c:pt idx="3">
                  <c:v>9049.7999999999993</c:v>
                </c:pt>
                <c:pt idx="4">
                  <c:v>12495.4</c:v>
                </c:pt>
                <c:pt idx="5">
                  <c:v>15979.9</c:v>
                </c:pt>
                <c:pt idx="6">
                  <c:v>8073.6</c:v>
                </c:pt>
                <c:pt idx="7">
                  <c:v>6034.6</c:v>
                </c:pt>
                <c:pt idx="8">
                  <c:v>8592.1</c:v>
                </c:pt>
                <c:pt idx="9">
                  <c:v>9886.9</c:v>
                </c:pt>
                <c:pt idx="10">
                  <c:v>22172.7</c:v>
                </c:pt>
                <c:pt idx="11">
                  <c:v>18683.2</c:v>
                </c:pt>
                <c:pt idx="12">
                  <c:v>20171.400000000001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0</c:v>
                </c:pt>
                <c:pt idx="1">
                  <c:v>141</c:v>
                </c:pt>
                <c:pt idx="2">
                  <c:v>86.5</c:v>
                </c:pt>
                <c:pt idx="3">
                  <c:v>14.2</c:v>
                </c:pt>
                <c:pt idx="4">
                  <c:v>57.7</c:v>
                </c:pt>
                <c:pt idx="5">
                  <c:v>321.7</c:v>
                </c:pt>
                <c:pt idx="6">
                  <c:v>752.2</c:v>
                </c:pt>
                <c:pt idx="7">
                  <c:v>724.9</c:v>
                </c:pt>
                <c:pt idx="8">
                  <c:v>398.7</c:v>
                </c:pt>
                <c:pt idx="9">
                  <c:v>142.6</c:v>
                </c:pt>
                <c:pt idx="10">
                  <c:v>585.5</c:v>
                </c:pt>
                <c:pt idx="11">
                  <c:v>429.6</c:v>
                </c:pt>
                <c:pt idx="12">
                  <c:v>982.8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11468.6</c:v>
                </c:pt>
                <c:pt idx="1">
                  <c:v>22022.6</c:v>
                </c:pt>
                <c:pt idx="2">
                  <c:v>27911.200000000001</c:v>
                </c:pt>
                <c:pt idx="3">
                  <c:v>19673</c:v>
                </c:pt>
                <c:pt idx="4">
                  <c:v>35793.199999999997</c:v>
                </c:pt>
                <c:pt idx="5">
                  <c:v>82837</c:v>
                </c:pt>
                <c:pt idx="6">
                  <c:v>70876</c:v>
                </c:pt>
                <c:pt idx="7">
                  <c:v>39295.9</c:v>
                </c:pt>
                <c:pt idx="8">
                  <c:v>24576</c:v>
                </c:pt>
                <c:pt idx="9">
                  <c:v>26857.1</c:v>
                </c:pt>
                <c:pt idx="10">
                  <c:v>40530.6</c:v>
                </c:pt>
                <c:pt idx="11">
                  <c:v>27697.3</c:v>
                </c:pt>
                <c:pt idx="12">
                  <c:v>40815.4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4269.6000000000004</c:v>
                </c:pt>
                <c:pt idx="1">
                  <c:v>10965.1</c:v>
                </c:pt>
                <c:pt idx="2">
                  <c:v>31665.4</c:v>
                </c:pt>
                <c:pt idx="3">
                  <c:v>6854.8</c:v>
                </c:pt>
                <c:pt idx="4">
                  <c:v>3820.7</c:v>
                </c:pt>
                <c:pt idx="5">
                  <c:v>28654.5</c:v>
                </c:pt>
                <c:pt idx="6">
                  <c:v>37936.300000000003</c:v>
                </c:pt>
                <c:pt idx="7">
                  <c:v>19044.2</c:v>
                </c:pt>
                <c:pt idx="8">
                  <c:v>5144.6000000000004</c:v>
                </c:pt>
                <c:pt idx="9">
                  <c:v>2569.3000000000002</c:v>
                </c:pt>
                <c:pt idx="10">
                  <c:v>9585.7000000000007</c:v>
                </c:pt>
                <c:pt idx="11">
                  <c:v>11818.5</c:v>
                </c:pt>
                <c:pt idx="12">
                  <c:v>28187.3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3292.2</c:v>
                </c:pt>
                <c:pt idx="1">
                  <c:v>5345.6</c:v>
                </c:pt>
                <c:pt idx="2">
                  <c:v>5608.2</c:v>
                </c:pt>
                <c:pt idx="3">
                  <c:v>10347.799999999999</c:v>
                </c:pt>
                <c:pt idx="4">
                  <c:v>8168.3</c:v>
                </c:pt>
                <c:pt idx="5">
                  <c:v>22332.5</c:v>
                </c:pt>
                <c:pt idx="6">
                  <c:v>14340.4</c:v>
                </c:pt>
                <c:pt idx="7">
                  <c:v>12773.5</c:v>
                </c:pt>
                <c:pt idx="8">
                  <c:v>6431.8</c:v>
                </c:pt>
                <c:pt idx="9">
                  <c:v>2887.6</c:v>
                </c:pt>
                <c:pt idx="10">
                  <c:v>6785.6</c:v>
                </c:pt>
                <c:pt idx="11">
                  <c:v>8778.9</c:v>
                </c:pt>
                <c:pt idx="12">
                  <c:v>8723.5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22.6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128.69999999999999</c:v>
                </c:pt>
                <c:pt idx="10">
                  <c:v>0</c:v>
                </c:pt>
                <c:pt idx="11">
                  <c:v>227.5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125.3</c:v>
                </c:pt>
                <c:pt idx="1">
                  <c:v>8.3000000000000007</c:v>
                </c:pt>
                <c:pt idx="2">
                  <c:v>173.7</c:v>
                </c:pt>
                <c:pt idx="3">
                  <c:v>7.7</c:v>
                </c:pt>
                <c:pt idx="4">
                  <c:v>265.3</c:v>
                </c:pt>
                <c:pt idx="5">
                  <c:v>917.9</c:v>
                </c:pt>
                <c:pt idx="6">
                  <c:v>1671.6</c:v>
                </c:pt>
                <c:pt idx="7">
                  <c:v>691.1</c:v>
                </c:pt>
                <c:pt idx="8">
                  <c:v>324</c:v>
                </c:pt>
                <c:pt idx="9">
                  <c:v>129.9</c:v>
                </c:pt>
                <c:pt idx="10">
                  <c:v>88.9</c:v>
                </c:pt>
                <c:pt idx="11">
                  <c:v>47.7</c:v>
                </c:pt>
                <c:pt idx="12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79.599999999999994</c:v>
                </c:pt>
                <c:pt idx="7">
                  <c:v>39.5</c:v>
                </c:pt>
                <c:pt idx="8">
                  <c:v>34.6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6.4</c:v>
                </c:pt>
                <c:pt idx="7">
                  <c:v>82.2</c:v>
                </c:pt>
                <c:pt idx="8">
                  <c:v>38.700000000000003</c:v>
                </c:pt>
                <c:pt idx="9">
                  <c:v>0</c:v>
                </c:pt>
                <c:pt idx="10">
                  <c:v>0</c:v>
                </c:pt>
                <c:pt idx="11">
                  <c:v>6.7</c:v>
                </c:pt>
                <c:pt idx="12">
                  <c:v>12.6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3130.6</c:v>
                </c:pt>
                <c:pt idx="1">
                  <c:v>1780.7</c:v>
                </c:pt>
                <c:pt idx="2">
                  <c:v>6026.2</c:v>
                </c:pt>
                <c:pt idx="3">
                  <c:v>2307.6</c:v>
                </c:pt>
                <c:pt idx="4">
                  <c:v>3575.3</c:v>
                </c:pt>
                <c:pt idx="5">
                  <c:v>12258.3</c:v>
                </c:pt>
                <c:pt idx="6">
                  <c:v>17035.3</c:v>
                </c:pt>
                <c:pt idx="7">
                  <c:v>5747.6</c:v>
                </c:pt>
                <c:pt idx="8">
                  <c:v>3246.7</c:v>
                </c:pt>
                <c:pt idx="9">
                  <c:v>2875.8</c:v>
                </c:pt>
                <c:pt idx="10">
                  <c:v>6008</c:v>
                </c:pt>
                <c:pt idx="11">
                  <c:v>9356.6</c:v>
                </c:pt>
                <c:pt idx="12">
                  <c:v>7047.9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32.376397600099999</c:v>
                </c:pt>
                <c:pt idx="1">
                  <c:v>26.9131393935</c:v>
                </c:pt>
                <c:pt idx="2">
                  <c:v>14.5645464766</c:v>
                </c:pt>
                <c:pt idx="3">
                  <c:v>30.039364250999999</c:v>
                </c:pt>
                <c:pt idx="4">
                  <c:v>21.994219051999998</c:v>
                </c:pt>
                <c:pt idx="5">
                  <c:v>16.0766152966</c:v>
                </c:pt>
                <c:pt idx="6">
                  <c:v>6.9169248604</c:v>
                </c:pt>
                <c:pt idx="7">
                  <c:v>9.9078850529999993</c:v>
                </c:pt>
                <c:pt idx="8">
                  <c:v>15.037596134599999</c:v>
                </c:pt>
                <c:pt idx="9">
                  <c:v>22.721473034700001</c:v>
                </c:pt>
                <c:pt idx="10">
                  <c:v>23.3057373207</c:v>
                </c:pt>
                <c:pt idx="11">
                  <c:v>25.5109853491</c:v>
                </c:pt>
                <c:pt idx="12">
                  <c:v>18.9721029695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1718.2</c:v>
                </c:pt>
                <c:pt idx="1">
                  <c:v>1857.3</c:v>
                </c:pt>
                <c:pt idx="2">
                  <c:v>554</c:v>
                </c:pt>
                <c:pt idx="3">
                  <c:v>1376.4</c:v>
                </c:pt>
                <c:pt idx="4">
                  <c:v>1350.5</c:v>
                </c:pt>
                <c:pt idx="5">
                  <c:v>2245.9</c:v>
                </c:pt>
                <c:pt idx="6">
                  <c:v>0</c:v>
                </c:pt>
                <c:pt idx="7">
                  <c:v>0</c:v>
                </c:pt>
                <c:pt idx="8">
                  <c:v>82.3</c:v>
                </c:pt>
                <c:pt idx="9">
                  <c:v>41</c:v>
                </c:pt>
                <c:pt idx="10">
                  <c:v>6.7</c:v>
                </c:pt>
                <c:pt idx="11">
                  <c:v>54.7</c:v>
                </c:pt>
                <c:pt idx="12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35506.1</c:v>
                </c:pt>
                <c:pt idx="1">
                  <c:v>40203.9</c:v>
                </c:pt>
                <c:pt idx="2">
                  <c:v>31978.799999999999</c:v>
                </c:pt>
                <c:pt idx="3">
                  <c:v>38547.199999999997</c:v>
                </c:pt>
                <c:pt idx="4">
                  <c:v>27202.400000000001</c:v>
                </c:pt>
                <c:pt idx="5">
                  <c:v>47824.7</c:v>
                </c:pt>
                <c:pt idx="6">
                  <c:v>14386.3</c:v>
                </c:pt>
                <c:pt idx="7">
                  <c:v>31710.799999999999</c:v>
                </c:pt>
                <c:pt idx="8">
                  <c:v>46358.8</c:v>
                </c:pt>
                <c:pt idx="9">
                  <c:v>51366.400000000001</c:v>
                </c:pt>
                <c:pt idx="10">
                  <c:v>48088.1</c:v>
                </c:pt>
                <c:pt idx="11">
                  <c:v>60777.7</c:v>
                </c:pt>
                <c:pt idx="12">
                  <c:v>65427.4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18</c:v>
                </c:pt>
                <c:pt idx="1">
                  <c:v>0</c:v>
                </c:pt>
                <c:pt idx="2">
                  <c:v>44.6</c:v>
                </c:pt>
                <c:pt idx="3">
                  <c:v>103.6</c:v>
                </c:pt>
                <c:pt idx="4">
                  <c:v>33.6</c:v>
                </c:pt>
                <c:pt idx="5">
                  <c:v>73.5</c:v>
                </c:pt>
                <c:pt idx="6">
                  <c:v>255.3</c:v>
                </c:pt>
                <c:pt idx="7">
                  <c:v>991.1</c:v>
                </c:pt>
                <c:pt idx="8">
                  <c:v>1092.0999999999999</c:v>
                </c:pt>
                <c:pt idx="9">
                  <c:v>1567</c:v>
                </c:pt>
                <c:pt idx="10">
                  <c:v>1369.2</c:v>
                </c:pt>
                <c:pt idx="11">
                  <c:v>1507.9</c:v>
                </c:pt>
                <c:pt idx="12">
                  <c:v>840.9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2744.7</c:v>
                </c:pt>
                <c:pt idx="1">
                  <c:v>7774.6</c:v>
                </c:pt>
                <c:pt idx="2">
                  <c:v>9751.2999999999993</c:v>
                </c:pt>
                <c:pt idx="3">
                  <c:v>9542.6</c:v>
                </c:pt>
                <c:pt idx="4">
                  <c:v>5812.5</c:v>
                </c:pt>
                <c:pt idx="5">
                  <c:v>18946.099999999999</c:v>
                </c:pt>
                <c:pt idx="6">
                  <c:v>14671.4</c:v>
                </c:pt>
                <c:pt idx="7">
                  <c:v>13782.9</c:v>
                </c:pt>
                <c:pt idx="8">
                  <c:v>7553.9</c:v>
                </c:pt>
                <c:pt idx="9">
                  <c:v>17926.2</c:v>
                </c:pt>
                <c:pt idx="10">
                  <c:v>5986.6</c:v>
                </c:pt>
                <c:pt idx="11">
                  <c:v>6085.9</c:v>
                </c:pt>
                <c:pt idx="12">
                  <c:v>8534.6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5556.7</c:v>
                </c:pt>
                <c:pt idx="1">
                  <c:v>6415.7</c:v>
                </c:pt>
                <c:pt idx="2">
                  <c:v>18898.5</c:v>
                </c:pt>
                <c:pt idx="3">
                  <c:v>5736.2</c:v>
                </c:pt>
                <c:pt idx="4">
                  <c:v>3281.1</c:v>
                </c:pt>
                <c:pt idx="5">
                  <c:v>4359.7</c:v>
                </c:pt>
                <c:pt idx="6">
                  <c:v>3599.9</c:v>
                </c:pt>
                <c:pt idx="7">
                  <c:v>4057.5</c:v>
                </c:pt>
                <c:pt idx="8">
                  <c:v>5342.6</c:v>
                </c:pt>
                <c:pt idx="9">
                  <c:v>6971.2</c:v>
                </c:pt>
                <c:pt idx="10">
                  <c:v>4572.8999999999996</c:v>
                </c:pt>
                <c:pt idx="11">
                  <c:v>3725.9</c:v>
                </c:pt>
                <c:pt idx="12">
                  <c:v>4755.7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31702.3</c:v>
                </c:pt>
                <c:pt idx="1">
                  <c:v>35320.400000000001</c:v>
                </c:pt>
                <c:pt idx="2">
                  <c:v>13540.8</c:v>
                </c:pt>
                <c:pt idx="3">
                  <c:v>43797.8</c:v>
                </c:pt>
                <c:pt idx="4">
                  <c:v>20532.5</c:v>
                </c:pt>
                <c:pt idx="5">
                  <c:v>35788.800000000003</c:v>
                </c:pt>
                <c:pt idx="6">
                  <c:v>14970.4</c:v>
                </c:pt>
                <c:pt idx="7">
                  <c:v>31461.1</c:v>
                </c:pt>
                <c:pt idx="8">
                  <c:v>71363.3</c:v>
                </c:pt>
                <c:pt idx="9">
                  <c:v>53578.6</c:v>
                </c:pt>
                <c:pt idx="10">
                  <c:v>35455.599999999999</c:v>
                </c:pt>
                <c:pt idx="11">
                  <c:v>28681.9</c:v>
                </c:pt>
                <c:pt idx="12">
                  <c:v>24804.7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90</c:v>
                </c:pt>
                <c:pt idx="2">
                  <c:v>366.6</c:v>
                </c:pt>
                <c:pt idx="3">
                  <c:v>0.3</c:v>
                </c:pt>
                <c:pt idx="4">
                  <c:v>140</c:v>
                </c:pt>
                <c:pt idx="5">
                  <c:v>0</c:v>
                </c:pt>
                <c:pt idx="6">
                  <c:v>0</c:v>
                </c:pt>
                <c:pt idx="7">
                  <c:v>16.399999999999999</c:v>
                </c:pt>
                <c:pt idx="8">
                  <c:v>488.9</c:v>
                </c:pt>
                <c:pt idx="9">
                  <c:v>144</c:v>
                </c:pt>
                <c:pt idx="10">
                  <c:v>0</c:v>
                </c:pt>
                <c:pt idx="11">
                  <c:v>75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103.7</c:v>
                </c:pt>
                <c:pt idx="5">
                  <c:v>674.6</c:v>
                </c:pt>
                <c:pt idx="6">
                  <c:v>474.6</c:v>
                </c:pt>
                <c:pt idx="7">
                  <c:v>257</c:v>
                </c:pt>
                <c:pt idx="8">
                  <c:v>0.6</c:v>
                </c:pt>
                <c:pt idx="9">
                  <c:v>24.9</c:v>
                </c:pt>
                <c:pt idx="10">
                  <c:v>107.3</c:v>
                </c:pt>
                <c:pt idx="11">
                  <c:v>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4.8</c:v>
                </c:pt>
                <c:pt idx="2">
                  <c:v>2.1</c:v>
                </c:pt>
                <c:pt idx="3">
                  <c:v>1.3</c:v>
                </c:pt>
                <c:pt idx="4">
                  <c:v>7.4</c:v>
                </c:pt>
                <c:pt idx="5">
                  <c:v>8.1999999999999993</c:v>
                </c:pt>
                <c:pt idx="6">
                  <c:v>1.7</c:v>
                </c:pt>
                <c:pt idx="7">
                  <c:v>5.9</c:v>
                </c:pt>
                <c:pt idx="8">
                  <c:v>15.1</c:v>
                </c:pt>
                <c:pt idx="9">
                  <c:v>30.8</c:v>
                </c:pt>
                <c:pt idx="10">
                  <c:v>13.8</c:v>
                </c:pt>
                <c:pt idx="11">
                  <c:v>25.7</c:v>
                </c:pt>
                <c:pt idx="12">
                  <c:v>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21165.200000000001</c:v>
                </c:pt>
                <c:pt idx="1">
                  <c:v>21237.9</c:v>
                </c:pt>
                <c:pt idx="2">
                  <c:v>26259.7</c:v>
                </c:pt>
                <c:pt idx="3">
                  <c:v>25589.5</c:v>
                </c:pt>
                <c:pt idx="4">
                  <c:v>14830</c:v>
                </c:pt>
                <c:pt idx="5">
                  <c:v>50742.6</c:v>
                </c:pt>
                <c:pt idx="6">
                  <c:v>20437.2</c:v>
                </c:pt>
                <c:pt idx="7">
                  <c:v>23468.1</c:v>
                </c:pt>
                <c:pt idx="8">
                  <c:v>29619.5</c:v>
                </c:pt>
                <c:pt idx="9">
                  <c:v>29400.3</c:v>
                </c:pt>
                <c:pt idx="10">
                  <c:v>20673.5</c:v>
                </c:pt>
                <c:pt idx="11">
                  <c:v>21527.4</c:v>
                </c:pt>
                <c:pt idx="12">
                  <c:v>23457.4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56.653760923500002</c:v>
                </c:pt>
                <c:pt idx="1">
                  <c:v>56.425058677899997</c:v>
                </c:pt>
                <c:pt idx="2">
                  <c:v>40.265648287300003</c:v>
                </c:pt>
                <c:pt idx="3">
                  <c:v>50.409112745400002</c:v>
                </c:pt>
                <c:pt idx="4">
                  <c:v>42.388015613900002</c:v>
                </c:pt>
                <c:pt idx="5">
                  <c:v>36.970186245699999</c:v>
                </c:pt>
                <c:pt idx="6">
                  <c:v>24.8459701614</c:v>
                </c:pt>
                <c:pt idx="7">
                  <c:v>28.454226634699999</c:v>
                </c:pt>
                <c:pt idx="8">
                  <c:v>38.668877592299999</c:v>
                </c:pt>
                <c:pt idx="9">
                  <c:v>42.295844468600002</c:v>
                </c:pt>
                <c:pt idx="10">
                  <c:v>42.570763981900001</c:v>
                </c:pt>
                <c:pt idx="11">
                  <c:v>48.973209134299999</c:v>
                </c:pt>
                <c:pt idx="12">
                  <c:v>44.186275531200003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1862.6</c:v>
                </c:pt>
                <c:pt idx="1">
                  <c:v>1673.1</c:v>
                </c:pt>
                <c:pt idx="2">
                  <c:v>843.6</c:v>
                </c:pt>
                <c:pt idx="3">
                  <c:v>591.9</c:v>
                </c:pt>
                <c:pt idx="4">
                  <c:v>683.9</c:v>
                </c:pt>
                <c:pt idx="5">
                  <c:v>266</c:v>
                </c:pt>
                <c:pt idx="6">
                  <c:v>248</c:v>
                </c:pt>
                <c:pt idx="7">
                  <c:v>93</c:v>
                </c:pt>
                <c:pt idx="8">
                  <c:v>66</c:v>
                </c:pt>
                <c:pt idx="9">
                  <c:v>123</c:v>
                </c:pt>
                <c:pt idx="10">
                  <c:v>152</c:v>
                </c:pt>
                <c:pt idx="11">
                  <c:v>154</c:v>
                </c:pt>
                <c:pt idx="1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27837.599999999999</c:v>
                </c:pt>
                <c:pt idx="1">
                  <c:v>11548.4</c:v>
                </c:pt>
                <c:pt idx="2">
                  <c:v>12672</c:v>
                </c:pt>
                <c:pt idx="3">
                  <c:v>10439.5</c:v>
                </c:pt>
                <c:pt idx="4">
                  <c:v>17734.400000000001</c:v>
                </c:pt>
                <c:pt idx="5">
                  <c:v>10455</c:v>
                </c:pt>
                <c:pt idx="6">
                  <c:v>7191</c:v>
                </c:pt>
                <c:pt idx="7">
                  <c:v>7535.7</c:v>
                </c:pt>
                <c:pt idx="8">
                  <c:v>7025.7</c:v>
                </c:pt>
                <c:pt idx="9">
                  <c:v>5966.1</c:v>
                </c:pt>
                <c:pt idx="10">
                  <c:v>27645.5</c:v>
                </c:pt>
                <c:pt idx="11">
                  <c:v>18699.7</c:v>
                </c:pt>
                <c:pt idx="12">
                  <c:v>11392.3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96.8</c:v>
                </c:pt>
                <c:pt idx="1">
                  <c:v>106.4</c:v>
                </c:pt>
                <c:pt idx="2">
                  <c:v>969.2</c:v>
                </c:pt>
                <c:pt idx="3">
                  <c:v>218.3</c:v>
                </c:pt>
                <c:pt idx="4">
                  <c:v>130.30000000000001</c:v>
                </c:pt>
                <c:pt idx="5">
                  <c:v>302</c:v>
                </c:pt>
                <c:pt idx="6">
                  <c:v>798</c:v>
                </c:pt>
                <c:pt idx="7">
                  <c:v>753.6</c:v>
                </c:pt>
                <c:pt idx="8">
                  <c:v>507</c:v>
                </c:pt>
                <c:pt idx="9">
                  <c:v>490</c:v>
                </c:pt>
                <c:pt idx="10">
                  <c:v>2170</c:v>
                </c:pt>
                <c:pt idx="11">
                  <c:v>1014</c:v>
                </c:pt>
                <c:pt idx="12">
                  <c:v>1219.7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28735.200000000001</c:v>
                </c:pt>
                <c:pt idx="1">
                  <c:v>26206.5</c:v>
                </c:pt>
                <c:pt idx="2">
                  <c:v>37655</c:v>
                </c:pt>
                <c:pt idx="3">
                  <c:v>34537.4</c:v>
                </c:pt>
                <c:pt idx="4">
                  <c:v>46367.6</c:v>
                </c:pt>
                <c:pt idx="5">
                  <c:v>52908</c:v>
                </c:pt>
                <c:pt idx="6">
                  <c:v>66283</c:v>
                </c:pt>
                <c:pt idx="7">
                  <c:v>39389.699999999997</c:v>
                </c:pt>
                <c:pt idx="8">
                  <c:v>21162.5</c:v>
                </c:pt>
                <c:pt idx="9">
                  <c:v>27694.799999999999</c:v>
                </c:pt>
                <c:pt idx="10">
                  <c:v>55738</c:v>
                </c:pt>
                <c:pt idx="11">
                  <c:v>28968.400000000001</c:v>
                </c:pt>
                <c:pt idx="12">
                  <c:v>23755.5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5033.8999999999996</c:v>
                </c:pt>
                <c:pt idx="1">
                  <c:v>16242.7</c:v>
                </c:pt>
                <c:pt idx="2">
                  <c:v>33849.300000000003</c:v>
                </c:pt>
                <c:pt idx="3">
                  <c:v>3140.7</c:v>
                </c:pt>
                <c:pt idx="4">
                  <c:v>4484.5</c:v>
                </c:pt>
                <c:pt idx="5">
                  <c:v>8236.7000000000007</c:v>
                </c:pt>
                <c:pt idx="6">
                  <c:v>13648</c:v>
                </c:pt>
                <c:pt idx="7">
                  <c:v>12105</c:v>
                </c:pt>
                <c:pt idx="8">
                  <c:v>3300.1</c:v>
                </c:pt>
                <c:pt idx="9">
                  <c:v>1620.1</c:v>
                </c:pt>
                <c:pt idx="10">
                  <c:v>6361</c:v>
                </c:pt>
                <c:pt idx="11">
                  <c:v>8108</c:v>
                </c:pt>
                <c:pt idx="12">
                  <c:v>16146.7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3139.3</c:v>
                </c:pt>
                <c:pt idx="1">
                  <c:v>5014.3999999999996</c:v>
                </c:pt>
                <c:pt idx="2">
                  <c:v>9426.5</c:v>
                </c:pt>
                <c:pt idx="3">
                  <c:v>19023.8</c:v>
                </c:pt>
                <c:pt idx="4">
                  <c:v>13296.6</c:v>
                </c:pt>
                <c:pt idx="5">
                  <c:v>13611</c:v>
                </c:pt>
                <c:pt idx="6">
                  <c:v>13179</c:v>
                </c:pt>
                <c:pt idx="7">
                  <c:v>9573</c:v>
                </c:pt>
                <c:pt idx="8">
                  <c:v>7480.7</c:v>
                </c:pt>
                <c:pt idx="9">
                  <c:v>2791</c:v>
                </c:pt>
                <c:pt idx="10">
                  <c:v>9936.7999999999993</c:v>
                </c:pt>
                <c:pt idx="11">
                  <c:v>12439.1</c:v>
                </c:pt>
                <c:pt idx="12">
                  <c:v>6094.5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160.1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105</c:v>
                </c:pt>
                <c:pt idx="9">
                  <c:v>87.8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57.6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101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  <c:pt idx="11">
                  <c:v>43.5</c:v>
                </c:pt>
                <c:pt idx="1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1421.7</c:v>
                </c:pt>
                <c:pt idx="1">
                  <c:v>1496.4</c:v>
                </c:pt>
                <c:pt idx="2">
                  <c:v>30140.7</c:v>
                </c:pt>
                <c:pt idx="3">
                  <c:v>1658.4</c:v>
                </c:pt>
                <c:pt idx="4">
                  <c:v>5844.4</c:v>
                </c:pt>
                <c:pt idx="5">
                  <c:v>6180</c:v>
                </c:pt>
                <c:pt idx="6">
                  <c:v>12053</c:v>
                </c:pt>
                <c:pt idx="7">
                  <c:v>5032</c:v>
                </c:pt>
                <c:pt idx="8">
                  <c:v>2862</c:v>
                </c:pt>
                <c:pt idx="9">
                  <c:v>3441.2</c:v>
                </c:pt>
                <c:pt idx="10">
                  <c:v>8686.7000000000007</c:v>
                </c:pt>
                <c:pt idx="11">
                  <c:v>17149.3</c:v>
                </c:pt>
                <c:pt idx="12">
                  <c:v>10042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68127.100000000006</c:v>
                      </c:pt>
                      <c:pt idx="1">
                        <c:v>62287.9</c:v>
                      </c:pt>
                      <c:pt idx="2">
                        <c:v>125613.9</c:v>
                      </c:pt>
                      <c:pt idx="3">
                        <c:v>69610</c:v>
                      </c:pt>
                      <c:pt idx="4">
                        <c:v>88701.8</c:v>
                      </c:pt>
                      <c:pt idx="5">
                        <c:v>91958.7</c:v>
                      </c:pt>
                      <c:pt idx="6">
                        <c:v>113400</c:v>
                      </c:pt>
                      <c:pt idx="7">
                        <c:v>74600</c:v>
                      </c:pt>
                      <c:pt idx="8">
                        <c:v>42509</c:v>
                      </c:pt>
                      <c:pt idx="9">
                        <c:v>42214</c:v>
                      </c:pt>
                      <c:pt idx="10">
                        <c:v>110725</c:v>
                      </c:pt>
                      <c:pt idx="11">
                        <c:v>86576</c:v>
                      </c:pt>
                      <c:pt idx="12">
                        <c:v>68790.399999999994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31.411177049999999</c:v>
                </c:pt>
                <c:pt idx="1">
                  <c:v>22.723224253800002</c:v>
                </c:pt>
                <c:pt idx="2">
                  <c:v>14.034865488599999</c:v>
                </c:pt>
                <c:pt idx="3">
                  <c:v>31.3201179428</c:v>
                </c:pt>
                <c:pt idx="4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31.411177049999999</c:v>
                </c:pt>
                <c:pt idx="1">
                  <c:v>22.723224253800002</c:v>
                </c:pt>
                <c:pt idx="2">
                  <c:v>14.034865488599999</c:v>
                </c:pt>
                <c:pt idx="3">
                  <c:v>31.3201179428</c:v>
                </c:pt>
                <c:pt idx="4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0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3219346984538731"/>
          <c:h val="0.1771681819782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4163.7</c:v>
                </c:pt>
                <c:pt idx="1">
                  <c:v>3677.8</c:v>
                </c:pt>
                <c:pt idx="2">
                  <c:v>1607.3</c:v>
                </c:pt>
                <c:pt idx="3">
                  <c:v>3376.2</c:v>
                </c:pt>
                <c:pt idx="4">
                  <c:v>1995</c:v>
                </c:pt>
                <c:pt idx="5">
                  <c:v>418.1</c:v>
                </c:pt>
                <c:pt idx="6">
                  <c:v>0</c:v>
                </c:pt>
                <c:pt idx="7">
                  <c:v>5</c:v>
                </c:pt>
                <c:pt idx="8">
                  <c:v>105</c:v>
                </c:pt>
                <c:pt idx="9">
                  <c:v>50</c:v>
                </c:pt>
                <c:pt idx="10">
                  <c:v>0</c:v>
                </c:pt>
                <c:pt idx="11">
                  <c:v>50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94511.7</c:v>
                </c:pt>
                <c:pt idx="1">
                  <c:v>93991.4</c:v>
                </c:pt>
                <c:pt idx="2">
                  <c:v>80390.7</c:v>
                </c:pt>
                <c:pt idx="3">
                  <c:v>112471.6</c:v>
                </c:pt>
                <c:pt idx="4">
                  <c:v>48257.3</c:v>
                </c:pt>
                <c:pt idx="5">
                  <c:v>25069.8</c:v>
                </c:pt>
                <c:pt idx="6">
                  <c:v>17020</c:v>
                </c:pt>
                <c:pt idx="7">
                  <c:v>31454.1</c:v>
                </c:pt>
                <c:pt idx="8">
                  <c:v>93533.6</c:v>
                </c:pt>
                <c:pt idx="9">
                  <c:v>125585.60000000001</c:v>
                </c:pt>
                <c:pt idx="10">
                  <c:v>108564.2</c:v>
                </c:pt>
                <c:pt idx="11">
                  <c:v>92799.2</c:v>
                </c:pt>
                <c:pt idx="12">
                  <c:v>109185.7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51.5</c:v>
                </c:pt>
                <c:pt idx="2">
                  <c:v>371.4</c:v>
                </c:pt>
                <c:pt idx="3">
                  <c:v>1718.3</c:v>
                </c:pt>
                <c:pt idx="4">
                  <c:v>169</c:v>
                </c:pt>
                <c:pt idx="5">
                  <c:v>511.6</c:v>
                </c:pt>
                <c:pt idx="6">
                  <c:v>1099</c:v>
                </c:pt>
                <c:pt idx="7">
                  <c:v>2074.9</c:v>
                </c:pt>
                <c:pt idx="8">
                  <c:v>8541.6</c:v>
                </c:pt>
                <c:pt idx="9">
                  <c:v>12039</c:v>
                </c:pt>
                <c:pt idx="10">
                  <c:v>5645</c:v>
                </c:pt>
                <c:pt idx="11">
                  <c:v>3342.1</c:v>
                </c:pt>
                <c:pt idx="12">
                  <c:v>3918.6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10093.200000000001</c:v>
                </c:pt>
                <c:pt idx="1">
                  <c:v>13298.4</c:v>
                </c:pt>
                <c:pt idx="2">
                  <c:v>19733.099999999999</c:v>
                </c:pt>
                <c:pt idx="3">
                  <c:v>14293.3</c:v>
                </c:pt>
                <c:pt idx="4">
                  <c:v>8732.4</c:v>
                </c:pt>
                <c:pt idx="5">
                  <c:v>10680.8</c:v>
                </c:pt>
                <c:pt idx="6">
                  <c:v>30032</c:v>
                </c:pt>
                <c:pt idx="7">
                  <c:v>13342</c:v>
                </c:pt>
                <c:pt idx="8">
                  <c:v>21857.1</c:v>
                </c:pt>
                <c:pt idx="9">
                  <c:v>31594.3</c:v>
                </c:pt>
                <c:pt idx="10">
                  <c:v>6241.6</c:v>
                </c:pt>
                <c:pt idx="11">
                  <c:v>9830.5</c:v>
                </c:pt>
                <c:pt idx="12">
                  <c:v>12821.2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10069.799999999999</c:v>
                </c:pt>
                <c:pt idx="1">
                  <c:v>12383</c:v>
                </c:pt>
                <c:pt idx="2">
                  <c:v>14568.3</c:v>
                </c:pt>
                <c:pt idx="3">
                  <c:v>9539.1</c:v>
                </c:pt>
                <c:pt idx="4">
                  <c:v>3606.8</c:v>
                </c:pt>
                <c:pt idx="5">
                  <c:v>2598.6999999999998</c:v>
                </c:pt>
                <c:pt idx="6">
                  <c:v>4029</c:v>
                </c:pt>
                <c:pt idx="7">
                  <c:v>3540.5</c:v>
                </c:pt>
                <c:pt idx="8">
                  <c:v>7292.6</c:v>
                </c:pt>
                <c:pt idx="9">
                  <c:v>7693.1</c:v>
                </c:pt>
                <c:pt idx="10">
                  <c:v>3597</c:v>
                </c:pt>
                <c:pt idx="11">
                  <c:v>2500.3000000000002</c:v>
                </c:pt>
                <c:pt idx="12">
                  <c:v>6372.3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45049.8</c:v>
                </c:pt>
                <c:pt idx="1">
                  <c:v>48971.8</c:v>
                </c:pt>
                <c:pt idx="2">
                  <c:v>20541.3</c:v>
                </c:pt>
                <c:pt idx="3">
                  <c:v>80742.100000000006</c:v>
                </c:pt>
                <c:pt idx="4">
                  <c:v>34283.300000000003</c:v>
                </c:pt>
                <c:pt idx="5">
                  <c:v>26299.3</c:v>
                </c:pt>
                <c:pt idx="6">
                  <c:v>20482</c:v>
                </c:pt>
                <c:pt idx="7">
                  <c:v>42478.400000000001</c:v>
                </c:pt>
                <c:pt idx="8">
                  <c:v>135598.70000000001</c:v>
                </c:pt>
                <c:pt idx="9">
                  <c:v>93034.8</c:v>
                </c:pt>
                <c:pt idx="10">
                  <c:v>49376</c:v>
                </c:pt>
                <c:pt idx="11">
                  <c:v>21849.9</c:v>
                </c:pt>
                <c:pt idx="12">
                  <c:v>26600.6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539</c:v>
                </c:pt>
                <c:pt idx="2">
                  <c:v>876.4</c:v>
                </c:pt>
                <c:pt idx="3">
                  <c:v>186</c:v>
                </c:pt>
                <c:pt idx="4">
                  <c:v>267</c:v>
                </c:pt>
                <c:pt idx="5">
                  <c:v>0</c:v>
                </c:pt>
                <c:pt idx="6">
                  <c:v>12</c:v>
                </c:pt>
                <c:pt idx="7">
                  <c:v>139</c:v>
                </c:pt>
                <c:pt idx="8">
                  <c:v>1073</c:v>
                </c:pt>
                <c:pt idx="9">
                  <c:v>70</c:v>
                </c:pt>
                <c:pt idx="10">
                  <c:v>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29699</c:v>
                </c:pt>
                <c:pt idx="1">
                  <c:v>32260</c:v>
                </c:pt>
                <c:pt idx="2">
                  <c:v>60128.2</c:v>
                </c:pt>
                <c:pt idx="3">
                  <c:v>46371.3</c:v>
                </c:pt>
                <c:pt idx="4">
                  <c:v>22347.8</c:v>
                </c:pt>
                <c:pt idx="5">
                  <c:v>23301.1</c:v>
                </c:pt>
                <c:pt idx="6">
                  <c:v>23437</c:v>
                </c:pt>
                <c:pt idx="7">
                  <c:v>35473.1</c:v>
                </c:pt>
                <c:pt idx="8">
                  <c:v>43074.400000000001</c:v>
                </c:pt>
                <c:pt idx="9">
                  <c:v>53243.199999999997</c:v>
                </c:pt>
                <c:pt idx="10">
                  <c:v>32334.2</c:v>
                </c:pt>
                <c:pt idx="11">
                  <c:v>19451</c:v>
                </c:pt>
                <c:pt idx="12">
                  <c:v>30188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193587.20000000001</c:v>
                      </c:pt>
                      <c:pt idx="1">
                        <c:v>205172.9</c:v>
                      </c:pt>
                      <c:pt idx="2">
                        <c:v>198217.9</c:v>
                      </c:pt>
                      <c:pt idx="3">
                        <c:v>268697.90000000002</c:v>
                      </c:pt>
                      <c:pt idx="4">
                        <c:v>119658.6</c:v>
                      </c:pt>
                      <c:pt idx="5">
                        <c:v>88879.4</c:v>
                      </c:pt>
                      <c:pt idx="6">
                        <c:v>96111</c:v>
                      </c:pt>
                      <c:pt idx="7">
                        <c:v>128508</c:v>
                      </c:pt>
                      <c:pt idx="8">
                        <c:v>311078</c:v>
                      </c:pt>
                      <c:pt idx="9">
                        <c:v>323314</c:v>
                      </c:pt>
                      <c:pt idx="10">
                        <c:v>205758</c:v>
                      </c:pt>
                      <c:pt idx="11">
                        <c:v>149824</c:v>
                      </c:pt>
                      <c:pt idx="12">
                        <c:v>189222.39999999999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0D2-4D34-A356-B079B865AC96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6C-437A-88C6-67E2395F21B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F4-4DDB-AD34-8E8D7769A24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4-4EE3-B2F3-6DEC3E90E4B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0-4F96-B9CF-51372DE376C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(Dat_01!$B$262:$F$262,Dat_01!$I$262:$P$262)</c:f>
              <c:numCache>
                <c:formatCode>#,##0.00</c:formatCode>
                <c:ptCount val="13"/>
                <c:pt idx="0">
                  <c:v>55.2966282378</c:v>
                </c:pt>
                <c:pt idx="1">
                  <c:v>54.333319799999998</c:v>
                </c:pt>
                <c:pt idx="2">
                  <c:v>44.3319517057</c:v>
                </c:pt>
                <c:pt idx="3">
                  <c:v>50.296903697399998</c:v>
                </c:pt>
                <c:pt idx="4">
                  <c:v>42.143515635299998</c:v>
                </c:pt>
                <c:pt idx="5">
                  <c:v>24.623747891899999</c:v>
                </c:pt>
                <c:pt idx="6">
                  <c:v>15.2646585274</c:v>
                </c:pt>
                <c:pt idx="7">
                  <c:v>22.042028284800001</c:v>
                </c:pt>
                <c:pt idx="8">
                  <c:v>36.538630534200003</c:v>
                </c:pt>
                <c:pt idx="9">
                  <c:v>40.010839338799997</c:v>
                </c:pt>
                <c:pt idx="10">
                  <c:v>35.719467202899999</c:v>
                </c:pt>
                <c:pt idx="11">
                  <c:v>40.409313405900001</c:v>
                </c:pt>
                <c:pt idx="12">
                  <c:v>35.633163170400003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274.3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15310.9</c:v>
                </c:pt>
                <c:pt idx="1">
                  <c:v>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520</c:v>
                </c:pt>
                <c:pt idx="8">
                  <c:v>8320.6</c:v>
                </c:pt>
                <c:pt idx="9">
                  <c:v>3526.6</c:v>
                </c:pt>
                <c:pt idx="10">
                  <c:v>6424.4</c:v>
                </c:pt>
                <c:pt idx="11">
                  <c:v>4734</c:v>
                </c:pt>
                <c:pt idx="12">
                  <c:v>1002.5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2199.5</c:v>
                </c:pt>
                <c:pt idx="1">
                  <c:v>290.89999999999998</c:v>
                </c:pt>
                <c:pt idx="2">
                  <c:v>66</c:v>
                </c:pt>
                <c:pt idx="3">
                  <c:v>13.8</c:v>
                </c:pt>
                <c:pt idx="4">
                  <c:v>0</c:v>
                </c:pt>
                <c:pt idx="5">
                  <c:v>132.9</c:v>
                </c:pt>
                <c:pt idx="6">
                  <c:v>0</c:v>
                </c:pt>
                <c:pt idx="7">
                  <c:v>398.7</c:v>
                </c:pt>
                <c:pt idx="8">
                  <c:v>532.5</c:v>
                </c:pt>
                <c:pt idx="9">
                  <c:v>2136.1</c:v>
                </c:pt>
                <c:pt idx="10">
                  <c:v>1632</c:v>
                </c:pt>
                <c:pt idx="11">
                  <c:v>2991.4</c:v>
                </c:pt>
                <c:pt idx="12">
                  <c:v>2760.3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5123.2</c:v>
                </c:pt>
                <c:pt idx="1">
                  <c:v>6727.7</c:v>
                </c:pt>
                <c:pt idx="2">
                  <c:v>13968.1</c:v>
                </c:pt>
                <c:pt idx="3">
                  <c:v>11574.5</c:v>
                </c:pt>
                <c:pt idx="4">
                  <c:v>11798.2</c:v>
                </c:pt>
                <c:pt idx="5">
                  <c:v>10732.4</c:v>
                </c:pt>
                <c:pt idx="6">
                  <c:v>6311.1</c:v>
                </c:pt>
                <c:pt idx="7">
                  <c:v>3208</c:v>
                </c:pt>
                <c:pt idx="8">
                  <c:v>1797.8</c:v>
                </c:pt>
                <c:pt idx="9">
                  <c:v>3089.7</c:v>
                </c:pt>
                <c:pt idx="10">
                  <c:v>6769.5</c:v>
                </c:pt>
                <c:pt idx="11">
                  <c:v>5082.6000000000004</c:v>
                </c:pt>
                <c:pt idx="12">
                  <c:v>30103.8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7894.3</c:v>
                </c:pt>
                <c:pt idx="1">
                  <c:v>1121.0999999999999</c:v>
                </c:pt>
                <c:pt idx="2">
                  <c:v>1844.7</c:v>
                </c:pt>
                <c:pt idx="3">
                  <c:v>1255.7</c:v>
                </c:pt>
                <c:pt idx="4">
                  <c:v>360.9</c:v>
                </c:pt>
                <c:pt idx="5">
                  <c:v>5808.3</c:v>
                </c:pt>
                <c:pt idx="6">
                  <c:v>429.6</c:v>
                </c:pt>
                <c:pt idx="7">
                  <c:v>12396.3</c:v>
                </c:pt>
                <c:pt idx="8">
                  <c:v>27746.3</c:v>
                </c:pt>
                <c:pt idx="9">
                  <c:v>32962.800000000003</c:v>
                </c:pt>
                <c:pt idx="10">
                  <c:v>32546.799999999999</c:v>
                </c:pt>
                <c:pt idx="11">
                  <c:v>34919.199999999997</c:v>
                </c:pt>
                <c:pt idx="12">
                  <c:v>35894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324.39999999999998</c:v>
                </c:pt>
                <c:pt idx="1">
                  <c:v>272.60000000000002</c:v>
                </c:pt>
                <c:pt idx="2">
                  <c:v>7917.4</c:v>
                </c:pt>
                <c:pt idx="3">
                  <c:v>0</c:v>
                </c:pt>
                <c:pt idx="4">
                  <c:v>0</c:v>
                </c:pt>
                <c:pt idx="5">
                  <c:v>350.7</c:v>
                </c:pt>
                <c:pt idx="6">
                  <c:v>2</c:v>
                </c:pt>
                <c:pt idx="7">
                  <c:v>41.7</c:v>
                </c:pt>
                <c:pt idx="8">
                  <c:v>146.69999999999999</c:v>
                </c:pt>
                <c:pt idx="9">
                  <c:v>457</c:v>
                </c:pt>
                <c:pt idx="10">
                  <c:v>161.30000000000001</c:v>
                </c:pt>
                <c:pt idx="11">
                  <c:v>974.6</c:v>
                </c:pt>
                <c:pt idx="12">
                  <c:v>414.2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365.6</c:v>
                </c:pt>
                <c:pt idx="1">
                  <c:v>7.6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98.7</c:v>
                </c:pt>
                <c:pt idx="6">
                  <c:v>0</c:v>
                </c:pt>
                <c:pt idx="7">
                  <c:v>256.7</c:v>
                </c:pt>
                <c:pt idx="8">
                  <c:v>300.2</c:v>
                </c:pt>
                <c:pt idx="9">
                  <c:v>1325.6</c:v>
                </c:pt>
                <c:pt idx="10">
                  <c:v>1318.2</c:v>
                </c:pt>
                <c:pt idx="11">
                  <c:v>1593</c:v>
                </c:pt>
                <c:pt idx="12">
                  <c:v>1401.5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33.299999999999997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</c:v>
                </c:pt>
                <c:pt idx="6">
                  <c:v>0</c:v>
                </c:pt>
                <c:pt idx="7">
                  <c:v>0.8</c:v>
                </c:pt>
                <c:pt idx="8">
                  <c:v>250.5</c:v>
                </c:pt>
                <c:pt idx="9">
                  <c:v>38.1</c:v>
                </c:pt>
                <c:pt idx="10">
                  <c:v>404.6</c:v>
                </c:pt>
                <c:pt idx="11">
                  <c:v>127.6</c:v>
                </c:pt>
                <c:pt idx="12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39.299999999999997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1972.6</c:v>
                </c:pt>
                <c:pt idx="9">
                  <c:v>15</c:v>
                </c:pt>
                <c:pt idx="10">
                  <c:v>2687.6</c:v>
                </c:pt>
                <c:pt idx="11">
                  <c:v>75.400000000000006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259.10000000000002</c:v>
                </c:pt>
                <c:pt idx="1">
                  <c:v>84</c:v>
                </c:pt>
                <c:pt idx="2">
                  <c:v>46.9</c:v>
                </c:pt>
                <c:pt idx="3">
                  <c:v>240.1</c:v>
                </c:pt>
                <c:pt idx="4">
                  <c:v>358.6</c:v>
                </c:pt>
                <c:pt idx="5">
                  <c:v>152.1</c:v>
                </c:pt>
                <c:pt idx="6">
                  <c:v>1049.5</c:v>
                </c:pt>
                <c:pt idx="7">
                  <c:v>340.4</c:v>
                </c:pt>
                <c:pt idx="8">
                  <c:v>219.1</c:v>
                </c:pt>
                <c:pt idx="9">
                  <c:v>0</c:v>
                </c:pt>
                <c:pt idx="10">
                  <c:v>0</c:v>
                </c:pt>
                <c:pt idx="11">
                  <c:v>456.5</c:v>
                </c:pt>
                <c:pt idx="12">
                  <c:v>291.7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16.541141322800001</c:v>
                </c:pt>
                <c:pt idx="1">
                  <c:v>18.3187747311</c:v>
                </c:pt>
                <c:pt idx="2">
                  <c:v>11.2049753768</c:v>
                </c:pt>
                <c:pt idx="3">
                  <c:v>15.4197220833</c:v>
                </c:pt>
                <c:pt idx="4">
                  <c:v>14.2611092179</c:v>
                </c:pt>
                <c:pt idx="5">
                  <c:v>10.061406509399999</c:v>
                </c:pt>
                <c:pt idx="6">
                  <c:v>6.3608141542999999</c:v>
                </c:pt>
                <c:pt idx="7">
                  <c:v>8.5414757679999997</c:v>
                </c:pt>
                <c:pt idx="8">
                  <c:v>2.3726943107</c:v>
                </c:pt>
                <c:pt idx="9">
                  <c:v>2.2543893812000002</c:v>
                </c:pt>
                <c:pt idx="10">
                  <c:v>3.3266666843000001</c:v>
                </c:pt>
                <c:pt idx="11">
                  <c:v>3.7537606316000001</c:v>
                </c:pt>
                <c:pt idx="12">
                  <c:v>8.8071643596999998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950024489365813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2142</c:v>
                </c:pt>
                <c:pt idx="1">
                  <c:v>1990</c:v>
                </c:pt>
                <c:pt idx="2">
                  <c:v>480</c:v>
                </c:pt>
                <c:pt idx="3">
                  <c:v>8420</c:v>
                </c:pt>
                <c:pt idx="4">
                  <c:v>555</c:v>
                </c:pt>
                <c:pt idx="5">
                  <c:v>7260</c:v>
                </c:pt>
                <c:pt idx="6">
                  <c:v>0</c:v>
                </c:pt>
                <c:pt idx="7">
                  <c:v>2649.6</c:v>
                </c:pt>
                <c:pt idx="8">
                  <c:v>3060</c:v>
                </c:pt>
                <c:pt idx="9">
                  <c:v>3178</c:v>
                </c:pt>
                <c:pt idx="10">
                  <c:v>1050</c:v>
                </c:pt>
                <c:pt idx="11">
                  <c:v>10238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2403.6999999999998</c:v>
                </c:pt>
                <c:pt idx="1">
                  <c:v>6178.7</c:v>
                </c:pt>
                <c:pt idx="2">
                  <c:v>20442.599999999999</c:v>
                </c:pt>
                <c:pt idx="3">
                  <c:v>30910.7</c:v>
                </c:pt>
                <c:pt idx="4">
                  <c:v>10252.6</c:v>
                </c:pt>
                <c:pt idx="5">
                  <c:v>20800.5</c:v>
                </c:pt>
                <c:pt idx="6">
                  <c:v>9541.2999999999993</c:v>
                </c:pt>
                <c:pt idx="7">
                  <c:v>9736.2000000000007</c:v>
                </c:pt>
                <c:pt idx="8">
                  <c:v>15134.9</c:v>
                </c:pt>
                <c:pt idx="9">
                  <c:v>12853.9</c:v>
                </c:pt>
                <c:pt idx="10">
                  <c:v>63281</c:v>
                </c:pt>
                <c:pt idx="11">
                  <c:v>128800.8</c:v>
                </c:pt>
                <c:pt idx="12">
                  <c:v>110024.3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557.79999999999995</c:v>
                </c:pt>
                <c:pt idx="1">
                  <c:v>123</c:v>
                </c:pt>
                <c:pt idx="2">
                  <c:v>860.7</c:v>
                </c:pt>
                <c:pt idx="3">
                  <c:v>268</c:v>
                </c:pt>
                <c:pt idx="4">
                  <c:v>288.2</c:v>
                </c:pt>
                <c:pt idx="5">
                  <c:v>100</c:v>
                </c:pt>
                <c:pt idx="6">
                  <c:v>636</c:v>
                </c:pt>
                <c:pt idx="7">
                  <c:v>1745.1</c:v>
                </c:pt>
                <c:pt idx="8">
                  <c:v>2490.6999999999998</c:v>
                </c:pt>
                <c:pt idx="9">
                  <c:v>133.1</c:v>
                </c:pt>
                <c:pt idx="10">
                  <c:v>2200</c:v>
                </c:pt>
                <c:pt idx="11">
                  <c:v>57.3</c:v>
                </c:pt>
                <c:pt idx="12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729</c:v>
                </c:pt>
                <c:pt idx="1">
                  <c:v>256</c:v>
                </c:pt>
                <c:pt idx="2">
                  <c:v>364.9</c:v>
                </c:pt>
                <c:pt idx="3">
                  <c:v>0</c:v>
                </c:pt>
                <c:pt idx="4">
                  <c:v>0</c:v>
                </c:pt>
                <c:pt idx="5">
                  <c:v>224</c:v>
                </c:pt>
                <c:pt idx="6">
                  <c:v>60</c:v>
                </c:pt>
                <c:pt idx="7">
                  <c:v>0</c:v>
                </c:pt>
                <c:pt idx="8">
                  <c:v>411.1</c:v>
                </c:pt>
                <c:pt idx="9">
                  <c:v>0</c:v>
                </c:pt>
                <c:pt idx="10">
                  <c:v>0</c:v>
                </c:pt>
                <c:pt idx="11">
                  <c:v>1627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1220</c:v>
                </c:pt>
                <c:pt idx="1">
                  <c:v>0</c:v>
                </c:pt>
                <c:pt idx="2">
                  <c:v>0</c:v>
                </c:pt>
                <c:pt idx="3">
                  <c:v>577.4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334.1</c:v>
                </c:pt>
                <c:pt idx="8">
                  <c:v>0</c:v>
                </c:pt>
                <c:pt idx="9">
                  <c:v>91.7</c:v>
                </c:pt>
                <c:pt idx="10">
                  <c:v>188.1</c:v>
                </c:pt>
                <c:pt idx="11">
                  <c:v>176.6</c:v>
                </c:pt>
                <c:pt idx="12">
                  <c:v>225.4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154.4</c:v>
                </c:pt>
                <c:pt idx="1">
                  <c:v>528.79999999999995</c:v>
                </c:pt>
                <c:pt idx="2">
                  <c:v>1941.3</c:v>
                </c:pt>
                <c:pt idx="3">
                  <c:v>42.2</c:v>
                </c:pt>
                <c:pt idx="4">
                  <c:v>841.9</c:v>
                </c:pt>
                <c:pt idx="5">
                  <c:v>4781.3999999999996</c:v>
                </c:pt>
                <c:pt idx="6">
                  <c:v>2816.9</c:v>
                </c:pt>
                <c:pt idx="7">
                  <c:v>1316.2</c:v>
                </c:pt>
                <c:pt idx="8">
                  <c:v>685.4</c:v>
                </c:pt>
                <c:pt idx="9">
                  <c:v>0</c:v>
                </c:pt>
                <c:pt idx="10">
                  <c:v>916.7</c:v>
                </c:pt>
                <c:pt idx="11">
                  <c:v>209.8</c:v>
                </c:pt>
                <c:pt idx="12">
                  <c:v>2701.6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117.5647471147</c:v>
                </c:pt>
                <c:pt idx="1">
                  <c:v>166.95549495949999</c:v>
                </c:pt>
                <c:pt idx="2">
                  <c:v>105.926155794</c:v>
                </c:pt>
                <c:pt idx="3">
                  <c:v>148.698341551</c:v>
                </c:pt>
                <c:pt idx="4">
                  <c:v>145.217684311</c:v>
                </c:pt>
                <c:pt idx="5">
                  <c:v>96.154126979799997</c:v>
                </c:pt>
                <c:pt idx="6">
                  <c:v>100.3272479355</c:v>
                </c:pt>
                <c:pt idx="7">
                  <c:v>94.270366638799999</c:v>
                </c:pt>
                <c:pt idx="8">
                  <c:v>109.5027201234</c:v>
                </c:pt>
                <c:pt idx="9">
                  <c:v>184.68228361230001</c:v>
                </c:pt>
                <c:pt idx="10">
                  <c:v>176.0720778049</c:v>
                </c:pt>
                <c:pt idx="11">
                  <c:v>157.29326189939999</c:v>
                </c:pt>
                <c:pt idx="12">
                  <c:v>139.24111690059999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21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484165224331288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25712.6</c:v>
                </c:pt>
                <c:pt idx="1">
                  <c:v>8552.1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23.8211938894</c:v>
                </c:pt>
                <c:pt idx="1">
                  <c:v>6.4646542953999999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9888616710068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34.791386271870792</c:v>
                </c:pt>
                <c:pt idx="1">
                  <c:v>34.979137691237838</c:v>
                </c:pt>
                <c:pt idx="2">
                  <c:v>30.327501121579175</c:v>
                </c:pt>
                <c:pt idx="3">
                  <c:v>41.004934948407353</c:v>
                </c:pt>
                <c:pt idx="4">
                  <c:v>50.287769784172667</c:v>
                </c:pt>
                <c:pt idx="5">
                  <c:v>49.202605570530096</c:v>
                </c:pt>
                <c:pt idx="6">
                  <c:v>36.555401019935104</c:v>
                </c:pt>
                <c:pt idx="7">
                  <c:v>49.282189322566175</c:v>
                </c:pt>
                <c:pt idx="8">
                  <c:v>45.155308298562815</c:v>
                </c:pt>
                <c:pt idx="9">
                  <c:v>33.804396590399278</c:v>
                </c:pt>
                <c:pt idx="10">
                  <c:v>34.656796769851951</c:v>
                </c:pt>
                <c:pt idx="11">
                  <c:v>36.833565136764022</c:v>
                </c:pt>
                <c:pt idx="12">
                  <c:v>37.449664429530202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1.9515477792732168</c:v>
                </c:pt>
                <c:pt idx="1">
                  <c:v>4.9374130737134907</c:v>
                </c:pt>
                <c:pt idx="2">
                  <c:v>11.372812920592194</c:v>
                </c:pt>
                <c:pt idx="3">
                  <c:v>7.2005383580080755</c:v>
                </c:pt>
                <c:pt idx="4">
                  <c:v>5.7074340527577938</c:v>
                </c:pt>
                <c:pt idx="5">
                  <c:v>6.7273135669362079</c:v>
                </c:pt>
                <c:pt idx="6">
                  <c:v>9.8748261474269814</c:v>
                </c:pt>
                <c:pt idx="7">
                  <c:v>10.206370569762226</c:v>
                </c:pt>
                <c:pt idx="8">
                  <c:v>5.8878071395456644</c:v>
                </c:pt>
                <c:pt idx="9">
                  <c:v>3.4768954688200986</c:v>
                </c:pt>
                <c:pt idx="10">
                  <c:v>5.3835800807537009</c:v>
                </c:pt>
                <c:pt idx="11">
                  <c:v>9.4112192860454336</c:v>
                </c:pt>
                <c:pt idx="12">
                  <c:v>7.852348993288591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0.26917900403768508</c:v>
                </c:pt>
                <c:pt idx="3">
                  <c:v>0.13458950201884254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0.41724617524339358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25.011215791834907</c:v>
                </c:pt>
                <c:pt idx="1">
                  <c:v>22.021325915623549</c:v>
                </c:pt>
                <c:pt idx="2">
                  <c:v>16.778824585015702</c:v>
                </c:pt>
                <c:pt idx="3">
                  <c:v>21.220278151637505</c:v>
                </c:pt>
                <c:pt idx="4">
                  <c:v>19.784172661870503</c:v>
                </c:pt>
                <c:pt idx="5">
                  <c:v>11.983378256963164</c:v>
                </c:pt>
                <c:pt idx="6">
                  <c:v>8.1363004172461757</c:v>
                </c:pt>
                <c:pt idx="7">
                  <c:v>11.081202332884702</c:v>
                </c:pt>
                <c:pt idx="8">
                  <c:v>26.402410755679185</c:v>
                </c:pt>
                <c:pt idx="9">
                  <c:v>42.687303723642891</c:v>
                </c:pt>
                <c:pt idx="10">
                  <c:v>29.138627187079408</c:v>
                </c:pt>
                <c:pt idx="11">
                  <c:v>25.19703291608716</c:v>
                </c:pt>
                <c:pt idx="12">
                  <c:v>19.105145413870243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12.24764468371467</c:v>
                </c:pt>
                <c:pt idx="1">
                  <c:v>3.8247566063977745</c:v>
                </c:pt>
                <c:pt idx="2">
                  <c:v>6.9986541049798108</c:v>
                </c:pt>
                <c:pt idx="3">
                  <c:v>4.419021982951997</c:v>
                </c:pt>
                <c:pt idx="4">
                  <c:v>5.8273381294964031</c:v>
                </c:pt>
                <c:pt idx="5">
                  <c:v>0.53908355795148255</c:v>
                </c:pt>
                <c:pt idx="6">
                  <c:v>2.8975428836346779</c:v>
                </c:pt>
                <c:pt idx="7">
                  <c:v>0.13458950201884254</c:v>
                </c:pt>
                <c:pt idx="8">
                  <c:v>0</c:v>
                </c:pt>
                <c:pt idx="9">
                  <c:v>1.6823687752355316</c:v>
                </c:pt>
                <c:pt idx="10">
                  <c:v>4.9125168236877519</c:v>
                </c:pt>
                <c:pt idx="11">
                  <c:v>5.563282336578582</c:v>
                </c:pt>
                <c:pt idx="12">
                  <c:v>1.319910514541387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25.998205473306417</c:v>
                </c:pt>
                <c:pt idx="1">
                  <c:v>34.237366713027356</c:v>
                </c:pt>
                <c:pt idx="2">
                  <c:v>34.253028263795429</c:v>
                </c:pt>
                <c:pt idx="3">
                  <c:v>26.020637056976227</c:v>
                </c:pt>
                <c:pt idx="4">
                  <c:v>18.393285371702635</c:v>
                </c:pt>
                <c:pt idx="5">
                  <c:v>31.547619047619047</c:v>
                </c:pt>
                <c:pt idx="6">
                  <c:v>42.535929531757063</c:v>
                </c:pt>
                <c:pt idx="7">
                  <c:v>29.295648272768055</c:v>
                </c:pt>
                <c:pt idx="8">
                  <c:v>22.554473806212336</c:v>
                </c:pt>
                <c:pt idx="9">
                  <c:v>18.349035441902199</c:v>
                </c:pt>
                <c:pt idx="10">
                  <c:v>25.90847913862719</c:v>
                </c:pt>
                <c:pt idx="11">
                  <c:v>22.577654149281408</c:v>
                </c:pt>
                <c:pt idx="12">
                  <c:v>34.272930648769581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47.72</c:v>
                </c:pt>
                <c:pt idx="1">
                  <c:v>43.57</c:v>
                </c:pt>
                <c:pt idx="2">
                  <c:v>35.33</c:v>
                </c:pt>
                <c:pt idx="3">
                  <c:v>42.04</c:v>
                </c:pt>
                <c:pt idx="4">
                  <c:v>36.51</c:v>
                </c:pt>
                <c:pt idx="5">
                  <c:v>28.27</c:v>
                </c:pt>
                <c:pt idx="6">
                  <c:v>17.79</c:v>
                </c:pt>
                <c:pt idx="7">
                  <c:v>21.689999999999998</c:v>
                </c:pt>
                <c:pt idx="8">
                  <c:v>30.99</c:v>
                </c:pt>
                <c:pt idx="9">
                  <c:v>35.190000000000005</c:v>
                </c:pt>
                <c:pt idx="10">
                  <c:v>36.74</c:v>
                </c:pt>
                <c:pt idx="11">
                  <c:v>42.73</c:v>
                </c:pt>
                <c:pt idx="12">
                  <c:v>37.450000000000003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1.3900000000000001</c:v>
                </c:pt>
                <c:pt idx="1">
                  <c:v>1.5499999999999998</c:v>
                </c:pt>
                <c:pt idx="2">
                  <c:v>2.0700000000000007</c:v>
                </c:pt>
                <c:pt idx="3">
                  <c:v>1.7899999999999998</c:v>
                </c:pt>
                <c:pt idx="4">
                  <c:v>1.8800000000000001</c:v>
                </c:pt>
                <c:pt idx="5">
                  <c:v>2.56</c:v>
                </c:pt>
                <c:pt idx="6">
                  <c:v>5.0500000000000007</c:v>
                </c:pt>
                <c:pt idx="7">
                  <c:v>3.37</c:v>
                </c:pt>
                <c:pt idx="8">
                  <c:v>2.2400000000000002</c:v>
                </c:pt>
                <c:pt idx="9">
                  <c:v>1.59</c:v>
                </c:pt>
                <c:pt idx="10">
                  <c:v>2.19</c:v>
                </c:pt>
                <c:pt idx="11">
                  <c:v>2.3200000000000003</c:v>
                </c:pt>
                <c:pt idx="12">
                  <c:v>2.9400000000000004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2.34</c:v>
                </c:pt>
                <c:pt idx="1">
                  <c:v>2.44</c:v>
                </c:pt>
                <c:pt idx="2">
                  <c:v>3</c:v>
                </c:pt>
                <c:pt idx="3">
                  <c:v>3.11</c:v>
                </c:pt>
                <c:pt idx="4">
                  <c:v>2.98</c:v>
                </c:pt>
                <c:pt idx="5">
                  <c:v>2.39</c:v>
                </c:pt>
                <c:pt idx="6">
                  <c:v>2.41</c:v>
                </c:pt>
                <c:pt idx="7">
                  <c:v>2.2400000000000002</c:v>
                </c:pt>
                <c:pt idx="8">
                  <c:v>2.76</c:v>
                </c:pt>
                <c:pt idx="9">
                  <c:v>3.25</c:v>
                </c:pt>
                <c:pt idx="10">
                  <c:v>2.0699999999999998</c:v>
                </c:pt>
                <c:pt idx="11">
                  <c:v>2.35</c:v>
                </c:pt>
                <c:pt idx="12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0.77</c:v>
                </c:pt>
                <c:pt idx="1">
                  <c:v>0.75</c:v>
                </c:pt>
                <c:pt idx="2">
                  <c:v>0.74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37.450000000000003</c:v>
                </c:pt>
                <c:pt idx="1">
                  <c:v>2.2599999999999998</c:v>
                </c:pt>
                <c:pt idx="2">
                  <c:v>0</c:v>
                </c:pt>
                <c:pt idx="3">
                  <c:v>2.9400000000000004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0.98</c:v>
                </c:pt>
                <c:pt idx="1">
                  <c:v>1.1000000000000001</c:v>
                </c:pt>
                <c:pt idx="2">
                  <c:v>1.37</c:v>
                </c:pt>
                <c:pt idx="3">
                  <c:v>1.32</c:v>
                </c:pt>
                <c:pt idx="4">
                  <c:v>1.44</c:v>
                </c:pt>
                <c:pt idx="5">
                  <c:v>2.0299999999999998</c:v>
                </c:pt>
                <c:pt idx="6">
                  <c:v>4.54</c:v>
                </c:pt>
                <c:pt idx="7">
                  <c:v>2.96</c:v>
                </c:pt>
                <c:pt idx="8">
                  <c:v>1.68</c:v>
                </c:pt>
                <c:pt idx="9">
                  <c:v>1.07</c:v>
                </c:pt>
                <c:pt idx="10">
                  <c:v>1.29</c:v>
                </c:pt>
                <c:pt idx="11">
                  <c:v>1.05</c:v>
                </c:pt>
                <c:pt idx="12">
                  <c:v>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7.0000000000000007E-2</c:v>
                </c:pt>
                <c:pt idx="1">
                  <c:v>0.05</c:v>
                </c:pt>
                <c:pt idx="2">
                  <c:v>0.09</c:v>
                </c:pt>
                <c:pt idx="3">
                  <c:v>0.18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0.15</c:v>
                </c:pt>
                <c:pt idx="9">
                  <c:v>0.16</c:v>
                </c:pt>
                <c:pt idx="10">
                  <c:v>0.49</c:v>
                </c:pt>
                <c:pt idx="11">
                  <c:v>0.84</c:v>
                </c:pt>
                <c:pt idx="12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0.32</c:v>
                </c:pt>
                <c:pt idx="1">
                  <c:v>0.44</c:v>
                </c:pt>
                <c:pt idx="2">
                  <c:v>0.63</c:v>
                </c:pt>
                <c:pt idx="3">
                  <c:v>0.3</c:v>
                </c:pt>
                <c:pt idx="4">
                  <c:v>0.33</c:v>
                </c:pt>
                <c:pt idx="5">
                  <c:v>0.35</c:v>
                </c:pt>
                <c:pt idx="6">
                  <c:v>0.45</c:v>
                </c:pt>
                <c:pt idx="7">
                  <c:v>0.38</c:v>
                </c:pt>
                <c:pt idx="8">
                  <c:v>0.39</c:v>
                </c:pt>
                <c:pt idx="9">
                  <c:v>0.33</c:v>
                </c:pt>
                <c:pt idx="10">
                  <c:v>0.35</c:v>
                </c:pt>
                <c:pt idx="11">
                  <c:v>0.41</c:v>
                </c:pt>
                <c:pt idx="1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0.13</c:v>
                </c:pt>
                <c:pt idx="1">
                  <c:v>0.16</c:v>
                </c:pt>
                <c:pt idx="2">
                  <c:v>0.22</c:v>
                </c:pt>
                <c:pt idx="3">
                  <c:v>0.15</c:v>
                </c:pt>
                <c:pt idx="4">
                  <c:v>0.17</c:v>
                </c:pt>
                <c:pt idx="5">
                  <c:v>0.23</c:v>
                </c:pt>
                <c:pt idx="6">
                  <c:v>0.17</c:v>
                </c:pt>
                <c:pt idx="7">
                  <c:v>0.11</c:v>
                </c:pt>
                <c:pt idx="8">
                  <c:v>0.16</c:v>
                </c:pt>
                <c:pt idx="9">
                  <c:v>0.1</c:v>
                </c:pt>
                <c:pt idx="10">
                  <c:v>0.15000000000000002</c:v>
                </c:pt>
                <c:pt idx="11">
                  <c:v>9.0000000000000011E-2</c:v>
                </c:pt>
                <c:pt idx="12">
                  <c:v>9.9999999999999992E-2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-0.11</c:v>
                </c:pt>
                <c:pt idx="2">
                  <c:v>-0.17</c:v>
                </c:pt>
                <c:pt idx="3">
                  <c:v>-0.1</c:v>
                </c:pt>
                <c:pt idx="4">
                  <c:v>-6.9999999999999993E-2</c:v>
                </c:pt>
                <c:pt idx="5">
                  <c:v>-9.9999999999999992E-2</c:v>
                </c:pt>
                <c:pt idx="6">
                  <c:v>-0.08</c:v>
                </c:pt>
                <c:pt idx="7">
                  <c:v>-6.9999999999999993E-2</c:v>
                </c:pt>
                <c:pt idx="8">
                  <c:v>-7.0000000000000007E-2</c:v>
                </c:pt>
                <c:pt idx="9">
                  <c:v>-0.01</c:v>
                </c:pt>
                <c:pt idx="10">
                  <c:v>-0.03</c:v>
                </c:pt>
                <c:pt idx="11">
                  <c:v>-0.01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-0.09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-0.06</c:v>
                </c:pt>
                <c:pt idx="5">
                  <c:v>-7.0000000000000007E-2</c:v>
                </c:pt>
                <c:pt idx="6">
                  <c:v>-0.1</c:v>
                </c:pt>
                <c:pt idx="7">
                  <c:v>-0.09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-0.06</c:v>
                </c:pt>
                <c:pt idx="11">
                  <c:v>-0.06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Octubre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885.47029999999995</c:v>
                </c:pt>
                <c:pt idx="1">
                  <c:v>243.53391300000001</c:v>
                </c:pt>
                <c:pt idx="2">
                  <c:v>233.84719999999999</c:v>
                </c:pt>
                <c:pt idx="3">
                  <c:v>0</c:v>
                </c:pt>
                <c:pt idx="4">
                  <c:v>185.12620000000001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Octubre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452.6268</c:v>
                </c:pt>
                <c:pt idx="1">
                  <c:v>230.09051400000001</c:v>
                </c:pt>
                <c:pt idx="2">
                  <c:v>149.8305</c:v>
                </c:pt>
                <c:pt idx="3">
                  <c:v>261.71429999999998</c:v>
                </c:pt>
                <c:pt idx="4">
                  <c:v>38.3018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166180</c:v>
                </c:pt>
                <c:pt idx="1">
                  <c:v>161365</c:v>
                </c:pt>
                <c:pt idx="2">
                  <c:v>122168</c:v>
                </c:pt>
                <c:pt idx="3">
                  <c:v>202940</c:v>
                </c:pt>
                <c:pt idx="4">
                  <c:v>247227</c:v>
                </c:pt>
                <c:pt idx="5">
                  <c:v>355297</c:v>
                </c:pt>
                <c:pt idx="6">
                  <c:v>220571</c:v>
                </c:pt>
                <c:pt idx="7">
                  <c:v>207721</c:v>
                </c:pt>
                <c:pt idx="8">
                  <c:v>281442</c:v>
                </c:pt>
                <c:pt idx="9">
                  <c:v>268136</c:v>
                </c:pt>
                <c:pt idx="10">
                  <c:v>300478</c:v>
                </c:pt>
                <c:pt idx="11">
                  <c:v>250957</c:v>
                </c:pt>
                <c:pt idx="12">
                  <c:v>189825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234526.2</c:v>
                </c:pt>
                <c:pt idx="1">
                  <c:v>421030.7</c:v>
                </c:pt>
                <c:pt idx="2">
                  <c:v>612250.1</c:v>
                </c:pt>
                <c:pt idx="3">
                  <c:v>498564</c:v>
                </c:pt>
                <c:pt idx="4">
                  <c:v>479450.3</c:v>
                </c:pt>
                <c:pt idx="5">
                  <c:v>601360.30000000005</c:v>
                </c:pt>
                <c:pt idx="6">
                  <c:v>1152051.3999999999</c:v>
                </c:pt>
                <c:pt idx="7">
                  <c:v>900435.9</c:v>
                </c:pt>
                <c:pt idx="8">
                  <c:v>429259.5</c:v>
                </c:pt>
                <c:pt idx="9">
                  <c:v>174851.8</c:v>
                </c:pt>
                <c:pt idx="10">
                  <c:v>246096.4</c:v>
                </c:pt>
                <c:pt idx="11">
                  <c:v>289538.3</c:v>
                </c:pt>
                <c:pt idx="12">
                  <c:v>653476.1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3495.6</c:v>
                </c:pt>
                <c:pt idx="6">
                  <c:v>585</c:v>
                </c:pt>
                <c:pt idx="7">
                  <c:v>185</c:v>
                </c:pt>
                <c:pt idx="8">
                  <c:v>370</c:v>
                </c:pt>
                <c:pt idx="9">
                  <c:v>11.5</c:v>
                </c:pt>
                <c:pt idx="10">
                  <c:v>0</c:v>
                </c:pt>
                <c:pt idx="11">
                  <c:v>0</c:v>
                </c:pt>
                <c:pt idx="12">
                  <c:v>10686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5517.1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630</c:v>
                </c:pt>
                <c:pt idx="8">
                  <c:v>680</c:v>
                </c:pt>
                <c:pt idx="9">
                  <c:v>1020</c:v>
                </c:pt>
                <c:pt idx="10">
                  <c:v>2161.8000000000002</c:v>
                </c:pt>
                <c:pt idx="11">
                  <c:v>33.4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1775.2</c:v>
                </c:pt>
                <c:pt idx="2">
                  <c:v>164.2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94.939291769700006</c:v>
                </c:pt>
                <c:pt idx="1">
                  <c:v>79.583340354699999</c:v>
                </c:pt>
                <c:pt idx="2">
                  <c:v>70.783519491299998</c:v>
                </c:pt>
                <c:pt idx="3">
                  <c:v>82.571699077999995</c:v>
                </c:pt>
                <c:pt idx="4">
                  <c:v>74.016771199499999</c:v>
                </c:pt>
                <c:pt idx="5">
                  <c:v>69.328448760599997</c:v>
                </c:pt>
                <c:pt idx="6">
                  <c:v>70.477766133000003</c:v>
                </c:pt>
                <c:pt idx="7">
                  <c:v>66.470122552199996</c:v>
                </c:pt>
                <c:pt idx="8">
                  <c:v>72.682289687999997</c:v>
                </c:pt>
                <c:pt idx="9">
                  <c:v>77.2642985313</c:v>
                </c:pt>
                <c:pt idx="10">
                  <c:v>83.621371904900002</c:v>
                </c:pt>
                <c:pt idx="11">
                  <c:v>76.806715394700007</c:v>
                </c:pt>
                <c:pt idx="12">
                  <c:v>75.506191159099998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1161</c:v>
                </c:pt>
                <c:pt idx="1">
                  <c:v>846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34847</c:v>
                </c:pt>
                <c:pt idx="1">
                  <c:v>1898.8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73835.8</c:v>
                </c:pt>
                <c:pt idx="9">
                  <c:v>239981.7</c:v>
                </c:pt>
                <c:pt idx="10">
                  <c:v>103567.5</c:v>
                </c:pt>
                <c:pt idx="11">
                  <c:v>30277.5</c:v>
                </c:pt>
                <c:pt idx="12">
                  <c:v>9485.2999999999993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340.9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271.39999999999998</c:v>
                </c:pt>
                <c:pt idx="9">
                  <c:v>135.5</c:v>
                </c:pt>
                <c:pt idx="10">
                  <c:v>0</c:v>
                </c:pt>
                <c:pt idx="11">
                  <c:v>252.2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9473.4</c:v>
                </c:pt>
                <c:pt idx="1">
                  <c:v>12932.4</c:v>
                </c:pt>
                <c:pt idx="2">
                  <c:v>464.6</c:v>
                </c:pt>
                <c:pt idx="3">
                  <c:v>3444.7</c:v>
                </c:pt>
                <c:pt idx="4">
                  <c:v>0</c:v>
                </c:pt>
                <c:pt idx="5">
                  <c:v>1293.5999999999999</c:v>
                </c:pt>
                <c:pt idx="6">
                  <c:v>227.5</c:v>
                </c:pt>
                <c:pt idx="7">
                  <c:v>0</c:v>
                </c:pt>
                <c:pt idx="8">
                  <c:v>5567.4</c:v>
                </c:pt>
                <c:pt idx="9">
                  <c:v>5593.5</c:v>
                </c:pt>
                <c:pt idx="10">
                  <c:v>2385.4</c:v>
                </c:pt>
                <c:pt idx="11">
                  <c:v>15007.3</c:v>
                </c:pt>
                <c:pt idx="12">
                  <c:v>12915.2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120</c:v>
                </c:pt>
                <c:pt idx="1">
                  <c:v>1173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1910.2</c:v>
                </c:pt>
                <c:pt idx="6">
                  <c:v>0</c:v>
                </c:pt>
                <c:pt idx="7">
                  <c:v>946.5</c:v>
                </c:pt>
                <c:pt idx="8">
                  <c:v>2850.8</c:v>
                </c:pt>
                <c:pt idx="9">
                  <c:v>740.7</c:v>
                </c:pt>
                <c:pt idx="10">
                  <c:v>710</c:v>
                </c:pt>
                <c:pt idx="11">
                  <c:v>8686.7999999999993</c:v>
                </c:pt>
                <c:pt idx="12">
                  <c:v>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10"/>
          <c:order val="6"/>
          <c:tx>
            <c:strRef>
              <c:f>Dat_01!$B$148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Dat_01!$C$148:$O$148</c:f>
              <c:numCache>
                <c:formatCode>#,##0;\(#,##0\)</c:formatCode>
                <c:ptCount val="13"/>
                <c:pt idx="0">
                  <c:v>0</c:v>
                </c:pt>
                <c:pt idx="1">
                  <c:v>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2-4C87-A439-FF00896A3232}"/>
            </c:ext>
          </c:extLst>
        </c:ser>
        <c:ser>
          <c:idx val="4"/>
          <c:order val="7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21.4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61.6</c:v>
                </c:pt>
                <c:pt idx="8">
                  <c:v>0</c:v>
                </c:pt>
                <c:pt idx="9">
                  <c:v>320.39999999999998</c:v>
                </c:pt>
                <c:pt idx="10">
                  <c:v>170.6</c:v>
                </c:pt>
                <c:pt idx="11">
                  <c:v>0</c:v>
                </c:pt>
                <c:pt idx="12">
                  <c:v>195.7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8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39.799999999999997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516</c:v>
                </c:pt>
                <c:pt idx="8">
                  <c:v>0</c:v>
                </c:pt>
                <c:pt idx="9">
                  <c:v>0</c:v>
                </c:pt>
                <c:pt idx="10">
                  <c:v>366.5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9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400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4657.8999999999996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640</c:v>
                </c:pt>
                <c:pt idx="10">
                  <c:v>0</c:v>
                </c:pt>
                <c:pt idx="11">
                  <c:v>1087</c:v>
                </c:pt>
                <c:pt idx="12">
                  <c:v>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46.569191081</c:v>
                </c:pt>
                <c:pt idx="1">
                  <c:v>40.029961334900001</c:v>
                </c:pt>
                <c:pt idx="2">
                  <c:v>31.518503603999999</c:v>
                </c:pt>
                <c:pt idx="3">
                  <c:v>40.145056849299998</c:v>
                </c:pt>
                <c:pt idx="4">
                  <c:v>34.889660995299998</c:v>
                </c:pt>
                <c:pt idx="5">
                  <c:v>26.4821392405</c:v>
                </c:pt>
                <c:pt idx="6">
                  <c:v>16.942672728400002</c:v>
                </c:pt>
                <c:pt idx="7">
                  <c:v>20.098804550400001</c:v>
                </c:pt>
                <c:pt idx="8">
                  <c:v>29.1310690022</c:v>
                </c:pt>
                <c:pt idx="9">
                  <c:v>34.5802106971</c:v>
                </c:pt>
                <c:pt idx="10">
                  <c:v>35.661521116099998</c:v>
                </c:pt>
                <c:pt idx="11">
                  <c:v>40.431379108199998</c:v>
                </c:pt>
                <c:pt idx="12">
                  <c:v>35.116271838300001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378029315569378"/>
          <c:h val="0.1849296331809584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589.34899328860001</c:v>
                </c:pt>
                <c:pt idx="1">
                  <c:v>605.42222222220005</c:v>
                </c:pt>
                <c:pt idx="2">
                  <c:v>596.99865591399998</c:v>
                </c:pt>
                <c:pt idx="3">
                  <c:v>597.48790322579998</c:v>
                </c:pt>
                <c:pt idx="4">
                  <c:v>605.632183908</c:v>
                </c:pt>
                <c:pt idx="5">
                  <c:v>611.35127860030002</c:v>
                </c:pt>
                <c:pt idx="6">
                  <c:v>610.48333333330004</c:v>
                </c:pt>
                <c:pt idx="7">
                  <c:v>582.7446236559</c:v>
                </c:pt>
                <c:pt idx="8">
                  <c:v>571.89722222219996</c:v>
                </c:pt>
                <c:pt idx="9">
                  <c:v>590.05779569890001</c:v>
                </c:pt>
                <c:pt idx="10">
                  <c:v>589.66129032260005</c:v>
                </c:pt>
                <c:pt idx="11">
                  <c:v>587.73749999999995</c:v>
                </c:pt>
                <c:pt idx="12">
                  <c:v>590.79597315440003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7.1356989842000003</c:v>
                </c:pt>
                <c:pt idx="1">
                  <c:v>10.1362816848</c:v>
                </c:pt>
                <c:pt idx="2">
                  <c:v>14.1765375159</c:v>
                </c:pt>
                <c:pt idx="3">
                  <c:v>7.221390092</c:v>
                </c:pt>
                <c:pt idx="4">
                  <c:v>7.5081212252</c:v>
                </c:pt>
                <c:pt idx="5">
                  <c:v>7.6719758948000001</c:v>
                </c:pt>
                <c:pt idx="6">
                  <c:v>8.2256635420999995</c:v>
                </c:pt>
                <c:pt idx="7">
                  <c:v>7.2676989898000004</c:v>
                </c:pt>
                <c:pt idx="8">
                  <c:v>8.1676430223000001</c:v>
                </c:pt>
                <c:pt idx="9">
                  <c:v>7.8235343278</c:v>
                </c:pt>
                <c:pt idx="10">
                  <c:v>7.5882339302000004</c:v>
                </c:pt>
                <c:pt idx="11">
                  <c:v>8.9271791816999997</c:v>
                </c:pt>
                <c:pt idx="12">
                  <c:v>11.37429957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0.13729</cdr:x>
      <cdr:y>0.9356</cdr:y>
    </cdr:from>
    <cdr:to>
      <cdr:x>0.22772</cdr:x>
      <cdr:y>0.99654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968675" y="2734076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0.58572</cdr:x>
      <cdr:y>0.92832</cdr:y>
    </cdr:from>
    <cdr:to>
      <cdr:x>0.66553</cdr:x>
      <cdr:y>0.99348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32641" y="2712805"/>
          <a:ext cx="563110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0.26629</cdr:x>
      <cdr:y>0.12367</cdr:y>
    </cdr:from>
    <cdr:to>
      <cdr:x>0.2663</cdr:x>
      <cdr:y>0.81322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2038196" y="306521"/>
          <a:ext cx="76" cy="17090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0.59036</cdr:x>
      <cdr:y>0.89841</cdr:y>
    </cdr:from>
    <cdr:to>
      <cdr:x>0.66399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4518657" y="2226773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0.13035</cdr:x>
      <cdr:y>0.9011</cdr:y>
    </cdr:from>
    <cdr:to>
      <cdr:x>0.20397</cdr:x>
      <cdr:y>0.97455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997666" y="2233440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0.26471</cdr:x>
      <cdr:y>0.06376</cdr:y>
    </cdr:from>
    <cdr:to>
      <cdr:x>0.26505</cdr:x>
      <cdr:y>0.76513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2136030" y="154556"/>
          <a:ext cx="2744" cy="170013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0.26684</cdr:x>
      <cdr:y>0.12882</cdr:y>
    </cdr:from>
    <cdr:to>
      <cdr:x>0.26758</cdr:x>
      <cdr:y>0.81987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2101281" y="292715"/>
          <a:ext cx="5828" cy="15702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0.59444</cdr:x>
      <cdr:y>0.87227</cdr:y>
    </cdr:from>
    <cdr:to>
      <cdr:x>0.66924</cdr:x>
      <cdr:y>0.95086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81088" y="1981972"/>
          <a:ext cx="589038" cy="178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0.1463</cdr:x>
      <cdr:y>0.87435</cdr:y>
    </cdr:from>
    <cdr:to>
      <cdr:x>0.2211</cdr:x>
      <cdr:y>0.95294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152077" y="1986698"/>
          <a:ext cx="589037" cy="178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0.26511</cdr:x>
      <cdr:y>0.03318</cdr:y>
    </cdr:from>
    <cdr:to>
      <cdr:x>0.26538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1997895" y="56626"/>
          <a:ext cx="2034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0.26673</cdr:x>
      <cdr:y>0.12458</cdr:y>
    </cdr:from>
    <cdr:to>
      <cdr:x>0.26692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2100422" y="286166"/>
          <a:ext cx="1496" cy="16065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0.59017</cdr:x>
      <cdr:y>0.89456</cdr:y>
    </cdr:from>
    <cdr:to>
      <cdr:x>0.66498</cdr:x>
      <cdr:y>0.97234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47456" y="2054851"/>
          <a:ext cx="589115" cy="178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0.13065</cdr:x>
      <cdr:y>0.89519</cdr:y>
    </cdr:from>
    <cdr:to>
      <cdr:x>0.20544</cdr:x>
      <cdr:y>0.97297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28829" y="2056301"/>
          <a:ext cx="588958" cy="178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0.26656</cdr:x>
      <cdr:y>0.04681</cdr:y>
    </cdr:from>
    <cdr:to>
      <cdr:x>0.26766</cdr:x>
      <cdr:y>0.87392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2099361" y="79758"/>
          <a:ext cx="8663" cy="14094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0.2687</cdr:x>
      <cdr:y>0.10121</cdr:y>
    </cdr:from>
    <cdr:to>
      <cdr:x>0.26928</cdr:x>
      <cdr:y>0.81674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2136491" y="256255"/>
          <a:ext cx="4612" cy="181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0.26485</cdr:x>
      <cdr:y>0.17871</cdr:y>
    </cdr:from>
    <cdr:to>
      <cdr:x>0.26553</cdr:x>
      <cdr:y>0.86188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1995671" y="478627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0.58824</cdr:x>
      <cdr:y>0.92954</cdr:y>
    </cdr:from>
    <cdr:to>
      <cdr:x>0.66304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77143" y="2442256"/>
          <a:ext cx="594746" cy="18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0.131</cdr:x>
      <cdr:y>0.92955</cdr:y>
    </cdr:from>
    <cdr:to>
      <cdr:x>0.20578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41572" y="2442282"/>
          <a:ext cx="594587" cy="185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0.26713</cdr:x>
      <cdr:y>0.08971</cdr:y>
    </cdr:from>
    <cdr:to>
      <cdr:x>0.26722</cdr:x>
      <cdr:y>0.71304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2124019" y="286357"/>
          <a:ext cx="715" cy="19896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0.26478</cdr:x>
      <cdr:y>0.09403</cdr:y>
    </cdr:from>
    <cdr:to>
      <cdr:x>0.26568</cdr:x>
      <cdr:y>0.85165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1995143" y="242858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0.61572</cdr:x>
      <cdr:y>0.92585</cdr:y>
    </cdr:from>
    <cdr:to>
      <cdr:x>0.69052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39569" y="2391260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0.1712</cdr:x>
      <cdr:y>0.92586</cdr:y>
    </cdr:from>
    <cdr:to>
      <cdr:x>0.24599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290061" y="2391286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0.45766</cdr:x>
      <cdr:y>0.3335</cdr:y>
    </cdr:from>
    <cdr:to>
      <cdr:x>0.58716</cdr:x>
      <cdr:y>0.3945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3413" y="857682"/>
          <a:ext cx="776275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0.42918</cdr:x>
      <cdr:y>0.67427</cdr:y>
    </cdr:from>
    <cdr:to>
      <cdr:x>0.55868</cdr:x>
      <cdr:y>0.73526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2677" y="1734065"/>
          <a:ext cx="77627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0.26322</cdr:x>
      <cdr:y>0.09276</cdr:y>
    </cdr:from>
    <cdr:to>
      <cdr:x>0.26459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2051102" y="271208"/>
          <a:ext cx="10675" cy="19559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0.26564</cdr:x>
      <cdr:y>0.10527</cdr:y>
    </cdr:from>
    <cdr:to>
      <cdr:x>0.26763</cdr:x>
      <cdr:y>0.8711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2085128" y="266544"/>
          <a:ext cx="15620" cy="19390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0.58114</cdr:x>
      <cdr:y>0.92954</cdr:y>
    </cdr:from>
    <cdr:to>
      <cdr:x>0.65686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561655" y="2353564"/>
          <a:ext cx="594367" cy="17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0.13569</cdr:x>
      <cdr:y>0.92704</cdr:y>
    </cdr:from>
    <cdr:to>
      <cdr:x>0.2114</cdr:x>
      <cdr:y>0.99749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65124" y="2347239"/>
          <a:ext cx="594288" cy="178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1473063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0.25883</cdr:x>
      <cdr:y>0.08021</cdr:y>
    </cdr:from>
    <cdr:to>
      <cdr:x>0.26056</cdr:x>
      <cdr:y>0.85673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1949883" y="302716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0.68574</cdr:x>
      <cdr:y>0.89995</cdr:y>
    </cdr:from>
    <cdr:to>
      <cdr:x>0.76058</cdr:x>
      <cdr:y>0.94818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65967" y="3396394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0.16509</cdr:x>
      <cdr:y>0.89618</cdr:y>
    </cdr:from>
    <cdr:to>
      <cdr:x>0.23992</cdr:x>
      <cdr:y>0.94442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243717" y="3382144"/>
          <a:ext cx="563727" cy="182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0.28634</cdr:x>
      <cdr:y>0.21961</cdr:y>
    </cdr:from>
    <cdr:to>
      <cdr:x>0.28636</cdr:x>
      <cdr:y>0.88409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2117342" y="661701"/>
          <a:ext cx="148" cy="200212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0.16238</cdr:x>
      <cdr:y>0.92549</cdr:y>
    </cdr:from>
    <cdr:to>
      <cdr:x>0.24219</cdr:x>
      <cdr:y>0.98757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146091" y="283853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0.69411</cdr:x>
      <cdr:y>0.9317</cdr:y>
    </cdr:from>
    <cdr:to>
      <cdr:x>0.77392</cdr:x>
      <cdr:y>0.99378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99058" y="2857570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0.60027</cdr:x>
      <cdr:y>0.90772</cdr:y>
    </cdr:from>
    <cdr:to>
      <cdr:x>0.68008</cdr:x>
      <cdr:y>0.97122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236733" y="272176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0.28449</cdr:x>
      <cdr:y>0.16519</cdr:y>
    </cdr:from>
    <cdr:to>
      <cdr:x>0.28467</cdr:x>
      <cdr:y>0.8507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2007944" y="495317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0.15295</cdr:x>
      <cdr:y>0.90956</cdr:y>
    </cdr:from>
    <cdr:to>
      <cdr:x>0.23276</cdr:x>
      <cdr:y>0.97306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79496" y="272728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1901878</xdr:colOff>
      <xdr:row>10</xdr:row>
      <xdr:rowOff>11663</xdr:rowOff>
    </xdr:from>
    <xdr:to>
      <xdr:col>4</xdr:col>
      <xdr:colOff>1901878</xdr:colOff>
      <xdr:row>21</xdr:row>
      <xdr:rowOff>121200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3759253" y="1678538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G25" sqref="G25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Octubre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89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89</v>
      </c>
      <c r="E9" s="116" t="s">
        <v>90</v>
      </c>
      <c r="F9" s="117"/>
      <c r="G9" s="88"/>
    </row>
    <row r="10" spans="2:8" s="2" customFormat="1" ht="12.6" customHeight="1">
      <c r="B10" s="3"/>
      <c r="C10" s="114"/>
      <c r="D10" s="115" t="s">
        <v>89</v>
      </c>
      <c r="E10" s="116" t="s">
        <v>91</v>
      </c>
      <c r="F10" s="117"/>
      <c r="H10" s="118"/>
    </row>
    <row r="11" spans="2:8" s="2" customFormat="1" ht="12.6" customHeight="1">
      <c r="B11" s="3"/>
      <c r="C11" s="114"/>
      <c r="D11" s="115" t="s">
        <v>89</v>
      </c>
      <c r="E11" s="116" t="s">
        <v>92</v>
      </c>
      <c r="F11" s="117"/>
      <c r="H11" s="118"/>
    </row>
    <row r="12" spans="2:8" s="2" customFormat="1" ht="12.6" customHeight="1">
      <c r="B12" s="3"/>
      <c r="C12" s="114"/>
      <c r="D12" s="115" t="s">
        <v>89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89</v>
      </c>
      <c r="E13" s="116" t="s">
        <v>93</v>
      </c>
      <c r="F13" s="117"/>
    </row>
    <row r="14" spans="2:8" s="2" customFormat="1" ht="12.6" customHeight="1">
      <c r="B14" s="3"/>
      <c r="C14" s="114"/>
      <c r="D14" s="115" t="s">
        <v>89</v>
      </c>
      <c r="E14" s="116" t="s">
        <v>55</v>
      </c>
      <c r="F14" s="117"/>
    </row>
    <row r="15" spans="2:8" s="2" customFormat="1" ht="12.6" customHeight="1">
      <c r="B15" s="3"/>
      <c r="C15" s="114"/>
      <c r="D15" s="115" t="s">
        <v>89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89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89</v>
      </c>
      <c r="E17" s="116" t="s">
        <v>61</v>
      </c>
      <c r="F17" s="117"/>
    </row>
    <row r="18" spans="2:6" s="2" customFormat="1" ht="12.6" customHeight="1">
      <c r="B18" s="3"/>
      <c r="C18" s="114"/>
      <c r="D18" s="115" t="s">
        <v>89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89</v>
      </c>
      <c r="E19" s="116" t="s">
        <v>290</v>
      </c>
      <c r="F19" s="117"/>
    </row>
    <row r="20" spans="2:6" s="2" customFormat="1" ht="12.6" customHeight="1">
      <c r="B20" s="3"/>
      <c r="C20" s="114"/>
      <c r="D20" s="115" t="s">
        <v>89</v>
      </c>
      <c r="E20" s="116" t="s">
        <v>27</v>
      </c>
      <c r="F20" s="117"/>
    </row>
    <row r="21" spans="2:6" s="2" customFormat="1" ht="12.6" customHeight="1">
      <c r="B21" s="3"/>
      <c r="C21" s="114"/>
      <c r="D21" s="119" t="s">
        <v>89</v>
      </c>
      <c r="E21" s="116" t="s">
        <v>26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94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topLeftCell="A19" zoomScaleNormal="100" workbookViewId="0">
      <selection activeCell="J22" sqref="J22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Octubre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1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60</v>
      </c>
      <c r="F9" s="35"/>
      <c r="G9" s="35"/>
    </row>
    <row r="10" spans="1:38">
      <c r="B10" s="291"/>
      <c r="F10" s="35"/>
      <c r="G10" s="35"/>
    </row>
    <row r="11" spans="1:38">
      <c r="B11" s="291"/>
      <c r="F11" s="35"/>
      <c r="G11" s="35"/>
    </row>
    <row r="12" spans="1:38" s="34" customFormat="1">
      <c r="B12" s="291"/>
      <c r="F12" s="35"/>
      <c r="G12" s="35"/>
    </row>
    <row r="13" spans="1:38">
      <c r="B13" s="291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R24" sqref="R24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Octubre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1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272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Octubre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1" t="s">
        <v>61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60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R26" sqref="R2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Octubre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60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N21" sqref="N2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Octubre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1" t="s">
        <v>290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91"/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topLeftCell="A16" zoomScaleNormal="100" workbookViewId="0">
      <selection activeCell="O27" sqref="O27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Octubre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1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60</v>
      </c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topLeftCell="A3" zoomScaleNormal="100" workbookViewId="0">
      <selection activeCell="N23" sqref="N23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Octubre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1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59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topLeftCell="A342" zoomScale="85" zoomScaleNormal="85" zoomScaleSheetLayoutView="95" workbookViewId="0">
      <selection activeCell="P370" sqref="P370"/>
    </sheetView>
  </sheetViews>
  <sheetFormatPr baseColWidth="10" defaultRowHeight="12.75"/>
  <cols>
    <col min="1" max="1" width="8" bestFit="1" customWidth="1"/>
    <col min="2" max="2" width="15.5703125" customWidth="1"/>
    <col min="3" max="3" width="12.42578125" bestFit="1" customWidth="1"/>
    <col min="4" max="4" width="15" bestFit="1" customWidth="1"/>
    <col min="5" max="5" width="14.28515625" bestFit="1" customWidth="1"/>
    <col min="6" max="6" width="11" bestFit="1" customWidth="1"/>
    <col min="7" max="7" width="12.7109375" bestFit="1" customWidth="1"/>
    <col min="8" max="8" width="11.42578125" bestFit="1" customWidth="1"/>
    <col min="9" max="9" width="10" bestFit="1" customWidth="1"/>
    <col min="10" max="11" width="10.7109375" bestFit="1" customWidth="1"/>
    <col min="12" max="12" width="10.28515625" bestFit="1" customWidth="1"/>
    <col min="13" max="13" width="12.42578125" bestFit="1" customWidth="1"/>
    <col min="14" max="14" width="15.5703125" bestFit="1" customWidth="1"/>
    <col min="15" max="15" width="12.7109375" bestFit="1" customWidth="1"/>
    <col min="16" max="29" width="14.7109375" customWidth="1"/>
  </cols>
  <sheetData>
    <row r="1" spans="1:29" ht="14.25">
      <c r="A1" s="139" t="s">
        <v>170</v>
      </c>
    </row>
    <row r="2" spans="1:29" ht="14.25">
      <c r="A2" s="159" t="str">
        <f>MID(B5,6,LEN(B5))&amp;" "&amp;MID(B5,1,4)</f>
        <v>Octubre 2020</v>
      </c>
      <c r="D2" s="73"/>
    </row>
    <row r="4" spans="1:29">
      <c r="A4" s="214" t="s">
        <v>31</v>
      </c>
      <c r="B4" s="304" t="s">
        <v>124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>
      <c r="A5" s="239" t="s">
        <v>123</v>
      </c>
      <c r="B5" s="310" t="s">
        <v>320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</row>
    <row r="6" spans="1:29">
      <c r="A6" s="239" t="s">
        <v>151</v>
      </c>
      <c r="B6" s="218" t="s">
        <v>125</v>
      </c>
      <c r="C6" s="218" t="s">
        <v>126</v>
      </c>
      <c r="D6" s="218" t="s">
        <v>95</v>
      </c>
      <c r="E6" s="288" t="s">
        <v>127</v>
      </c>
      <c r="F6" s="288" t="s">
        <v>128</v>
      </c>
      <c r="G6" s="288" t="s">
        <v>129</v>
      </c>
      <c r="H6" s="288" t="s">
        <v>130</v>
      </c>
      <c r="I6" s="288" t="s">
        <v>131</v>
      </c>
      <c r="J6" s="288" t="s">
        <v>132</v>
      </c>
      <c r="K6" s="288" t="s">
        <v>133</v>
      </c>
      <c r="L6" s="288" t="s">
        <v>134</v>
      </c>
      <c r="M6" s="288" t="s">
        <v>135</v>
      </c>
      <c r="N6" s="288" t="s">
        <v>136</v>
      </c>
      <c r="O6" s="288" t="s">
        <v>137</v>
      </c>
      <c r="P6" s="288" t="s">
        <v>138</v>
      </c>
      <c r="Q6" s="288" t="s">
        <v>139</v>
      </c>
      <c r="R6" s="288" t="s">
        <v>140</v>
      </c>
      <c r="S6" s="288" t="s">
        <v>141</v>
      </c>
      <c r="T6" s="288" t="s">
        <v>142</v>
      </c>
      <c r="U6" s="288" t="s">
        <v>143</v>
      </c>
      <c r="V6" s="288" t="s">
        <v>144</v>
      </c>
      <c r="W6" s="288" t="s">
        <v>145</v>
      </c>
      <c r="X6" s="288" t="s">
        <v>146</v>
      </c>
      <c r="Y6" s="288" t="s">
        <v>147</v>
      </c>
      <c r="Z6" s="288" t="s">
        <v>148</v>
      </c>
      <c r="AA6" s="288" t="s">
        <v>149</v>
      </c>
      <c r="AB6" s="288" t="s">
        <v>150</v>
      </c>
      <c r="AC6" s="288" t="s">
        <v>152</v>
      </c>
    </row>
    <row r="7" spans="1:29">
      <c r="A7" s="214" t="s">
        <v>156</v>
      </c>
      <c r="B7" s="219"/>
      <c r="C7" s="219"/>
      <c r="D7" s="21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</row>
    <row r="8" spans="1:29">
      <c r="A8" s="240" t="s">
        <v>127</v>
      </c>
      <c r="B8" s="220">
        <v>29.75</v>
      </c>
      <c r="C8" s="220">
        <v>54.83</v>
      </c>
      <c r="D8" s="220">
        <v>42.255346638699997</v>
      </c>
      <c r="E8" s="215">
        <v>38.700000000000003</v>
      </c>
      <c r="F8" s="215">
        <v>34.07</v>
      </c>
      <c r="G8" s="215">
        <v>31.18</v>
      </c>
      <c r="H8" s="215">
        <v>29.75</v>
      </c>
      <c r="I8" s="215">
        <v>30.82</v>
      </c>
      <c r="J8" s="215">
        <v>34.04</v>
      </c>
      <c r="K8" s="215">
        <v>43.53</v>
      </c>
      <c r="L8" s="275">
        <v>52.35</v>
      </c>
      <c r="M8" s="275">
        <v>54.83</v>
      </c>
      <c r="N8" s="275">
        <v>54</v>
      </c>
      <c r="O8" s="275">
        <v>51.73</v>
      </c>
      <c r="P8" s="275">
        <v>48.99</v>
      </c>
      <c r="Q8" s="275">
        <v>45.65</v>
      </c>
      <c r="R8" s="215">
        <v>44.36</v>
      </c>
      <c r="S8" s="215">
        <v>41.93</v>
      </c>
      <c r="T8" s="215">
        <v>38.33</v>
      </c>
      <c r="U8" s="215">
        <v>36.200000000000003</v>
      </c>
      <c r="V8" s="215">
        <v>37.950000000000003</v>
      </c>
      <c r="W8" s="215">
        <v>40</v>
      </c>
      <c r="X8" s="215">
        <v>40.07</v>
      </c>
      <c r="Y8" s="275">
        <v>50.81</v>
      </c>
      <c r="Z8" s="275">
        <v>46.08</v>
      </c>
      <c r="AA8" s="215">
        <v>40.07</v>
      </c>
      <c r="AB8" s="215">
        <v>30</v>
      </c>
      <c r="AC8" s="216" t="s">
        <v>96</v>
      </c>
    </row>
    <row r="9" spans="1:29">
      <c r="A9" s="240" t="s">
        <v>128</v>
      </c>
      <c r="B9" s="220">
        <v>16.55</v>
      </c>
      <c r="C9" s="220">
        <v>40</v>
      </c>
      <c r="D9" s="220">
        <v>24.890652486600001</v>
      </c>
      <c r="E9" s="238">
        <v>22.44</v>
      </c>
      <c r="F9" s="238">
        <v>20.34</v>
      </c>
      <c r="G9" s="238">
        <v>18.25</v>
      </c>
      <c r="H9" s="238">
        <v>17</v>
      </c>
      <c r="I9" s="238">
        <v>16.55</v>
      </c>
      <c r="J9" s="238">
        <v>16.89</v>
      </c>
      <c r="K9" s="238">
        <v>20.32</v>
      </c>
      <c r="L9" s="238">
        <v>24</v>
      </c>
      <c r="M9" s="215">
        <v>26.1</v>
      </c>
      <c r="N9" s="215">
        <v>30.19</v>
      </c>
      <c r="O9" s="215">
        <v>28</v>
      </c>
      <c r="P9" s="215">
        <v>28</v>
      </c>
      <c r="Q9" s="215">
        <v>30.2</v>
      </c>
      <c r="R9" s="215">
        <v>28.6</v>
      </c>
      <c r="S9" s="238">
        <v>20.59</v>
      </c>
      <c r="T9" s="238">
        <v>19.84</v>
      </c>
      <c r="U9" s="238">
        <v>19.579999999999998</v>
      </c>
      <c r="V9" s="238">
        <v>19.84</v>
      </c>
      <c r="W9" s="238">
        <v>22.44</v>
      </c>
      <c r="X9" s="215">
        <v>30.23</v>
      </c>
      <c r="Y9" s="215">
        <v>40</v>
      </c>
      <c r="Z9" s="215">
        <v>36.78</v>
      </c>
      <c r="AA9" s="215">
        <v>34.65</v>
      </c>
      <c r="AB9" s="238">
        <v>24.27</v>
      </c>
      <c r="AC9" s="216" t="s">
        <v>96</v>
      </c>
    </row>
    <row r="10" spans="1:29">
      <c r="A10" s="240" t="s">
        <v>129</v>
      </c>
      <c r="B10" s="220">
        <v>11.3</v>
      </c>
      <c r="C10" s="220">
        <v>39.72</v>
      </c>
      <c r="D10" s="220">
        <v>18.551581004199999</v>
      </c>
      <c r="E10" s="238">
        <v>18.13</v>
      </c>
      <c r="F10" s="238">
        <v>16</v>
      </c>
      <c r="G10" s="238">
        <v>12.52</v>
      </c>
      <c r="H10" s="238">
        <v>11.39</v>
      </c>
      <c r="I10" s="238">
        <v>11.3</v>
      </c>
      <c r="J10" s="238">
        <v>11.5</v>
      </c>
      <c r="K10" s="238">
        <v>15.57</v>
      </c>
      <c r="L10" s="238">
        <v>18.13</v>
      </c>
      <c r="M10" s="238">
        <v>18.93</v>
      </c>
      <c r="N10" s="238">
        <v>20</v>
      </c>
      <c r="O10" s="238">
        <v>18.13</v>
      </c>
      <c r="P10" s="238">
        <v>14</v>
      </c>
      <c r="Q10" s="238">
        <v>13.99</v>
      </c>
      <c r="R10" s="238">
        <v>16.25</v>
      </c>
      <c r="S10" s="238">
        <v>15.75</v>
      </c>
      <c r="T10" s="238">
        <v>13.78</v>
      </c>
      <c r="U10" s="238">
        <v>11.5</v>
      </c>
      <c r="V10" s="238">
        <v>13.89</v>
      </c>
      <c r="W10" s="238">
        <v>19.2</v>
      </c>
      <c r="X10" s="215">
        <v>30.67</v>
      </c>
      <c r="Y10" s="215">
        <v>39.72</v>
      </c>
      <c r="Z10" s="215">
        <v>34.33</v>
      </c>
      <c r="AA10" s="215">
        <v>33.270000000000003</v>
      </c>
      <c r="AB10" s="215">
        <v>31.25</v>
      </c>
      <c r="AC10" s="216" t="s">
        <v>96</v>
      </c>
    </row>
    <row r="11" spans="1:29">
      <c r="A11" s="240" t="s">
        <v>130</v>
      </c>
      <c r="B11" s="220">
        <v>2.5</v>
      </c>
      <c r="C11" s="220">
        <v>36</v>
      </c>
      <c r="D11" s="220">
        <v>14.0699051215</v>
      </c>
      <c r="E11" s="215">
        <v>27</v>
      </c>
      <c r="F11" s="238">
        <v>17.75</v>
      </c>
      <c r="G11" s="238">
        <v>14.44</v>
      </c>
      <c r="H11" s="238">
        <v>7.66</v>
      </c>
      <c r="I11" s="238">
        <v>5.5</v>
      </c>
      <c r="J11" s="238">
        <v>5.81</v>
      </c>
      <c r="K11" s="238">
        <v>6.78</v>
      </c>
      <c r="L11" s="238">
        <v>10</v>
      </c>
      <c r="M11" s="238">
        <v>10.85</v>
      </c>
      <c r="N11" s="238">
        <v>13.57</v>
      </c>
      <c r="O11" s="238">
        <v>15.44</v>
      </c>
      <c r="P11" s="238">
        <v>11.75</v>
      </c>
      <c r="Q11" s="238">
        <v>9.9700000000000006</v>
      </c>
      <c r="R11" s="238">
        <v>8</v>
      </c>
      <c r="S11" s="238">
        <v>4.9000000000000004</v>
      </c>
      <c r="T11" s="238">
        <v>2.5</v>
      </c>
      <c r="U11" s="238">
        <v>5.5</v>
      </c>
      <c r="V11" s="238">
        <v>5.95</v>
      </c>
      <c r="W11" s="238">
        <v>12.92</v>
      </c>
      <c r="X11" s="238">
        <v>21</v>
      </c>
      <c r="Y11" s="215">
        <v>36</v>
      </c>
      <c r="Z11" s="215">
        <v>32.99</v>
      </c>
      <c r="AA11" s="215">
        <v>31.25</v>
      </c>
      <c r="AB11" s="215">
        <v>28.06</v>
      </c>
      <c r="AC11" s="216" t="s">
        <v>96</v>
      </c>
    </row>
    <row r="12" spans="1:29">
      <c r="A12" s="240" t="s">
        <v>131</v>
      </c>
      <c r="B12" s="220">
        <v>14.2</v>
      </c>
      <c r="C12" s="220">
        <v>55.23</v>
      </c>
      <c r="D12" s="220">
        <v>36.319475247299998</v>
      </c>
      <c r="E12" s="238">
        <v>19.809999999999999</v>
      </c>
      <c r="F12" s="238">
        <v>14.62</v>
      </c>
      <c r="G12" s="238">
        <v>14.2</v>
      </c>
      <c r="H12" s="238">
        <v>14.2</v>
      </c>
      <c r="I12" s="238">
        <v>14.2</v>
      </c>
      <c r="J12" s="238">
        <v>20</v>
      </c>
      <c r="K12" s="215">
        <v>35.07</v>
      </c>
      <c r="L12" s="215">
        <v>44.41</v>
      </c>
      <c r="M12" s="275">
        <v>47.02</v>
      </c>
      <c r="N12" s="275">
        <v>46.49</v>
      </c>
      <c r="O12" s="215">
        <v>43.1</v>
      </c>
      <c r="P12" s="215">
        <v>39.51</v>
      </c>
      <c r="Q12" s="215">
        <v>38.06</v>
      </c>
      <c r="R12" s="215">
        <v>36.32</v>
      </c>
      <c r="S12" s="215">
        <v>33.33</v>
      </c>
      <c r="T12" s="215">
        <v>33.229999999999997</v>
      </c>
      <c r="U12" s="215">
        <v>34.07</v>
      </c>
      <c r="V12" s="215">
        <v>38.5</v>
      </c>
      <c r="W12" s="215">
        <v>41.71</v>
      </c>
      <c r="X12" s="275">
        <v>55.23</v>
      </c>
      <c r="Y12" s="275">
        <v>53.29</v>
      </c>
      <c r="Z12" s="275">
        <v>48.03</v>
      </c>
      <c r="AA12" s="215">
        <v>40.07</v>
      </c>
      <c r="AB12" s="215">
        <v>38.5</v>
      </c>
      <c r="AC12" s="216" t="s">
        <v>96</v>
      </c>
    </row>
    <row r="13" spans="1:29">
      <c r="A13" s="240" t="s">
        <v>132</v>
      </c>
      <c r="B13" s="220">
        <v>31.94</v>
      </c>
      <c r="C13" s="220">
        <v>52.99</v>
      </c>
      <c r="D13" s="220">
        <v>41.288729326000002</v>
      </c>
      <c r="E13" s="215">
        <v>42.57</v>
      </c>
      <c r="F13" s="215">
        <v>40</v>
      </c>
      <c r="G13" s="215">
        <v>35.39</v>
      </c>
      <c r="H13" s="215">
        <v>32.39</v>
      </c>
      <c r="I13" s="215">
        <v>32.5</v>
      </c>
      <c r="J13" s="215">
        <v>31.94</v>
      </c>
      <c r="K13" s="215">
        <v>33.1</v>
      </c>
      <c r="L13" s="215">
        <v>44.08</v>
      </c>
      <c r="M13" s="275">
        <v>46.75</v>
      </c>
      <c r="N13" s="275">
        <v>46.28</v>
      </c>
      <c r="O13" s="275">
        <v>45.2</v>
      </c>
      <c r="P13" s="215">
        <v>41.96</v>
      </c>
      <c r="Q13" s="215">
        <v>39.29</v>
      </c>
      <c r="R13" s="215">
        <v>36.08</v>
      </c>
      <c r="S13" s="215">
        <v>34.880000000000003</v>
      </c>
      <c r="T13" s="215">
        <v>34.909999999999997</v>
      </c>
      <c r="U13" s="215">
        <v>36.369999999999997</v>
      </c>
      <c r="V13" s="215">
        <v>41.07</v>
      </c>
      <c r="W13" s="215">
        <v>44.92</v>
      </c>
      <c r="X13" s="275">
        <v>49.35</v>
      </c>
      <c r="Y13" s="275">
        <v>52.99</v>
      </c>
      <c r="Z13" s="275">
        <v>50.8</v>
      </c>
      <c r="AA13" s="275">
        <v>46.75</v>
      </c>
      <c r="AB13" s="215">
        <v>44.4</v>
      </c>
      <c r="AC13" s="216" t="s">
        <v>96</v>
      </c>
    </row>
    <row r="14" spans="1:29">
      <c r="A14" s="240" t="s">
        <v>133</v>
      </c>
      <c r="B14" s="220">
        <v>34.21</v>
      </c>
      <c r="C14" s="220">
        <v>53</v>
      </c>
      <c r="D14" s="220">
        <v>43.1387263648</v>
      </c>
      <c r="E14" s="215">
        <v>41.63</v>
      </c>
      <c r="F14" s="215">
        <v>40.81</v>
      </c>
      <c r="G14" s="215">
        <v>39.67</v>
      </c>
      <c r="H14" s="215">
        <v>37.840000000000003</v>
      </c>
      <c r="I14" s="215">
        <v>36.200000000000003</v>
      </c>
      <c r="J14" s="215">
        <v>36.25</v>
      </c>
      <c r="K14" s="215">
        <v>37.32</v>
      </c>
      <c r="L14" s="275">
        <v>47.06</v>
      </c>
      <c r="M14" s="275">
        <v>51.54</v>
      </c>
      <c r="N14" s="275">
        <v>49.52</v>
      </c>
      <c r="O14" s="275">
        <v>46.75</v>
      </c>
      <c r="P14" s="215">
        <v>44.85</v>
      </c>
      <c r="Q14" s="215">
        <v>41.35</v>
      </c>
      <c r="R14" s="215">
        <v>38.4</v>
      </c>
      <c r="S14" s="215">
        <v>35.369999999999997</v>
      </c>
      <c r="T14" s="215">
        <v>34.21</v>
      </c>
      <c r="U14" s="215">
        <v>35.369999999999997</v>
      </c>
      <c r="V14" s="215">
        <v>40.03</v>
      </c>
      <c r="W14" s="275">
        <v>46.01</v>
      </c>
      <c r="X14" s="275">
        <v>52.97</v>
      </c>
      <c r="Y14" s="275">
        <v>53</v>
      </c>
      <c r="Z14" s="275">
        <v>51.61</v>
      </c>
      <c r="AA14" s="275">
        <v>49</v>
      </c>
      <c r="AB14" s="275">
        <v>45.67</v>
      </c>
      <c r="AC14" s="216" t="s">
        <v>96</v>
      </c>
    </row>
    <row r="15" spans="1:29">
      <c r="A15" s="240" t="s">
        <v>134</v>
      </c>
      <c r="B15" s="220">
        <v>35.020000000000003</v>
      </c>
      <c r="C15" s="220">
        <v>52.39</v>
      </c>
      <c r="D15" s="220">
        <v>43.8743596156</v>
      </c>
      <c r="E15" s="215">
        <v>44.44</v>
      </c>
      <c r="F15" s="215">
        <v>44.07</v>
      </c>
      <c r="G15" s="215">
        <v>41.17</v>
      </c>
      <c r="H15" s="215">
        <v>40.81</v>
      </c>
      <c r="I15" s="215">
        <v>41.17</v>
      </c>
      <c r="J15" s="215">
        <v>41.86</v>
      </c>
      <c r="K15" s="215">
        <v>43.99</v>
      </c>
      <c r="L15" s="275">
        <v>47.99</v>
      </c>
      <c r="M15" s="275">
        <v>50.75</v>
      </c>
      <c r="N15" s="275">
        <v>47.99</v>
      </c>
      <c r="O15" s="275">
        <v>46.49</v>
      </c>
      <c r="P15" s="215">
        <v>43.32</v>
      </c>
      <c r="Q15" s="215">
        <v>41.46</v>
      </c>
      <c r="R15" s="215">
        <v>41.17</v>
      </c>
      <c r="S15" s="215">
        <v>37.950000000000003</v>
      </c>
      <c r="T15" s="215">
        <v>35.020000000000003</v>
      </c>
      <c r="U15" s="215">
        <v>35.020000000000003</v>
      </c>
      <c r="V15" s="215">
        <v>36</v>
      </c>
      <c r="W15" s="215">
        <v>43.33</v>
      </c>
      <c r="X15" s="275">
        <v>51.85</v>
      </c>
      <c r="Y15" s="275">
        <v>52.39</v>
      </c>
      <c r="Z15" s="275">
        <v>51.95</v>
      </c>
      <c r="AA15" s="275">
        <v>48.56</v>
      </c>
      <c r="AB15" s="275">
        <v>46.15</v>
      </c>
      <c r="AC15" s="216" t="s">
        <v>96</v>
      </c>
    </row>
    <row r="16" spans="1:29">
      <c r="A16" s="240" t="s">
        <v>135</v>
      </c>
      <c r="B16" s="220">
        <v>33.54</v>
      </c>
      <c r="C16" s="220">
        <v>59.3</v>
      </c>
      <c r="D16" s="220">
        <v>44.750890073699999</v>
      </c>
      <c r="E16" s="215">
        <v>44.53</v>
      </c>
      <c r="F16" s="215">
        <v>42.88</v>
      </c>
      <c r="G16" s="215">
        <v>41.13</v>
      </c>
      <c r="H16" s="215">
        <v>40.5</v>
      </c>
      <c r="I16" s="215">
        <v>40.17</v>
      </c>
      <c r="J16" s="215">
        <v>40.17</v>
      </c>
      <c r="K16" s="215">
        <v>44.07</v>
      </c>
      <c r="L16" s="275">
        <v>52.61</v>
      </c>
      <c r="M16" s="222">
        <v>59.3</v>
      </c>
      <c r="N16" s="275">
        <v>57.14</v>
      </c>
      <c r="O16" s="275">
        <v>51.1</v>
      </c>
      <c r="P16" s="275">
        <v>47.9</v>
      </c>
      <c r="Q16" s="275">
        <v>45.32</v>
      </c>
      <c r="R16" s="215">
        <v>43.77</v>
      </c>
      <c r="S16" s="215">
        <v>41.64</v>
      </c>
      <c r="T16" s="215">
        <v>38.64</v>
      </c>
      <c r="U16" s="215">
        <v>40</v>
      </c>
      <c r="V16" s="215">
        <v>43.63</v>
      </c>
      <c r="W16" s="275">
        <v>45.92</v>
      </c>
      <c r="X16" s="275">
        <v>50.07</v>
      </c>
      <c r="Y16" s="275">
        <v>46.25</v>
      </c>
      <c r="Z16" s="215">
        <v>37.76</v>
      </c>
      <c r="AA16" s="215">
        <v>37.299999999999997</v>
      </c>
      <c r="AB16" s="215">
        <v>33.54</v>
      </c>
      <c r="AC16" s="216" t="s">
        <v>96</v>
      </c>
    </row>
    <row r="17" spans="1:29">
      <c r="A17" s="240" t="s">
        <v>136</v>
      </c>
      <c r="B17" s="220">
        <v>26.25</v>
      </c>
      <c r="C17" s="220">
        <v>43.06</v>
      </c>
      <c r="D17" s="220">
        <v>32.273489057799999</v>
      </c>
      <c r="E17" s="215">
        <v>37.119999999999997</v>
      </c>
      <c r="F17" s="215">
        <v>32.28</v>
      </c>
      <c r="G17" s="215">
        <v>31.66</v>
      </c>
      <c r="H17" s="215">
        <v>29.2</v>
      </c>
      <c r="I17" s="215">
        <v>28.37</v>
      </c>
      <c r="J17" s="215">
        <v>27.75</v>
      </c>
      <c r="K17" s="215">
        <v>28.37</v>
      </c>
      <c r="L17" s="215">
        <v>31.66</v>
      </c>
      <c r="M17" s="215">
        <v>36.35</v>
      </c>
      <c r="N17" s="215">
        <v>38.33</v>
      </c>
      <c r="O17" s="215">
        <v>35.869999999999997</v>
      </c>
      <c r="P17" s="215">
        <v>31.52</v>
      </c>
      <c r="Q17" s="215">
        <v>32.58</v>
      </c>
      <c r="R17" s="215">
        <v>29.49</v>
      </c>
      <c r="S17" s="215">
        <v>28.24</v>
      </c>
      <c r="T17" s="215">
        <v>27.61</v>
      </c>
      <c r="U17" s="215">
        <v>26.75</v>
      </c>
      <c r="V17" s="215">
        <v>26.25</v>
      </c>
      <c r="W17" s="215">
        <v>31.2</v>
      </c>
      <c r="X17" s="215">
        <v>40.67</v>
      </c>
      <c r="Y17" s="215">
        <v>43.06</v>
      </c>
      <c r="Z17" s="215">
        <v>37.380000000000003</v>
      </c>
      <c r="AA17" s="215">
        <v>34.85</v>
      </c>
      <c r="AB17" s="215">
        <v>33.19</v>
      </c>
      <c r="AC17" s="216" t="s">
        <v>96</v>
      </c>
    </row>
    <row r="18" spans="1:29">
      <c r="A18" s="240" t="s">
        <v>137</v>
      </c>
      <c r="B18" s="220">
        <v>20</v>
      </c>
      <c r="C18" s="220">
        <v>44.91</v>
      </c>
      <c r="D18" s="220">
        <v>27.4260712494</v>
      </c>
      <c r="E18" s="215">
        <v>32.08</v>
      </c>
      <c r="F18" s="215">
        <v>28.3</v>
      </c>
      <c r="G18" s="215">
        <v>27.74</v>
      </c>
      <c r="H18" s="215">
        <v>25.75</v>
      </c>
      <c r="I18" s="215">
        <v>25.49</v>
      </c>
      <c r="J18" s="215">
        <v>25.87</v>
      </c>
      <c r="K18" s="215">
        <v>26.56</v>
      </c>
      <c r="L18" s="215">
        <v>26.15</v>
      </c>
      <c r="M18" s="215">
        <v>25.87</v>
      </c>
      <c r="N18" s="215">
        <v>26.02</v>
      </c>
      <c r="O18" s="215">
        <v>25.07</v>
      </c>
      <c r="P18" s="238">
        <v>24.25</v>
      </c>
      <c r="Q18" s="238">
        <v>24.75</v>
      </c>
      <c r="R18" s="238">
        <v>25</v>
      </c>
      <c r="S18" s="238">
        <v>24.75</v>
      </c>
      <c r="T18" s="238">
        <v>22.75</v>
      </c>
      <c r="U18" s="238">
        <v>20</v>
      </c>
      <c r="V18" s="238">
        <v>20.75</v>
      </c>
      <c r="W18" s="238">
        <v>24.75</v>
      </c>
      <c r="X18" s="215">
        <v>29.51</v>
      </c>
      <c r="Y18" s="215">
        <v>44.91</v>
      </c>
      <c r="Z18" s="215">
        <v>41.44</v>
      </c>
      <c r="AA18" s="215">
        <v>38</v>
      </c>
      <c r="AB18" s="215">
        <v>32.5</v>
      </c>
      <c r="AC18" s="216" t="s">
        <v>96</v>
      </c>
    </row>
    <row r="19" spans="1:29">
      <c r="A19" s="240" t="s">
        <v>138</v>
      </c>
      <c r="B19" s="220">
        <v>28.72</v>
      </c>
      <c r="C19" s="220">
        <v>53.49</v>
      </c>
      <c r="D19" s="220">
        <v>38.811338987699997</v>
      </c>
      <c r="E19" s="215">
        <v>31.47</v>
      </c>
      <c r="F19" s="215">
        <v>29</v>
      </c>
      <c r="G19" s="215">
        <v>29.6</v>
      </c>
      <c r="H19" s="215">
        <v>28.91</v>
      </c>
      <c r="I19" s="215">
        <v>28.72</v>
      </c>
      <c r="J19" s="215">
        <v>29.55</v>
      </c>
      <c r="K19" s="215">
        <v>35.08</v>
      </c>
      <c r="L19" s="215">
        <v>37.58</v>
      </c>
      <c r="M19" s="215">
        <v>40.06</v>
      </c>
      <c r="N19" s="215">
        <v>41.56</v>
      </c>
      <c r="O19" s="215">
        <v>40.07</v>
      </c>
      <c r="P19" s="215">
        <v>36.51</v>
      </c>
      <c r="Q19" s="215">
        <v>39.71</v>
      </c>
      <c r="R19" s="215">
        <v>41.51</v>
      </c>
      <c r="S19" s="215">
        <v>41.93</v>
      </c>
      <c r="T19" s="215">
        <v>39.71</v>
      </c>
      <c r="U19" s="215">
        <v>37</v>
      </c>
      <c r="V19" s="215">
        <v>37.58</v>
      </c>
      <c r="W19" s="215">
        <v>41.56</v>
      </c>
      <c r="X19" s="275">
        <v>47.08</v>
      </c>
      <c r="Y19" s="275">
        <v>53.49</v>
      </c>
      <c r="Z19" s="275">
        <v>48.22</v>
      </c>
      <c r="AA19" s="275">
        <v>45.05</v>
      </c>
      <c r="AB19" s="215">
        <v>40.07</v>
      </c>
      <c r="AC19" s="216" t="s">
        <v>96</v>
      </c>
    </row>
    <row r="20" spans="1:29">
      <c r="A20" s="240" t="s">
        <v>139</v>
      </c>
      <c r="B20" s="220">
        <v>31.58</v>
      </c>
      <c r="C20" s="220">
        <v>50.9</v>
      </c>
      <c r="D20" s="220">
        <v>40.859394808499999</v>
      </c>
      <c r="E20" s="215">
        <v>39.1</v>
      </c>
      <c r="F20" s="215">
        <v>33.01</v>
      </c>
      <c r="G20" s="215">
        <v>33.07</v>
      </c>
      <c r="H20" s="215">
        <v>31.58</v>
      </c>
      <c r="I20" s="215">
        <v>32.9</v>
      </c>
      <c r="J20" s="215">
        <v>36.17</v>
      </c>
      <c r="K20" s="275">
        <v>46.51</v>
      </c>
      <c r="L20" s="275">
        <v>49.97</v>
      </c>
      <c r="M20" s="275">
        <v>50.9</v>
      </c>
      <c r="N20" s="275">
        <v>49.68</v>
      </c>
      <c r="O20" s="275">
        <v>45.92</v>
      </c>
      <c r="P20" s="215">
        <v>39.4</v>
      </c>
      <c r="Q20" s="215">
        <v>41.51</v>
      </c>
      <c r="R20" s="215">
        <v>41.31</v>
      </c>
      <c r="S20" s="215">
        <v>36.57</v>
      </c>
      <c r="T20" s="215">
        <v>33</v>
      </c>
      <c r="U20" s="215">
        <v>33</v>
      </c>
      <c r="V20" s="215">
        <v>33</v>
      </c>
      <c r="W20" s="215">
        <v>39</v>
      </c>
      <c r="X20" s="275">
        <v>45.92</v>
      </c>
      <c r="Y20" s="275">
        <v>50.9</v>
      </c>
      <c r="Z20" s="275">
        <v>46.14</v>
      </c>
      <c r="AA20" s="215">
        <v>42.88</v>
      </c>
      <c r="AB20" s="215">
        <v>39.76</v>
      </c>
      <c r="AC20" s="216" t="s">
        <v>96</v>
      </c>
    </row>
    <row r="21" spans="1:29">
      <c r="A21" s="240" t="s">
        <v>140</v>
      </c>
      <c r="B21" s="220">
        <v>27.5</v>
      </c>
      <c r="C21" s="220">
        <v>51.69</v>
      </c>
      <c r="D21" s="220">
        <v>36.737749987100003</v>
      </c>
      <c r="E21" s="215">
        <v>36.1</v>
      </c>
      <c r="F21" s="215">
        <v>32.11</v>
      </c>
      <c r="G21" s="215">
        <v>34.700000000000003</v>
      </c>
      <c r="H21" s="215">
        <v>31.73</v>
      </c>
      <c r="I21" s="215">
        <v>31.16</v>
      </c>
      <c r="J21" s="215">
        <v>33.35</v>
      </c>
      <c r="K21" s="215">
        <v>38.69</v>
      </c>
      <c r="L21" s="275">
        <v>47.75</v>
      </c>
      <c r="M21" s="275">
        <v>51.69</v>
      </c>
      <c r="N21" s="275">
        <v>48.35</v>
      </c>
      <c r="O21" s="215">
        <v>44.17</v>
      </c>
      <c r="P21" s="215">
        <v>36.200000000000003</v>
      </c>
      <c r="Q21" s="215">
        <v>32.31</v>
      </c>
      <c r="R21" s="215">
        <v>34.44</v>
      </c>
      <c r="S21" s="215">
        <v>28</v>
      </c>
      <c r="T21" s="215">
        <v>27.51</v>
      </c>
      <c r="U21" s="215">
        <v>27.5</v>
      </c>
      <c r="V21" s="215">
        <v>27.51</v>
      </c>
      <c r="W21" s="215">
        <v>29</v>
      </c>
      <c r="X21" s="215">
        <v>40.119999999999997</v>
      </c>
      <c r="Y21" s="275">
        <v>48.5</v>
      </c>
      <c r="Z21" s="215">
        <v>42.09</v>
      </c>
      <c r="AA21" s="215">
        <v>38.29</v>
      </c>
      <c r="AB21" s="215">
        <v>40.369999999999997</v>
      </c>
      <c r="AC21" s="216" t="s">
        <v>96</v>
      </c>
    </row>
    <row r="22" spans="1:29">
      <c r="A22" s="240" t="s">
        <v>141</v>
      </c>
      <c r="B22" s="220">
        <v>29.78</v>
      </c>
      <c r="C22" s="220">
        <v>50.34</v>
      </c>
      <c r="D22" s="220">
        <v>39.804501791900002</v>
      </c>
      <c r="E22" s="215">
        <v>37.08</v>
      </c>
      <c r="F22" s="215">
        <v>33.4</v>
      </c>
      <c r="G22" s="215">
        <v>31.72</v>
      </c>
      <c r="H22" s="215">
        <v>29.78</v>
      </c>
      <c r="I22" s="215">
        <v>30</v>
      </c>
      <c r="J22" s="215">
        <v>32.299999999999997</v>
      </c>
      <c r="K22" s="215">
        <v>40</v>
      </c>
      <c r="L22" s="275">
        <v>46.5</v>
      </c>
      <c r="M22" s="275">
        <v>50.34</v>
      </c>
      <c r="N22" s="275">
        <v>47.45</v>
      </c>
      <c r="O22" s="215">
        <v>41.83</v>
      </c>
      <c r="P22" s="215">
        <v>39.9</v>
      </c>
      <c r="Q22" s="215">
        <v>39.15</v>
      </c>
      <c r="R22" s="215">
        <v>40.65</v>
      </c>
      <c r="S22" s="215">
        <v>36.5</v>
      </c>
      <c r="T22" s="215">
        <v>32.630000000000003</v>
      </c>
      <c r="U22" s="215">
        <v>34.78</v>
      </c>
      <c r="V22" s="215">
        <v>36.51</v>
      </c>
      <c r="W22" s="215">
        <v>41.83</v>
      </c>
      <c r="X22" s="275">
        <v>45.12</v>
      </c>
      <c r="Y22" s="275">
        <v>50</v>
      </c>
      <c r="Z22" s="275">
        <v>46</v>
      </c>
      <c r="AA22" s="215">
        <v>41.4</v>
      </c>
      <c r="AB22" s="215">
        <v>39.15</v>
      </c>
      <c r="AC22" s="216" t="s">
        <v>96</v>
      </c>
    </row>
    <row r="23" spans="1:29">
      <c r="A23" s="240" t="s">
        <v>142</v>
      </c>
      <c r="B23" s="220">
        <v>33.020000000000003</v>
      </c>
      <c r="C23" s="220">
        <v>54.08</v>
      </c>
      <c r="D23" s="220">
        <v>43.911734682400002</v>
      </c>
      <c r="E23" s="215">
        <v>37.380000000000003</v>
      </c>
      <c r="F23" s="215">
        <v>35.299999999999997</v>
      </c>
      <c r="G23" s="215">
        <v>34.07</v>
      </c>
      <c r="H23" s="215">
        <v>33.020000000000003</v>
      </c>
      <c r="I23" s="215">
        <v>34.130000000000003</v>
      </c>
      <c r="J23" s="215">
        <v>36.1</v>
      </c>
      <c r="K23" s="215">
        <v>42.09</v>
      </c>
      <c r="L23" s="275">
        <v>46.76</v>
      </c>
      <c r="M23" s="275">
        <v>49.91</v>
      </c>
      <c r="N23" s="275">
        <v>48.07</v>
      </c>
      <c r="O23" s="215">
        <v>44.47</v>
      </c>
      <c r="P23" s="215">
        <v>43.8</v>
      </c>
      <c r="Q23" s="215">
        <v>44.6</v>
      </c>
      <c r="R23" s="215">
        <v>44.47</v>
      </c>
      <c r="S23" s="215">
        <v>43.8</v>
      </c>
      <c r="T23" s="215">
        <v>42.15</v>
      </c>
      <c r="U23" s="215">
        <v>43.53</v>
      </c>
      <c r="V23" s="215">
        <v>44.52</v>
      </c>
      <c r="W23" s="275">
        <v>45.74</v>
      </c>
      <c r="X23" s="275">
        <v>52.38</v>
      </c>
      <c r="Y23" s="275">
        <v>54.08</v>
      </c>
      <c r="Z23" s="275">
        <v>50</v>
      </c>
      <c r="AA23" s="275">
        <v>45.39</v>
      </c>
      <c r="AB23" s="215">
        <v>44.05</v>
      </c>
      <c r="AC23" s="216" t="s">
        <v>96</v>
      </c>
    </row>
    <row r="24" spans="1:29">
      <c r="A24" s="240" t="s">
        <v>143</v>
      </c>
      <c r="B24" s="220">
        <v>36.1</v>
      </c>
      <c r="C24" s="220">
        <v>50.46</v>
      </c>
      <c r="D24" s="220">
        <v>42.503396618399996</v>
      </c>
      <c r="E24" s="275">
        <v>45</v>
      </c>
      <c r="F24" s="215">
        <v>40.729999999999997</v>
      </c>
      <c r="G24" s="215">
        <v>40.4</v>
      </c>
      <c r="H24" s="215">
        <v>40.4</v>
      </c>
      <c r="I24" s="215">
        <v>38.380000000000003</v>
      </c>
      <c r="J24" s="215">
        <v>36.909999999999997</v>
      </c>
      <c r="K24" s="215">
        <v>37.35</v>
      </c>
      <c r="L24" s="215">
        <v>43.25</v>
      </c>
      <c r="M24" s="275">
        <v>46.22</v>
      </c>
      <c r="N24" s="275">
        <v>47</v>
      </c>
      <c r="O24" s="275">
        <v>45.92</v>
      </c>
      <c r="P24" s="215">
        <v>43.53</v>
      </c>
      <c r="Q24" s="215">
        <v>42</v>
      </c>
      <c r="R24" s="215">
        <v>38.799999999999997</v>
      </c>
      <c r="S24" s="215">
        <v>36.1</v>
      </c>
      <c r="T24" s="215">
        <v>36.1</v>
      </c>
      <c r="U24" s="215">
        <v>37.68</v>
      </c>
      <c r="V24" s="215">
        <v>43.5</v>
      </c>
      <c r="W24" s="275">
        <v>46.75</v>
      </c>
      <c r="X24" s="275">
        <v>50.46</v>
      </c>
      <c r="Y24" s="275">
        <v>48.45</v>
      </c>
      <c r="Z24" s="275">
        <v>46.78</v>
      </c>
      <c r="AA24" s="215">
        <v>42.68</v>
      </c>
      <c r="AB24" s="215">
        <v>42.39</v>
      </c>
      <c r="AC24" s="216" t="s">
        <v>96</v>
      </c>
    </row>
    <row r="25" spans="1:29">
      <c r="A25" s="240" t="s">
        <v>144</v>
      </c>
      <c r="B25" s="220">
        <v>31.5</v>
      </c>
      <c r="C25" s="220">
        <v>49.6</v>
      </c>
      <c r="D25" s="220">
        <v>40.209391799899997</v>
      </c>
      <c r="E25" s="215">
        <v>42.3</v>
      </c>
      <c r="F25" s="215">
        <v>40.4</v>
      </c>
      <c r="G25" s="215">
        <v>40.4</v>
      </c>
      <c r="H25" s="215">
        <v>40.4</v>
      </c>
      <c r="I25" s="215">
        <v>39.99</v>
      </c>
      <c r="J25" s="215">
        <v>39.65</v>
      </c>
      <c r="K25" s="215">
        <v>39.35</v>
      </c>
      <c r="L25" s="215">
        <v>39.36</v>
      </c>
      <c r="M25" s="215">
        <v>38.99</v>
      </c>
      <c r="N25" s="215">
        <v>40.28</v>
      </c>
      <c r="O25" s="215">
        <v>40</v>
      </c>
      <c r="P25" s="215">
        <v>38.549999999999997</v>
      </c>
      <c r="Q25" s="215">
        <v>39.68</v>
      </c>
      <c r="R25" s="215">
        <v>36.1</v>
      </c>
      <c r="S25" s="215">
        <v>32.69</v>
      </c>
      <c r="T25" s="215">
        <v>31.5</v>
      </c>
      <c r="U25" s="215">
        <v>32.5</v>
      </c>
      <c r="V25" s="215">
        <v>39.049999999999997</v>
      </c>
      <c r="W25" s="275">
        <v>46.56</v>
      </c>
      <c r="X25" s="275">
        <v>49.58</v>
      </c>
      <c r="Y25" s="275">
        <v>49.6</v>
      </c>
      <c r="Z25" s="275">
        <v>45.65</v>
      </c>
      <c r="AA25" s="215">
        <v>43.17</v>
      </c>
      <c r="AB25" s="215">
        <v>40.4</v>
      </c>
      <c r="AC25" s="216" t="s">
        <v>96</v>
      </c>
    </row>
    <row r="26" spans="1:29">
      <c r="A26" s="240" t="s">
        <v>145</v>
      </c>
      <c r="B26" s="220">
        <v>21.64</v>
      </c>
      <c r="C26" s="220">
        <v>48.2</v>
      </c>
      <c r="D26" s="220">
        <v>35.410663984700001</v>
      </c>
      <c r="E26" s="215">
        <v>37.78</v>
      </c>
      <c r="F26" s="215">
        <v>34.729999999999997</v>
      </c>
      <c r="G26" s="215">
        <v>34.020000000000003</v>
      </c>
      <c r="H26" s="215">
        <v>33.58</v>
      </c>
      <c r="I26" s="215">
        <v>33.64</v>
      </c>
      <c r="J26" s="215">
        <v>35.01</v>
      </c>
      <c r="K26" s="215">
        <v>42.7</v>
      </c>
      <c r="L26" s="275">
        <v>45.93</v>
      </c>
      <c r="M26" s="275">
        <v>47.55</v>
      </c>
      <c r="N26" s="275">
        <v>48.2</v>
      </c>
      <c r="O26" s="275">
        <v>46.02</v>
      </c>
      <c r="P26" s="215">
        <v>40.299999999999997</v>
      </c>
      <c r="Q26" s="215">
        <v>30.49</v>
      </c>
      <c r="R26" s="215">
        <v>29.4</v>
      </c>
      <c r="S26" s="215">
        <v>25.09</v>
      </c>
      <c r="T26" s="238">
        <v>21.64</v>
      </c>
      <c r="U26" s="238">
        <v>24.7</v>
      </c>
      <c r="V26" s="215">
        <v>26.6</v>
      </c>
      <c r="W26" s="215">
        <v>29.6</v>
      </c>
      <c r="X26" s="215">
        <v>40.99</v>
      </c>
      <c r="Y26" s="215">
        <v>43.33</v>
      </c>
      <c r="Z26" s="215">
        <v>38.17</v>
      </c>
      <c r="AA26" s="215">
        <v>36.19</v>
      </c>
      <c r="AB26" s="215">
        <v>31.4</v>
      </c>
      <c r="AC26" s="216" t="s">
        <v>96</v>
      </c>
    </row>
    <row r="27" spans="1:29">
      <c r="A27" s="240" t="s">
        <v>146</v>
      </c>
      <c r="B27" s="220">
        <v>24.8</v>
      </c>
      <c r="C27" s="220">
        <v>45.67</v>
      </c>
      <c r="D27" s="220">
        <v>36.385845916900003</v>
      </c>
      <c r="E27" s="215">
        <v>32.020000000000003</v>
      </c>
      <c r="F27" s="215">
        <v>29.04</v>
      </c>
      <c r="G27" s="215">
        <v>26.97</v>
      </c>
      <c r="H27" s="238">
        <v>24.8</v>
      </c>
      <c r="I27" s="215">
        <v>26.4</v>
      </c>
      <c r="J27" s="215">
        <v>29.31</v>
      </c>
      <c r="K27" s="215">
        <v>31.28</v>
      </c>
      <c r="L27" s="215">
        <v>42</v>
      </c>
      <c r="M27" s="275">
        <v>45</v>
      </c>
      <c r="N27" s="275">
        <v>45.67</v>
      </c>
      <c r="O27" s="215">
        <v>44.7</v>
      </c>
      <c r="P27" s="215">
        <v>44.68</v>
      </c>
      <c r="Q27" s="215">
        <v>44.5</v>
      </c>
      <c r="R27" s="215">
        <v>42.39</v>
      </c>
      <c r="S27" s="215">
        <v>36.21</v>
      </c>
      <c r="T27" s="215">
        <v>33.5</v>
      </c>
      <c r="U27" s="215">
        <v>35</v>
      </c>
      <c r="V27" s="215">
        <v>34.619999999999997</v>
      </c>
      <c r="W27" s="215">
        <v>35.47</v>
      </c>
      <c r="X27" s="215">
        <v>39.5</v>
      </c>
      <c r="Y27" s="215">
        <v>44.83</v>
      </c>
      <c r="Z27" s="215">
        <v>40.51</v>
      </c>
      <c r="AA27" s="215">
        <v>29.8</v>
      </c>
      <c r="AB27" s="215">
        <v>26.6</v>
      </c>
      <c r="AC27" s="216" t="s">
        <v>96</v>
      </c>
    </row>
    <row r="28" spans="1:29">
      <c r="A28" s="240" t="s">
        <v>147</v>
      </c>
      <c r="B28" s="220">
        <v>22.2</v>
      </c>
      <c r="C28" s="220">
        <v>49.77</v>
      </c>
      <c r="D28" s="220">
        <v>36.8822025176</v>
      </c>
      <c r="E28" s="215">
        <v>28.9</v>
      </c>
      <c r="F28" s="215">
        <v>25.13</v>
      </c>
      <c r="G28" s="238">
        <v>23.3</v>
      </c>
      <c r="H28" s="238">
        <v>22.2</v>
      </c>
      <c r="I28" s="238">
        <v>23.5</v>
      </c>
      <c r="J28" s="215">
        <v>26.6</v>
      </c>
      <c r="K28" s="215">
        <v>29.5</v>
      </c>
      <c r="L28" s="215">
        <v>41.05</v>
      </c>
      <c r="M28" s="215">
        <v>44.83</v>
      </c>
      <c r="N28" s="275">
        <v>45.08</v>
      </c>
      <c r="O28" s="215">
        <v>44.05</v>
      </c>
      <c r="P28" s="215">
        <v>41.97</v>
      </c>
      <c r="Q28" s="215">
        <v>36.01</v>
      </c>
      <c r="R28" s="215">
        <v>32.450000000000003</v>
      </c>
      <c r="S28" s="215">
        <v>30.13</v>
      </c>
      <c r="T28" s="215">
        <v>30.46</v>
      </c>
      <c r="U28" s="215">
        <v>33.549999999999997</v>
      </c>
      <c r="V28" s="215">
        <v>39.200000000000003</v>
      </c>
      <c r="W28" s="275">
        <v>45.59</v>
      </c>
      <c r="X28" s="275">
        <v>49.77</v>
      </c>
      <c r="Y28" s="275">
        <v>49.32</v>
      </c>
      <c r="Z28" s="275">
        <v>46.9</v>
      </c>
      <c r="AA28" s="275">
        <v>45.55</v>
      </c>
      <c r="AB28" s="215">
        <v>42.88</v>
      </c>
      <c r="AC28" s="216" t="s">
        <v>96</v>
      </c>
    </row>
    <row r="29" spans="1:29">
      <c r="A29" s="240" t="s">
        <v>148</v>
      </c>
      <c r="B29" s="220">
        <v>32.68</v>
      </c>
      <c r="C29" s="220">
        <v>56.63</v>
      </c>
      <c r="D29" s="220">
        <v>46.250200271600001</v>
      </c>
      <c r="E29" s="215">
        <v>39.549999999999997</v>
      </c>
      <c r="F29" s="215">
        <v>35</v>
      </c>
      <c r="G29" s="215">
        <v>33.07</v>
      </c>
      <c r="H29" s="215">
        <v>32.68</v>
      </c>
      <c r="I29" s="215">
        <v>32.68</v>
      </c>
      <c r="J29" s="215">
        <v>33.08</v>
      </c>
      <c r="K29" s="215">
        <v>40.11</v>
      </c>
      <c r="L29" s="275">
        <v>47.13</v>
      </c>
      <c r="M29" s="275">
        <v>49.53</v>
      </c>
      <c r="N29" s="275">
        <v>52.49</v>
      </c>
      <c r="O29" s="275">
        <v>52.43</v>
      </c>
      <c r="P29" s="275">
        <v>50.44</v>
      </c>
      <c r="Q29" s="275">
        <v>49.08</v>
      </c>
      <c r="R29" s="275">
        <v>47.5</v>
      </c>
      <c r="S29" s="275">
        <v>46.58</v>
      </c>
      <c r="T29" s="275">
        <v>45.95</v>
      </c>
      <c r="U29" s="275">
        <v>46.11</v>
      </c>
      <c r="V29" s="275">
        <v>48.49</v>
      </c>
      <c r="W29" s="275">
        <v>50.68</v>
      </c>
      <c r="X29" s="275">
        <v>56.63</v>
      </c>
      <c r="Y29" s="275">
        <v>53.56</v>
      </c>
      <c r="Z29" s="275">
        <v>49.04</v>
      </c>
      <c r="AA29" s="275">
        <v>47.2</v>
      </c>
      <c r="AB29" s="275">
        <v>46.3</v>
      </c>
      <c r="AC29" s="216" t="s">
        <v>96</v>
      </c>
    </row>
    <row r="30" spans="1:29">
      <c r="A30" s="240" t="s">
        <v>149</v>
      </c>
      <c r="B30" s="220">
        <v>34.35</v>
      </c>
      <c r="C30" s="220">
        <v>54.05</v>
      </c>
      <c r="D30" s="220">
        <v>46.002050755200003</v>
      </c>
      <c r="E30" s="215">
        <v>41.63</v>
      </c>
      <c r="F30" s="215">
        <v>39.97</v>
      </c>
      <c r="G30" s="215">
        <v>35</v>
      </c>
      <c r="H30" s="215">
        <v>34.35</v>
      </c>
      <c r="I30" s="215">
        <v>34.36</v>
      </c>
      <c r="J30" s="215">
        <v>37.229999999999997</v>
      </c>
      <c r="K30" s="215">
        <v>44.86</v>
      </c>
      <c r="L30" s="275">
        <v>51.59</v>
      </c>
      <c r="M30" s="275">
        <v>54.01</v>
      </c>
      <c r="N30" s="275">
        <v>54.05</v>
      </c>
      <c r="O30" s="275">
        <v>51.59</v>
      </c>
      <c r="P30" s="275">
        <v>49.02</v>
      </c>
      <c r="Q30" s="275">
        <v>47.52</v>
      </c>
      <c r="R30" s="275">
        <v>46.32</v>
      </c>
      <c r="S30" s="275">
        <v>45.05</v>
      </c>
      <c r="T30" s="215">
        <v>43.33</v>
      </c>
      <c r="U30" s="215">
        <v>43.05</v>
      </c>
      <c r="V30" s="275">
        <v>45.79</v>
      </c>
      <c r="W30" s="275">
        <v>48.94</v>
      </c>
      <c r="X30" s="275">
        <v>53.16</v>
      </c>
      <c r="Y30" s="275">
        <v>51</v>
      </c>
      <c r="Z30" s="275">
        <v>46.94</v>
      </c>
      <c r="AA30" s="275">
        <v>45.05</v>
      </c>
      <c r="AB30" s="215">
        <v>40.75</v>
      </c>
      <c r="AC30" s="216" t="s">
        <v>96</v>
      </c>
    </row>
    <row r="31" spans="1:29">
      <c r="A31" s="240" t="s">
        <v>150</v>
      </c>
      <c r="B31" s="220">
        <v>24.02</v>
      </c>
      <c r="C31" s="220">
        <v>41.33</v>
      </c>
      <c r="D31" s="220">
        <v>31.9804827916</v>
      </c>
      <c r="E31" s="215">
        <v>39.049999999999997</v>
      </c>
      <c r="F31" s="215">
        <v>39.549999999999997</v>
      </c>
      <c r="G31" s="215">
        <v>34.07</v>
      </c>
      <c r="H31" s="215">
        <v>30.3</v>
      </c>
      <c r="I31" s="215">
        <v>29.9</v>
      </c>
      <c r="J31" s="215">
        <v>28.49</v>
      </c>
      <c r="K31" s="215">
        <v>29.9</v>
      </c>
      <c r="L31" s="215">
        <v>31.08</v>
      </c>
      <c r="M31" s="215">
        <v>36.58</v>
      </c>
      <c r="N31" s="215">
        <v>41.33</v>
      </c>
      <c r="O31" s="215">
        <v>40.549999999999997</v>
      </c>
      <c r="P31" s="215">
        <v>36.200000000000003</v>
      </c>
      <c r="Q31" s="215">
        <v>33.75</v>
      </c>
      <c r="R31" s="215">
        <v>27.88</v>
      </c>
      <c r="S31" s="215">
        <v>26.88</v>
      </c>
      <c r="T31" s="238">
        <v>24.02</v>
      </c>
      <c r="U31" s="215">
        <v>25.61</v>
      </c>
      <c r="V31" s="215">
        <v>28.1</v>
      </c>
      <c r="W31" s="215">
        <v>30.5</v>
      </c>
      <c r="X31" s="215">
        <v>41.17</v>
      </c>
      <c r="Y31" s="215">
        <v>37</v>
      </c>
      <c r="Z31" s="215">
        <v>30.3</v>
      </c>
      <c r="AA31" s="215">
        <v>27.88</v>
      </c>
      <c r="AB31" s="238">
        <v>24.02</v>
      </c>
      <c r="AC31" s="216" t="s">
        <v>96</v>
      </c>
    </row>
    <row r="32" spans="1:29">
      <c r="A32" s="240" t="s">
        <v>152</v>
      </c>
      <c r="B32" s="220">
        <v>1.95</v>
      </c>
      <c r="C32" s="220">
        <v>39.049999999999997</v>
      </c>
      <c r="D32" s="220">
        <v>15.1529604885</v>
      </c>
      <c r="E32" s="238">
        <v>10</v>
      </c>
      <c r="F32" s="238">
        <v>5.51</v>
      </c>
      <c r="G32" s="221">
        <v>1.95</v>
      </c>
      <c r="H32" s="221">
        <v>1.95</v>
      </c>
      <c r="I32" s="221">
        <v>1.95</v>
      </c>
      <c r="J32" s="221">
        <v>1.95</v>
      </c>
      <c r="K32" s="221">
        <v>1.95</v>
      </c>
      <c r="L32" s="221">
        <v>1.95</v>
      </c>
      <c r="M32" s="238">
        <v>5</v>
      </c>
      <c r="N32" s="238">
        <v>7.55</v>
      </c>
      <c r="O32" s="238">
        <v>10.8</v>
      </c>
      <c r="P32" s="238">
        <v>13.24</v>
      </c>
      <c r="Q32" s="238">
        <v>16.38</v>
      </c>
      <c r="R32" s="238">
        <v>16.149999999999999</v>
      </c>
      <c r="S32" s="238">
        <v>16.38</v>
      </c>
      <c r="T32" s="238">
        <v>18.02</v>
      </c>
      <c r="U32" s="238">
        <v>17.920000000000002</v>
      </c>
      <c r="V32" s="238">
        <v>19.5</v>
      </c>
      <c r="W32" s="238">
        <v>20.329999999999998</v>
      </c>
      <c r="X32" s="238">
        <v>22</v>
      </c>
      <c r="Y32" s="215">
        <v>34.340000000000003</v>
      </c>
      <c r="Z32" s="215">
        <v>39.049999999999997</v>
      </c>
      <c r="AA32" s="215">
        <v>31.09</v>
      </c>
      <c r="AB32" s="215">
        <v>32.04</v>
      </c>
      <c r="AC32" s="238">
        <v>22.48</v>
      </c>
    </row>
    <row r="33" spans="1:29">
      <c r="A33" s="240" t="s">
        <v>153</v>
      </c>
      <c r="B33" s="220">
        <v>18.8</v>
      </c>
      <c r="C33" s="220">
        <v>49.5</v>
      </c>
      <c r="D33" s="220">
        <v>34.711645095199998</v>
      </c>
      <c r="E33" s="238">
        <v>24.29</v>
      </c>
      <c r="F33" s="238">
        <v>20.329999999999998</v>
      </c>
      <c r="G33" s="238">
        <v>19.88</v>
      </c>
      <c r="H33" s="238">
        <v>18.8</v>
      </c>
      <c r="I33" s="238">
        <v>18.8</v>
      </c>
      <c r="J33" s="238">
        <v>20.329999999999998</v>
      </c>
      <c r="K33" s="215">
        <v>33.5</v>
      </c>
      <c r="L33" s="215">
        <v>44.83</v>
      </c>
      <c r="M33" s="275">
        <v>45.05</v>
      </c>
      <c r="N33" s="215">
        <v>43.33</v>
      </c>
      <c r="O33" s="215">
        <v>37.700000000000003</v>
      </c>
      <c r="P33" s="215">
        <v>34.56</v>
      </c>
      <c r="Q33" s="215">
        <v>31</v>
      </c>
      <c r="R33" s="215">
        <v>29.33</v>
      </c>
      <c r="S33" s="238">
        <v>24.49</v>
      </c>
      <c r="T33" s="215">
        <v>25.68</v>
      </c>
      <c r="U33" s="215">
        <v>37.549999999999997</v>
      </c>
      <c r="V33" s="275">
        <v>45.05</v>
      </c>
      <c r="W33" s="275">
        <v>48.93</v>
      </c>
      <c r="X33" s="275">
        <v>49.5</v>
      </c>
      <c r="Y33" s="275">
        <v>48.71</v>
      </c>
      <c r="Z33" s="275">
        <v>45.31</v>
      </c>
      <c r="AA33" s="215">
        <v>41.83</v>
      </c>
      <c r="AB33" s="215">
        <v>37.549999999999997</v>
      </c>
      <c r="AC33" s="216" t="s">
        <v>96</v>
      </c>
    </row>
    <row r="34" spans="1:29">
      <c r="A34" s="240" t="s">
        <v>154</v>
      </c>
      <c r="B34" s="220">
        <v>28.04</v>
      </c>
      <c r="C34" s="220">
        <v>47.69</v>
      </c>
      <c r="D34" s="220">
        <v>40.480273391099999</v>
      </c>
      <c r="E34" s="215">
        <v>37.299999999999997</v>
      </c>
      <c r="F34" s="215">
        <v>31.82</v>
      </c>
      <c r="G34" s="215">
        <v>29.8</v>
      </c>
      <c r="H34" s="215">
        <v>28.04</v>
      </c>
      <c r="I34" s="215">
        <v>28.22</v>
      </c>
      <c r="J34" s="215">
        <v>32.04</v>
      </c>
      <c r="K34" s="215">
        <v>42.77</v>
      </c>
      <c r="L34" s="275">
        <v>46.3</v>
      </c>
      <c r="M34" s="275">
        <v>46.68</v>
      </c>
      <c r="N34" s="275">
        <v>45.54</v>
      </c>
      <c r="O34" s="215">
        <v>42.52</v>
      </c>
      <c r="P34" s="215">
        <v>42.51</v>
      </c>
      <c r="Q34" s="215">
        <v>38.979999999999997</v>
      </c>
      <c r="R34" s="215">
        <v>36.270000000000003</v>
      </c>
      <c r="S34" s="215">
        <v>35.97</v>
      </c>
      <c r="T34" s="215">
        <v>41.55</v>
      </c>
      <c r="U34" s="215">
        <v>43.35</v>
      </c>
      <c r="V34" s="275">
        <v>45.02</v>
      </c>
      <c r="W34" s="275">
        <v>46.81</v>
      </c>
      <c r="X34" s="275">
        <v>47.69</v>
      </c>
      <c r="Y34" s="275">
        <v>47.55</v>
      </c>
      <c r="Z34" s="275">
        <v>45.46</v>
      </c>
      <c r="AA34" s="215">
        <v>42</v>
      </c>
      <c r="AB34" s="215">
        <v>34.65</v>
      </c>
      <c r="AC34" s="216" t="s">
        <v>96</v>
      </c>
    </row>
    <row r="35" spans="1:29">
      <c r="A35" s="240" t="s">
        <v>155</v>
      </c>
      <c r="B35" s="220">
        <v>32.6</v>
      </c>
      <c r="C35" s="220">
        <v>52.61</v>
      </c>
      <c r="D35" s="220">
        <v>44.188562878500001</v>
      </c>
      <c r="E35" s="215">
        <v>38.799999999999997</v>
      </c>
      <c r="F35" s="215">
        <v>33</v>
      </c>
      <c r="G35" s="215">
        <v>32.6</v>
      </c>
      <c r="H35" s="215">
        <v>32.6</v>
      </c>
      <c r="I35" s="215">
        <v>32.799999999999997</v>
      </c>
      <c r="J35" s="215">
        <v>33.49</v>
      </c>
      <c r="K35" s="215">
        <v>38</v>
      </c>
      <c r="L35" s="215">
        <v>44.83</v>
      </c>
      <c r="M35" s="275">
        <v>45.64</v>
      </c>
      <c r="N35" s="275">
        <v>46</v>
      </c>
      <c r="O35" s="215">
        <v>44.83</v>
      </c>
      <c r="P35" s="215">
        <v>44.32</v>
      </c>
      <c r="Q35" s="215">
        <v>44.35</v>
      </c>
      <c r="R35" s="215">
        <v>44.56</v>
      </c>
      <c r="S35" s="215">
        <v>42.07</v>
      </c>
      <c r="T35" s="215">
        <v>44.65</v>
      </c>
      <c r="U35" s="275">
        <v>45.59</v>
      </c>
      <c r="V35" s="275">
        <v>49.55</v>
      </c>
      <c r="W35" s="275">
        <v>51.21</v>
      </c>
      <c r="X35" s="275">
        <v>51.4</v>
      </c>
      <c r="Y35" s="275">
        <v>52.61</v>
      </c>
      <c r="Z35" s="275">
        <v>51.52</v>
      </c>
      <c r="AA35" s="275">
        <v>48.71</v>
      </c>
      <c r="AB35" s="275">
        <v>47.55</v>
      </c>
      <c r="AC35" s="216" t="s">
        <v>96</v>
      </c>
    </row>
    <row r="36" spans="1:29">
      <c r="A36" s="240" t="s">
        <v>267</v>
      </c>
      <c r="B36" s="220">
        <v>39</v>
      </c>
      <c r="C36" s="220">
        <v>50.1</v>
      </c>
      <c r="D36" s="220">
        <v>45.262165739399997</v>
      </c>
      <c r="E36" s="215">
        <v>44.65</v>
      </c>
      <c r="F36" s="215">
        <v>42.55</v>
      </c>
      <c r="G36" s="215">
        <v>39</v>
      </c>
      <c r="H36" s="215">
        <v>40.35</v>
      </c>
      <c r="I36" s="215">
        <v>40.5</v>
      </c>
      <c r="J36" s="215">
        <v>42.55</v>
      </c>
      <c r="K36" s="215">
        <v>43.16</v>
      </c>
      <c r="L36" s="275">
        <v>47.5</v>
      </c>
      <c r="M36" s="275">
        <v>47.06</v>
      </c>
      <c r="N36" s="275">
        <v>47.71</v>
      </c>
      <c r="O36" s="275">
        <v>45.31</v>
      </c>
      <c r="P36" s="215">
        <v>44.95</v>
      </c>
      <c r="Q36" s="215">
        <v>44.95</v>
      </c>
      <c r="R36" s="215">
        <v>44.82</v>
      </c>
      <c r="S36" s="215">
        <v>43.78</v>
      </c>
      <c r="T36" s="215">
        <v>42.46</v>
      </c>
      <c r="U36" s="215">
        <v>44.78</v>
      </c>
      <c r="V36" s="275">
        <v>48.99</v>
      </c>
      <c r="W36" s="275">
        <v>50.1</v>
      </c>
      <c r="X36" s="275">
        <v>50</v>
      </c>
      <c r="Y36" s="275">
        <v>49.83</v>
      </c>
      <c r="Z36" s="275">
        <v>48.71</v>
      </c>
      <c r="AA36" s="215">
        <v>44.83</v>
      </c>
      <c r="AB36" s="215">
        <v>40.08</v>
      </c>
      <c r="AC36" s="216" t="s">
        <v>96</v>
      </c>
    </row>
    <row r="37" spans="1:29">
      <c r="A37" s="240" t="s">
        <v>283</v>
      </c>
      <c r="B37" s="220">
        <v>36.020000000000003</v>
      </c>
      <c r="C37" s="220">
        <v>49</v>
      </c>
      <c r="D37" s="220">
        <v>41.490357750299999</v>
      </c>
      <c r="E37" s="215">
        <v>44.33</v>
      </c>
      <c r="F37" s="215">
        <v>42.99</v>
      </c>
      <c r="G37" s="215">
        <v>39.01</v>
      </c>
      <c r="H37" s="215">
        <v>38.99</v>
      </c>
      <c r="I37" s="215">
        <v>39</v>
      </c>
      <c r="J37" s="215">
        <v>41.95</v>
      </c>
      <c r="K37" s="215">
        <v>42.07</v>
      </c>
      <c r="L37" s="215">
        <v>38.869999999999997</v>
      </c>
      <c r="M37" s="215">
        <v>39.14</v>
      </c>
      <c r="N37" s="215">
        <v>41.44</v>
      </c>
      <c r="O37" s="215">
        <v>39.549999999999997</v>
      </c>
      <c r="P37" s="215">
        <v>37.86</v>
      </c>
      <c r="Q37" s="215">
        <v>39.14</v>
      </c>
      <c r="R37" s="215">
        <v>36.76</v>
      </c>
      <c r="S37" s="215">
        <v>36.020000000000003</v>
      </c>
      <c r="T37" s="215">
        <v>38.130000000000003</v>
      </c>
      <c r="U37" s="215">
        <v>41.11</v>
      </c>
      <c r="V37" s="275">
        <v>46.01</v>
      </c>
      <c r="W37" s="275">
        <v>47.47</v>
      </c>
      <c r="X37" s="275">
        <v>49</v>
      </c>
      <c r="Y37" s="275">
        <v>47.55</v>
      </c>
      <c r="Z37" s="275">
        <v>46.03</v>
      </c>
      <c r="AA37" s="215">
        <v>43.09</v>
      </c>
      <c r="AB37" s="215">
        <v>42.41</v>
      </c>
      <c r="AC37" s="216" t="s">
        <v>96</v>
      </c>
    </row>
    <row r="38" spans="1:29">
      <c r="A38" s="240" t="s">
        <v>319</v>
      </c>
      <c r="B38" s="220">
        <v>28.8</v>
      </c>
      <c r="C38" s="220">
        <v>44.83</v>
      </c>
      <c r="D38" s="220">
        <v>35.647252335399997</v>
      </c>
      <c r="E38" s="215">
        <v>35.04</v>
      </c>
      <c r="F38" s="215">
        <v>34.020000000000003</v>
      </c>
      <c r="G38" s="215">
        <v>30</v>
      </c>
      <c r="H38" s="215">
        <v>30.03</v>
      </c>
      <c r="I38" s="215">
        <v>33.590000000000003</v>
      </c>
      <c r="J38" s="215">
        <v>33.35</v>
      </c>
      <c r="K38" s="215">
        <v>34.01</v>
      </c>
      <c r="L38" s="215">
        <v>35.33</v>
      </c>
      <c r="M38" s="215">
        <v>36.94</v>
      </c>
      <c r="N38" s="215">
        <v>38.74</v>
      </c>
      <c r="O38" s="215">
        <v>36.6</v>
      </c>
      <c r="P38" s="215">
        <v>34.19</v>
      </c>
      <c r="Q38" s="215">
        <v>34</v>
      </c>
      <c r="R38" s="215">
        <v>34</v>
      </c>
      <c r="S38" s="215">
        <v>30</v>
      </c>
      <c r="T38" s="215">
        <v>28.8</v>
      </c>
      <c r="U38" s="215">
        <v>29.9</v>
      </c>
      <c r="V38" s="215">
        <v>38.25</v>
      </c>
      <c r="W38" s="215">
        <v>39.950000000000003</v>
      </c>
      <c r="X38" s="215">
        <v>41.45</v>
      </c>
      <c r="Y38" s="215">
        <v>44.83</v>
      </c>
      <c r="Z38" s="215">
        <v>44.82</v>
      </c>
      <c r="AA38" s="215">
        <v>40.9</v>
      </c>
      <c r="AB38" s="215">
        <v>39.75</v>
      </c>
      <c r="AC38" s="216" t="s">
        <v>96</v>
      </c>
    </row>
    <row r="41" spans="1:29">
      <c r="A41" s="214" t="s">
        <v>31</v>
      </c>
      <c r="B41" s="304" t="s">
        <v>64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</row>
    <row r="42" spans="1:29">
      <c r="A42" s="239" t="s">
        <v>157</v>
      </c>
      <c r="B42" s="289">
        <v>201910</v>
      </c>
      <c r="C42" s="289">
        <v>201911</v>
      </c>
      <c r="D42" s="289">
        <v>201912</v>
      </c>
      <c r="E42" s="289">
        <v>202001</v>
      </c>
      <c r="F42" s="289">
        <v>202002</v>
      </c>
      <c r="G42" s="289">
        <v>202003</v>
      </c>
      <c r="H42" s="289">
        <v>202004</v>
      </c>
      <c r="I42" s="289">
        <v>202005</v>
      </c>
      <c r="J42" s="289">
        <v>202006</v>
      </c>
      <c r="K42" s="289">
        <v>202007</v>
      </c>
      <c r="L42" s="289">
        <v>202008</v>
      </c>
      <c r="M42" s="289">
        <v>202009</v>
      </c>
      <c r="N42" s="289">
        <v>202010</v>
      </c>
    </row>
    <row r="43" spans="1:29">
      <c r="A43" s="239" t="s">
        <v>123</v>
      </c>
      <c r="B43" s="288" t="s">
        <v>273</v>
      </c>
      <c r="C43" s="288" t="s">
        <v>276</v>
      </c>
      <c r="D43" s="288" t="s">
        <v>277</v>
      </c>
      <c r="E43" s="288" t="s">
        <v>279</v>
      </c>
      <c r="F43" s="288" t="s">
        <v>281</v>
      </c>
      <c r="G43" s="288" t="s">
        <v>284</v>
      </c>
      <c r="H43" s="288" t="s">
        <v>295</v>
      </c>
      <c r="I43" s="288" t="s">
        <v>299</v>
      </c>
      <c r="J43" s="288" t="s">
        <v>307</v>
      </c>
      <c r="K43" s="288" t="s">
        <v>309</v>
      </c>
      <c r="L43" s="288" t="s">
        <v>313</v>
      </c>
      <c r="M43" s="288" t="s">
        <v>316</v>
      </c>
      <c r="N43" s="288" t="s">
        <v>320</v>
      </c>
    </row>
    <row r="44" spans="1:29">
      <c r="A44" s="214" t="s">
        <v>158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29">
      <c r="A45" s="240" t="s">
        <v>65</v>
      </c>
      <c r="B45" s="271">
        <v>20151139.859000001</v>
      </c>
      <c r="C45" s="271">
        <v>20817466.447999999</v>
      </c>
      <c r="D45" s="271">
        <v>20807832.399</v>
      </c>
      <c r="E45" s="271">
        <v>22598052.840999998</v>
      </c>
      <c r="F45" s="271">
        <v>19843256.881000001</v>
      </c>
      <c r="G45" s="271">
        <v>19774940.124000002</v>
      </c>
      <c r="H45" s="271">
        <v>16135855.265000001</v>
      </c>
      <c r="I45" s="271">
        <v>17306409.142000001</v>
      </c>
      <c r="J45" s="271">
        <v>18258792.905999999</v>
      </c>
      <c r="K45" s="271">
        <v>21843711.487</v>
      </c>
      <c r="L45" s="271">
        <v>20643800.25</v>
      </c>
      <c r="M45" s="271">
        <v>19311275.228</v>
      </c>
      <c r="N45" s="271">
        <v>19524205.278999999</v>
      </c>
    </row>
    <row r="46" spans="1:29">
      <c r="A46" s="240" t="s">
        <v>66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9">
      <c r="A47" s="240" t="s">
        <v>67</v>
      </c>
      <c r="B47" s="215">
        <v>47.74</v>
      </c>
      <c r="C47" s="215">
        <v>43.6</v>
      </c>
      <c r="D47" s="215">
        <v>35.35</v>
      </c>
      <c r="E47" s="215">
        <v>42.06</v>
      </c>
      <c r="F47" s="215">
        <v>36.54</v>
      </c>
      <c r="G47" s="215">
        <v>28.28</v>
      </c>
      <c r="H47" s="215">
        <v>17.809999999999999</v>
      </c>
      <c r="I47" s="215">
        <v>21.7</v>
      </c>
      <c r="J47" s="215">
        <v>31</v>
      </c>
      <c r="K47" s="215">
        <v>35.200000000000003</v>
      </c>
      <c r="L47" s="215">
        <v>36.75</v>
      </c>
      <c r="M47" s="215">
        <v>42.75</v>
      </c>
      <c r="N47" s="215">
        <v>37.49</v>
      </c>
    </row>
    <row r="48" spans="1:29">
      <c r="A48" s="240" t="s">
        <v>68</v>
      </c>
      <c r="B48" s="215">
        <v>0.98</v>
      </c>
      <c r="C48" s="215">
        <v>1.1000000000000001</v>
      </c>
      <c r="D48" s="215">
        <v>1.37</v>
      </c>
      <c r="E48" s="215">
        <v>1.32</v>
      </c>
      <c r="F48" s="215">
        <v>1.44</v>
      </c>
      <c r="G48" s="215">
        <v>2.0299999999999998</v>
      </c>
      <c r="H48" s="215">
        <v>4.54</v>
      </c>
      <c r="I48" s="215">
        <v>2.96</v>
      </c>
      <c r="J48" s="215">
        <v>1.68</v>
      </c>
      <c r="K48" s="215">
        <v>1.07</v>
      </c>
      <c r="L48" s="215">
        <v>1.29</v>
      </c>
      <c r="M48" s="215">
        <v>1.05</v>
      </c>
      <c r="N48" s="215">
        <v>1.76</v>
      </c>
    </row>
    <row r="49" spans="1:14">
      <c r="A49" s="240" t="s">
        <v>69</v>
      </c>
      <c r="B49" s="215">
        <v>7.0000000000000007E-2</v>
      </c>
      <c r="C49" s="215">
        <v>0.05</v>
      </c>
      <c r="D49" s="215">
        <v>0.09</v>
      </c>
      <c r="E49" s="215">
        <v>0.18</v>
      </c>
      <c r="F49" s="215">
        <v>7.0000000000000007E-2</v>
      </c>
      <c r="G49" s="215">
        <v>0.12</v>
      </c>
      <c r="H49" s="215">
        <v>7.0000000000000007E-2</v>
      </c>
      <c r="I49" s="215">
        <v>0.08</v>
      </c>
      <c r="J49" s="215">
        <v>0.15</v>
      </c>
      <c r="K49" s="215">
        <v>0.16</v>
      </c>
      <c r="L49" s="215">
        <v>0.49</v>
      </c>
      <c r="M49" s="215">
        <v>0.84</v>
      </c>
      <c r="N49" s="215">
        <v>0.62</v>
      </c>
    </row>
    <row r="50" spans="1:14">
      <c r="A50" s="240" t="s">
        <v>70</v>
      </c>
      <c r="B50" s="215">
        <v>-0.02</v>
      </c>
      <c r="C50" s="215">
        <v>-0.03</v>
      </c>
      <c r="D50" s="215">
        <v>-0.02</v>
      </c>
      <c r="E50" s="215">
        <v>-0.02</v>
      </c>
      <c r="F50" s="215">
        <v>-0.03</v>
      </c>
      <c r="G50" s="215">
        <v>-0.01</v>
      </c>
      <c r="H50" s="215">
        <v>-0.02</v>
      </c>
      <c r="I50" s="215">
        <v>-0.01</v>
      </c>
      <c r="J50" s="215">
        <v>-0.01</v>
      </c>
      <c r="K50" s="215">
        <v>-0.01</v>
      </c>
      <c r="L50" s="215">
        <v>-0.01</v>
      </c>
      <c r="M50" s="215">
        <v>-0.02</v>
      </c>
      <c r="N50" s="215">
        <v>-0.04</v>
      </c>
    </row>
    <row r="51" spans="1:14">
      <c r="A51" s="240" t="s">
        <v>71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72</v>
      </c>
      <c r="B52" s="215">
        <v>0.03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73</v>
      </c>
      <c r="B53" s="215">
        <v>0.32</v>
      </c>
      <c r="C53" s="215">
        <v>0.44</v>
      </c>
      <c r="D53" s="215">
        <v>0.63</v>
      </c>
      <c r="E53" s="215">
        <v>0.3</v>
      </c>
      <c r="F53" s="215">
        <v>0.33</v>
      </c>
      <c r="G53" s="215">
        <v>0.35</v>
      </c>
      <c r="H53" s="215">
        <v>0.45</v>
      </c>
      <c r="I53" s="215">
        <v>0.38</v>
      </c>
      <c r="J53" s="215">
        <v>0.39</v>
      </c>
      <c r="K53" s="215">
        <v>0.33</v>
      </c>
      <c r="L53" s="215">
        <v>0.35</v>
      </c>
      <c r="M53" s="215">
        <v>0.41</v>
      </c>
      <c r="N53" s="215">
        <v>0.53</v>
      </c>
    </row>
    <row r="54" spans="1:14">
      <c r="A54" s="240" t="s">
        <v>74</v>
      </c>
      <c r="B54" s="215">
        <v>-0.03</v>
      </c>
      <c r="C54" s="215">
        <v>-0.03</v>
      </c>
      <c r="D54" s="215">
        <v>-0.03</v>
      </c>
      <c r="E54" s="215">
        <v>-0.02</v>
      </c>
      <c r="F54" s="215">
        <v>-0.01</v>
      </c>
      <c r="G54" s="215">
        <v>-0.01</v>
      </c>
      <c r="H54" s="215">
        <v>-0.01</v>
      </c>
      <c r="I54" s="215">
        <v>-0.01</v>
      </c>
      <c r="J54" s="215">
        <v>-0.02</v>
      </c>
      <c r="K54" s="215">
        <v>-0.02</v>
      </c>
      <c r="L54" s="215">
        <v>-0.02</v>
      </c>
      <c r="M54" s="215">
        <v>-0.02</v>
      </c>
      <c r="N54" s="215">
        <v>-0.02</v>
      </c>
    </row>
    <row r="55" spans="1:14">
      <c r="A55" s="240" t="s">
        <v>75</v>
      </c>
      <c r="B55" s="215">
        <v>0.13</v>
      </c>
      <c r="C55" s="215">
        <v>0.15</v>
      </c>
      <c r="D55" s="215">
        <v>0.22</v>
      </c>
      <c r="E55" s="215">
        <v>0.16</v>
      </c>
      <c r="F55" s="215">
        <v>0.14000000000000001</v>
      </c>
      <c r="G55" s="215">
        <v>0.22</v>
      </c>
      <c r="H55" s="215">
        <v>0.16</v>
      </c>
      <c r="I55" s="215">
        <v>0.1</v>
      </c>
      <c r="J55" s="215">
        <v>0.15</v>
      </c>
      <c r="K55" s="215">
        <v>0.1</v>
      </c>
      <c r="L55" s="215">
        <v>0.14000000000000001</v>
      </c>
      <c r="M55" s="215">
        <v>0.1</v>
      </c>
      <c r="N55" s="215">
        <v>0.09</v>
      </c>
    </row>
    <row r="56" spans="1:14">
      <c r="A56" s="240" t="s">
        <v>76</v>
      </c>
      <c r="B56" s="215">
        <v>-0.05</v>
      </c>
      <c r="C56" s="215">
        <v>-0.08</v>
      </c>
      <c r="D56" s="215">
        <v>-0.14000000000000001</v>
      </c>
      <c r="E56" s="215">
        <v>-0.08</v>
      </c>
      <c r="F56" s="215">
        <v>-0.06</v>
      </c>
      <c r="G56" s="215">
        <v>-0.09</v>
      </c>
      <c r="H56" s="215">
        <v>-7.0000000000000007E-2</v>
      </c>
      <c r="I56" s="215">
        <v>-0.06</v>
      </c>
      <c r="J56" s="215">
        <v>-0.05</v>
      </c>
      <c r="K56" s="215">
        <v>0.01</v>
      </c>
      <c r="L56" s="215">
        <v>-0.01</v>
      </c>
      <c r="M56" s="215">
        <v>0.01</v>
      </c>
      <c r="N56" s="215">
        <v>0.02</v>
      </c>
    </row>
    <row r="57" spans="1:14">
      <c r="A57" s="240" t="s">
        <v>24</v>
      </c>
      <c r="B57" s="215">
        <v>-0.06</v>
      </c>
      <c r="C57" s="215">
        <v>-0.09</v>
      </c>
      <c r="D57" s="215">
        <v>-7.0000000000000007E-2</v>
      </c>
      <c r="E57" s="215">
        <v>-0.06</v>
      </c>
      <c r="F57" s="215">
        <v>-0.06</v>
      </c>
      <c r="G57" s="215">
        <v>-7.0000000000000007E-2</v>
      </c>
      <c r="H57" s="215">
        <v>-0.1</v>
      </c>
      <c r="I57" s="215">
        <v>-0.09</v>
      </c>
      <c r="J57" s="215">
        <v>-7.0000000000000007E-2</v>
      </c>
      <c r="K57" s="215">
        <v>-0.06</v>
      </c>
      <c r="L57" s="215">
        <v>-0.06</v>
      </c>
      <c r="M57" s="215">
        <v>-0.06</v>
      </c>
      <c r="N57" s="215">
        <v>-7.0000000000000007E-2</v>
      </c>
    </row>
    <row r="58" spans="1:14">
      <c r="A58" s="240" t="s">
        <v>77</v>
      </c>
      <c r="B58" s="215">
        <v>2.34</v>
      </c>
      <c r="C58" s="215">
        <v>2.44</v>
      </c>
      <c r="D58" s="215">
        <v>3</v>
      </c>
      <c r="E58" s="215">
        <v>3.11</v>
      </c>
      <c r="F58" s="215">
        <v>2.98</v>
      </c>
      <c r="G58" s="215">
        <v>2.39</v>
      </c>
      <c r="H58" s="215">
        <v>2.41</v>
      </c>
      <c r="I58" s="215">
        <v>2.2400000000000002</v>
      </c>
      <c r="J58" s="215">
        <v>2.76</v>
      </c>
      <c r="K58" s="215">
        <v>3.25</v>
      </c>
      <c r="L58" s="215">
        <v>2.0699999999999998</v>
      </c>
      <c r="M58" s="215">
        <v>2.35</v>
      </c>
      <c r="N58" s="215">
        <v>2.2599999999999998</v>
      </c>
    </row>
    <row r="59" spans="1:14">
      <c r="A59" s="240" t="s">
        <v>39</v>
      </c>
      <c r="B59" s="215">
        <v>0.77</v>
      </c>
      <c r="C59" s="215">
        <v>0.75</v>
      </c>
      <c r="D59" s="215">
        <v>0.74</v>
      </c>
      <c r="E59" s="215">
        <v>0.03</v>
      </c>
      <c r="F59" s="215">
        <v>0.03</v>
      </c>
      <c r="G59" s="215">
        <v>0.03</v>
      </c>
      <c r="H59" s="215">
        <v>0.04</v>
      </c>
      <c r="I59" s="215">
        <v>0.04</v>
      </c>
      <c r="J59" s="215">
        <v>0.04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40" t="s">
        <v>78</v>
      </c>
      <c r="B60" s="215">
        <v>0</v>
      </c>
      <c r="C60" s="215">
        <v>0.01</v>
      </c>
      <c r="D60" s="215">
        <v>0</v>
      </c>
      <c r="E60" s="215">
        <v>-0.01</v>
      </c>
      <c r="F60" s="215">
        <v>0.03</v>
      </c>
      <c r="G60" s="215">
        <v>0.01</v>
      </c>
      <c r="H60" s="215">
        <v>0.01</v>
      </c>
      <c r="I60" s="215">
        <v>0.01</v>
      </c>
      <c r="J60" s="215">
        <v>0.01</v>
      </c>
      <c r="K60" s="215">
        <v>0</v>
      </c>
      <c r="L60" s="215">
        <v>0.01</v>
      </c>
      <c r="M60" s="215">
        <v>-0.01</v>
      </c>
      <c r="N60" s="215">
        <v>0.01</v>
      </c>
    </row>
    <row r="61" spans="1:14">
      <c r="A61" s="240" t="s">
        <v>79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80</v>
      </c>
      <c r="B62" s="273">
        <v>52.22</v>
      </c>
      <c r="C62" s="273">
        <v>48.31</v>
      </c>
      <c r="D62" s="273">
        <v>41.14</v>
      </c>
      <c r="E62" s="273">
        <v>46.97</v>
      </c>
      <c r="F62" s="273">
        <v>41.4</v>
      </c>
      <c r="G62" s="273">
        <v>33.25</v>
      </c>
      <c r="H62" s="273">
        <v>25.29</v>
      </c>
      <c r="I62" s="273">
        <v>27.34</v>
      </c>
      <c r="J62" s="273">
        <v>36.03</v>
      </c>
      <c r="K62" s="273">
        <v>40.03</v>
      </c>
      <c r="L62" s="273">
        <v>41</v>
      </c>
      <c r="M62" s="273">
        <v>47.4</v>
      </c>
      <c r="N62" s="273">
        <v>42.65</v>
      </c>
    </row>
    <row r="64" spans="1:14">
      <c r="A64" s="126" t="s">
        <v>85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306" t="s">
        <v>1</v>
      </c>
      <c r="C65" s="306" t="s">
        <v>2</v>
      </c>
      <c r="D65" s="306" t="s">
        <v>29</v>
      </c>
      <c r="E65" s="306" t="s">
        <v>18</v>
      </c>
      <c r="F65" s="306" t="s">
        <v>19</v>
      </c>
      <c r="G65" s="306" t="s">
        <v>28</v>
      </c>
      <c r="H65" s="306" t="s">
        <v>30</v>
      </c>
      <c r="I65" s="306" t="s">
        <v>34</v>
      </c>
      <c r="J65" s="308" t="s">
        <v>159</v>
      </c>
    </row>
    <row r="66" spans="1:12">
      <c r="A66" s="17"/>
      <c r="B66" s="307"/>
      <c r="C66" s="307"/>
      <c r="D66" s="307"/>
      <c r="E66" s="307"/>
      <c r="F66" s="307"/>
      <c r="G66" s="307"/>
      <c r="H66" s="307"/>
      <c r="I66" s="307"/>
      <c r="J66" s="309"/>
    </row>
    <row r="67" spans="1:12">
      <c r="A67" s="128" t="str">
        <f>MID(B43,6,3) &amp; "-" &amp; MID(B43,3,2)</f>
        <v>Oct-19</v>
      </c>
      <c r="B67" s="125">
        <f>VLOOKUP("Mercado Diario",$A$45:$N$62,2,FALSE)</f>
        <v>47.74</v>
      </c>
      <c r="C67" s="125">
        <f>VLOOKUP("Mercado Intradiario",$A$45:$N$62,2,FALSE)</f>
        <v>-0.02</v>
      </c>
      <c r="D67" s="125">
        <f t="shared" ref="D67:D79" si="0">SUM(B67:C67)</f>
        <v>47.72</v>
      </c>
      <c r="E67" s="125">
        <f>SUM(B83:B89)</f>
        <v>1.3900000000000001</v>
      </c>
      <c r="F67" s="125">
        <f>VLOOKUP("Pago capacidad",$A$45:$N$62,2,FALSE)</f>
        <v>2.34</v>
      </c>
      <c r="G67" s="125">
        <f>VLOOKUP("Servicio interrumpibilidad",$A$45:$N$62,2,FALSE)</f>
        <v>0.77</v>
      </c>
      <c r="H67" s="125">
        <f t="shared" ref="H67:H79" si="1">SUM(D67:G67)</f>
        <v>52.220000000000006</v>
      </c>
      <c r="I67" s="130">
        <f>VLOOKUP("Energía final MWh",$A$45:$N$62,2,FALSE)/1000</f>
        <v>20151.139859000003</v>
      </c>
      <c r="J67" s="132" t="str">
        <f>MID(A67,1,1)</f>
        <v>O</v>
      </c>
    </row>
    <row r="68" spans="1:12">
      <c r="A68" s="128" t="str">
        <f>MID(C43,6,3) &amp; "-" &amp; MID(C43,3,2)</f>
        <v>Nov-19</v>
      </c>
      <c r="B68" s="125">
        <f>VLOOKUP("Mercado Diario",$A$45:$N$62,3,FALSE)</f>
        <v>43.6</v>
      </c>
      <c r="C68" s="125">
        <f>VLOOKUP("Mercado Intradiario",$A$45:$N$62,3,FALSE)</f>
        <v>-0.03</v>
      </c>
      <c r="D68" s="125">
        <f t="shared" si="0"/>
        <v>43.57</v>
      </c>
      <c r="E68" s="125">
        <f>SUM(C83:C89)</f>
        <v>1.5499999999999998</v>
      </c>
      <c r="F68" s="125">
        <f>VLOOKUP("Pago capacidad",$A$45:$N$62,3,FALSE)</f>
        <v>2.44</v>
      </c>
      <c r="G68" s="125">
        <f>VLOOKUP("Servicio interrumpibilidad",$A$45:$N$62,3,FALSE)</f>
        <v>0.75</v>
      </c>
      <c r="H68" s="125">
        <f t="shared" si="1"/>
        <v>48.309999999999995</v>
      </c>
      <c r="I68" s="130">
        <f>VLOOKUP("Energía final MWh",$A$45:$N$62,3,FALSE)/1000</f>
        <v>20817.466447999999</v>
      </c>
      <c r="J68" s="132" t="str">
        <f t="shared" ref="J68:J79" si="2">MID(A68,1,1)</f>
        <v>N</v>
      </c>
    </row>
    <row r="69" spans="1:12">
      <c r="A69" s="128" t="str">
        <f>MID(D43,6,3) &amp; "-" &amp; MID(D43,3,2)</f>
        <v>Dic-19</v>
      </c>
      <c r="B69" s="125">
        <f>VLOOKUP("Mercado Diario",$A$45:$N$62,4,FALSE)</f>
        <v>35.35</v>
      </c>
      <c r="C69" s="125">
        <f>VLOOKUP("Mercado Intradiario",$A$45:$N$62,4,FALSE)</f>
        <v>-0.02</v>
      </c>
      <c r="D69" s="125">
        <f t="shared" si="0"/>
        <v>35.33</v>
      </c>
      <c r="E69" s="125">
        <f>SUM(D83:D89)</f>
        <v>2.0700000000000007</v>
      </c>
      <c r="F69" s="125">
        <f>VLOOKUP("Pago capacidad",$A$45:$N$62,4,FALSE)</f>
        <v>3</v>
      </c>
      <c r="G69" s="125">
        <f>VLOOKUP("Servicio interrumpibilidad",$A$45:$N$62,4,FALSE)</f>
        <v>0.74</v>
      </c>
      <c r="H69" s="125">
        <f t="shared" si="1"/>
        <v>41.14</v>
      </c>
      <c r="I69" s="130">
        <f>VLOOKUP("Energía final MWh",$A$45:$N$62,4,FALSE)/1000</f>
        <v>20807.832398999999</v>
      </c>
      <c r="J69" s="132" t="str">
        <f t="shared" si="2"/>
        <v>D</v>
      </c>
    </row>
    <row r="70" spans="1:12">
      <c r="A70" s="128" t="str">
        <f>MID(E43,6,3) &amp; "-" &amp; MID(E43,3,2)</f>
        <v>Ene-20</v>
      </c>
      <c r="B70" s="125">
        <f>VLOOKUP("Mercado Diario",$A$45:$N$62,5,FALSE)</f>
        <v>42.06</v>
      </c>
      <c r="C70" s="125">
        <f>VLOOKUP("Mercado Intradiario",$A$45:$N$62,5,FALSE)</f>
        <v>-0.02</v>
      </c>
      <c r="D70" s="125">
        <f t="shared" si="0"/>
        <v>42.04</v>
      </c>
      <c r="E70" s="125">
        <f>SUM(E83:E89)</f>
        <v>1.7899999999999998</v>
      </c>
      <c r="F70" s="125">
        <f>VLOOKUP("Pago capacidad",$A$45:$N$62,5,FALSE)</f>
        <v>3.11</v>
      </c>
      <c r="G70" s="125">
        <f>VLOOKUP("Servicio interrumpibilidad",$A$45:$N$62,5,FALSE)</f>
        <v>0.03</v>
      </c>
      <c r="H70" s="125">
        <f t="shared" si="1"/>
        <v>46.97</v>
      </c>
      <c r="I70" s="130">
        <f>VLOOKUP("Energía final MWh",$A$45:$N$62,5,FALSE)/1000</f>
        <v>22598.052840999997</v>
      </c>
      <c r="J70" s="132" t="str">
        <f t="shared" si="2"/>
        <v>E</v>
      </c>
    </row>
    <row r="71" spans="1:12">
      <c r="A71" s="128" t="str">
        <f>MID(F43,6,3) &amp; "-" &amp; MID(F43,3,2)</f>
        <v>Feb-20</v>
      </c>
      <c r="B71" s="125">
        <f>VLOOKUP("Mercado Diario",$A$45:$N$62,6,FALSE)</f>
        <v>36.54</v>
      </c>
      <c r="C71" s="125">
        <f>VLOOKUP("Mercado Intradiario",$A$45:$N$62,6,FALSE)</f>
        <v>-0.03</v>
      </c>
      <c r="D71" s="125">
        <f t="shared" si="0"/>
        <v>36.51</v>
      </c>
      <c r="E71" s="125">
        <f>SUM(F83:F89)</f>
        <v>1.8800000000000001</v>
      </c>
      <c r="F71" s="125">
        <f>VLOOKUP("Pago capacidad",$A$45:$N$62,6,FALSE)</f>
        <v>2.98</v>
      </c>
      <c r="G71" s="125">
        <f>VLOOKUP("Servicio interrumpibilidad",$A$45:$N$62,6,FALSE)</f>
        <v>0.03</v>
      </c>
      <c r="H71" s="125">
        <f t="shared" si="1"/>
        <v>41.4</v>
      </c>
      <c r="I71" s="130">
        <f>VLOOKUP("Energía final MWh",$A$45:$N$62,6,FALSE)/1000</f>
        <v>19843.256881000001</v>
      </c>
      <c r="J71" s="132" t="str">
        <f t="shared" si="2"/>
        <v>F</v>
      </c>
    </row>
    <row r="72" spans="1:12">
      <c r="A72" s="128" t="str">
        <f>MID(G43,6,3) &amp; "-" &amp; MID(G43,3,2)</f>
        <v>Mar-20</v>
      </c>
      <c r="B72" s="125">
        <f>VLOOKUP("Mercado Diario",$A$45:$N$62,7,FALSE)</f>
        <v>28.28</v>
      </c>
      <c r="C72" s="125">
        <f>VLOOKUP("Mercado Intradiario",$A$45:$N$62,7,FALSE)</f>
        <v>-0.01</v>
      </c>
      <c r="D72" s="125">
        <f t="shared" si="0"/>
        <v>28.27</v>
      </c>
      <c r="E72" s="125">
        <f>SUM(G83:G89)</f>
        <v>2.56</v>
      </c>
      <c r="F72" s="125">
        <f>VLOOKUP("Pago capacidad",$A$45:$N$62,7,FALSE)</f>
        <v>2.39</v>
      </c>
      <c r="G72" s="125">
        <f>VLOOKUP("Servicio interrumpibilidad",$A$45:$N$62,7,FALSE)</f>
        <v>0.03</v>
      </c>
      <c r="H72" s="125">
        <f t="shared" si="1"/>
        <v>33.25</v>
      </c>
      <c r="I72" s="130">
        <f>VLOOKUP("Energía final MWh",$A$45:$N$62,7,FALSE)/1000</f>
        <v>19774.940124000001</v>
      </c>
      <c r="J72" s="132" t="str">
        <f t="shared" si="2"/>
        <v>M</v>
      </c>
    </row>
    <row r="73" spans="1:12">
      <c r="A73" s="128" t="str">
        <f>MID(H43,6,3) &amp; "-" &amp; MID(H43,3,2)</f>
        <v>Abr-20</v>
      </c>
      <c r="B73" s="125">
        <f>VLOOKUP("Mercado Diario",$A$45:$N$62,8,FALSE)</f>
        <v>17.809999999999999</v>
      </c>
      <c r="C73" s="125">
        <f>VLOOKUP("Mercado Intradiario",$A$45:$N$62,8,FALSE)</f>
        <v>-0.02</v>
      </c>
      <c r="D73" s="125">
        <f t="shared" si="0"/>
        <v>17.79</v>
      </c>
      <c r="E73" s="125">
        <f>SUM(H83:H89)</f>
        <v>5.0500000000000007</v>
      </c>
      <c r="F73" s="125">
        <f>VLOOKUP("Pago capacidad",$A$45:$N$62,8,FALSE)</f>
        <v>2.41</v>
      </c>
      <c r="G73" s="125">
        <f>VLOOKUP("Servicio interrumpibilidad",$A$45:$N$62,8,FALSE)</f>
        <v>0.04</v>
      </c>
      <c r="H73" s="125">
        <f t="shared" si="1"/>
        <v>25.29</v>
      </c>
      <c r="I73" s="130">
        <f>VLOOKUP("Energía final MWh",$A$45:$N$62,8,FALSE)/1000</f>
        <v>16135.855265</v>
      </c>
      <c r="J73" s="132" t="str">
        <f t="shared" si="2"/>
        <v>A</v>
      </c>
    </row>
    <row r="74" spans="1:12">
      <c r="A74" s="128" t="str">
        <f>MID(I43,6,3) &amp; "-" &amp; MID(I43,3,2)</f>
        <v>May-20</v>
      </c>
      <c r="B74" s="125">
        <f>VLOOKUP("Mercado Diario",$A$45:$N$62,9,FALSE)</f>
        <v>21.7</v>
      </c>
      <c r="C74" s="125">
        <f>VLOOKUP("Mercado Intradiario",$A$45:$N$62,9,FALSE)</f>
        <v>-0.01</v>
      </c>
      <c r="D74" s="125">
        <f t="shared" si="0"/>
        <v>21.689999999999998</v>
      </c>
      <c r="E74" s="125">
        <f>SUM(I83:I89)</f>
        <v>3.37</v>
      </c>
      <c r="F74" s="125">
        <f>VLOOKUP("Pago capacidad",$A$45:$N$62,9,FALSE)</f>
        <v>2.2400000000000002</v>
      </c>
      <c r="G74" s="125">
        <f>VLOOKUP("Servicio interrumpibilidad",$A$45:$N$62,9,FALSE)</f>
        <v>0.04</v>
      </c>
      <c r="H74" s="125">
        <f t="shared" si="1"/>
        <v>27.339999999999996</v>
      </c>
      <c r="I74" s="130">
        <f>VLOOKUP("Energía final MWh",$A$45:$N$62,9,FALSE)/1000</f>
        <v>17306.409142</v>
      </c>
      <c r="J74" s="132" t="str">
        <f t="shared" si="2"/>
        <v>M</v>
      </c>
    </row>
    <row r="75" spans="1:12">
      <c r="A75" s="128" t="str">
        <f>MID(J43,6,3) &amp; "-" &amp; MID(J43,3,2)</f>
        <v>Jun-20</v>
      </c>
      <c r="B75" s="125">
        <f>VLOOKUP("Mercado Diario",$A$45:$N$62,10,FALSE)</f>
        <v>31</v>
      </c>
      <c r="C75" s="125">
        <f>VLOOKUP("Mercado Intradiario",$A$45:$N$62,10,FALSE)</f>
        <v>-0.01</v>
      </c>
      <c r="D75" s="125">
        <f t="shared" si="0"/>
        <v>30.99</v>
      </c>
      <c r="E75" s="125">
        <f>SUM(J83:J89)</f>
        <v>2.2400000000000002</v>
      </c>
      <c r="F75" s="125">
        <f>VLOOKUP("Pago capacidad",$A$45:$N$62,10,FALSE)</f>
        <v>2.76</v>
      </c>
      <c r="G75" s="125">
        <f>VLOOKUP("Servicio interrumpibilidad",$A$45:$N$62,10,FALSE)</f>
        <v>0.04</v>
      </c>
      <c r="H75" s="125">
        <f t="shared" si="1"/>
        <v>36.029999999999994</v>
      </c>
      <c r="I75" s="130">
        <f>VLOOKUP("Energía final MWh",$A$45:$N$62,10,FALSE)/1000</f>
        <v>18258.792905999999</v>
      </c>
      <c r="J75" s="132" t="str">
        <f t="shared" si="2"/>
        <v>J</v>
      </c>
    </row>
    <row r="76" spans="1:12">
      <c r="A76" s="128" t="str">
        <f>MID(K43,6,3) &amp; "-" &amp; MID(K43,3,2)</f>
        <v>Jul-20</v>
      </c>
      <c r="B76" s="125">
        <f>VLOOKUP("Mercado Diario",$A$45:$N$62,11,FALSE)</f>
        <v>35.200000000000003</v>
      </c>
      <c r="C76" s="125">
        <f>VLOOKUP("Mercado Intradiario",$A$45:$N$62,11,FALSE)</f>
        <v>-0.01</v>
      </c>
      <c r="D76" s="125">
        <f t="shared" si="0"/>
        <v>35.190000000000005</v>
      </c>
      <c r="E76" s="125">
        <f>SUM(K83:K89)</f>
        <v>1.59</v>
      </c>
      <c r="F76" s="125">
        <f>VLOOKUP("Pago capacidad",$A$45:$N$62,11,FALSE)</f>
        <v>3.25</v>
      </c>
      <c r="G76" s="125">
        <f>VLOOKUP("Servicio interrumpibilidad",$A$45:$N$62,11,FALSE)</f>
        <v>0</v>
      </c>
      <c r="H76" s="125">
        <f t="shared" si="1"/>
        <v>40.030000000000008</v>
      </c>
      <c r="I76" s="130">
        <f>VLOOKUP("Energía final MWh",$A$45:$N$62,11,FALSE)/1000</f>
        <v>21843.711487</v>
      </c>
      <c r="J76" s="132" t="str">
        <f t="shared" si="2"/>
        <v>J</v>
      </c>
    </row>
    <row r="77" spans="1:12">
      <c r="A77" s="128" t="str">
        <f>MID(L43,6,3) &amp; "-" &amp; MID(L43,3,2)</f>
        <v>Ago-20</v>
      </c>
      <c r="B77" s="125">
        <f>VLOOKUP("Mercado Diario",$A$45:$N$62,12,FALSE)</f>
        <v>36.75</v>
      </c>
      <c r="C77" s="125">
        <f>VLOOKUP("Mercado Intradiario",$A$45:$N$62,12,FALSE)</f>
        <v>-0.01</v>
      </c>
      <c r="D77" s="125">
        <f t="shared" si="0"/>
        <v>36.74</v>
      </c>
      <c r="E77" s="125">
        <f>SUM(L83:L89)</f>
        <v>2.19</v>
      </c>
      <c r="F77" s="125">
        <f>VLOOKUP("Pago capacidad",$A$45:$N$62,12,FALSE)</f>
        <v>2.0699999999999998</v>
      </c>
      <c r="G77" s="125">
        <f>VLOOKUP("Servicio interrumpibilidad",$A$45:$N$62,12,FALSE)</f>
        <v>0</v>
      </c>
      <c r="H77" s="125">
        <f t="shared" si="1"/>
        <v>41</v>
      </c>
      <c r="I77" s="130">
        <f>VLOOKUP("Energía final MWh",$A$45:$N$62,12,FALSE)/1000</f>
        <v>20643.80025</v>
      </c>
      <c r="J77" s="132" t="str">
        <f t="shared" si="2"/>
        <v>A</v>
      </c>
    </row>
    <row r="78" spans="1:12">
      <c r="A78" s="128" t="str">
        <f>MID(M43,6,3) &amp; "-" &amp; MID(M43,3,2)</f>
        <v>Sep-20</v>
      </c>
      <c r="B78" s="125">
        <f>VLOOKUP("Mercado Diario",$A$45:$N$62,13,FALSE)</f>
        <v>42.75</v>
      </c>
      <c r="C78" s="125">
        <f>VLOOKUP("Mercado Intradiario",$A$45:$N$62,13,FALSE)</f>
        <v>-0.02</v>
      </c>
      <c r="D78" s="125">
        <f t="shared" si="0"/>
        <v>42.73</v>
      </c>
      <c r="E78" s="125">
        <f>SUM(M83:M89)</f>
        <v>2.3200000000000003</v>
      </c>
      <c r="F78" s="125">
        <f>VLOOKUP("Pago capacidad",$A$45:$N$62,13,FALSE)</f>
        <v>2.35</v>
      </c>
      <c r="G78" s="125">
        <f>VLOOKUP("Servicio interrumpibilidad",$A$45:$N$62,13,FALSE)</f>
        <v>0</v>
      </c>
      <c r="H78" s="125">
        <f t="shared" si="1"/>
        <v>47.4</v>
      </c>
      <c r="I78" s="130">
        <f>VLOOKUP("Energía final MWh",$A$45:$N$62,13,FALSE)/1000</f>
        <v>19311.275227999999</v>
      </c>
      <c r="J78" s="132" t="str">
        <f t="shared" si="2"/>
        <v>S</v>
      </c>
      <c r="K78" s="245"/>
    </row>
    <row r="79" spans="1:12">
      <c r="A79" s="129" t="str">
        <f>MID(N43,6,3) &amp; "-" &amp; MID(N43,3,2)</f>
        <v>Oct-20</v>
      </c>
      <c r="B79" s="124">
        <f>VLOOKUP("Mercado Diario",$A$45:$N$62,14,FALSE)</f>
        <v>37.49</v>
      </c>
      <c r="C79" s="124">
        <f>VLOOKUP("Mercado Intradiario",$A$45:$N$62,14,FALSE)</f>
        <v>-0.04</v>
      </c>
      <c r="D79" s="124">
        <f t="shared" si="0"/>
        <v>37.450000000000003</v>
      </c>
      <c r="E79" s="124">
        <f>SUM(N83:N89)</f>
        <v>2.9400000000000004</v>
      </c>
      <c r="F79" s="124">
        <f>VLOOKUP("Pago capacidad",$A$45:$N$62,14,FALSE)</f>
        <v>2.2599999999999998</v>
      </c>
      <c r="G79" s="124">
        <f>VLOOKUP("Servicio interrumpibilidad",$A$45:$N$62,14,FALSE)</f>
        <v>0</v>
      </c>
      <c r="H79" s="124">
        <f t="shared" si="1"/>
        <v>42.65</v>
      </c>
      <c r="I79" s="131">
        <f>VLOOKUP("Energía final MWh",$A$45:$N$62,14,FALSE)/1000</f>
        <v>19524.205278999998</v>
      </c>
      <c r="J79" s="133" t="str">
        <f t="shared" si="2"/>
        <v>O</v>
      </c>
      <c r="K79" s="246">
        <f>(H79/H78-1)*100</f>
        <v>-10.021097046413507</v>
      </c>
      <c r="L79" s="246">
        <f>(H79/H67-1)*100</f>
        <v>-18.326311757947156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O</v>
      </c>
      <c r="C82" s="106" t="str">
        <f t="shared" ref="C82:N82" si="3">MID(C43,6,1)</f>
        <v>N</v>
      </c>
      <c r="D82" s="106" t="str">
        <f t="shared" si="3"/>
        <v>D</v>
      </c>
      <c r="E82" s="106" t="str">
        <f t="shared" si="3"/>
        <v>E</v>
      </c>
      <c r="F82" s="106" t="str">
        <f t="shared" si="3"/>
        <v>F</v>
      </c>
      <c r="G82" s="106" t="str">
        <f t="shared" si="3"/>
        <v>M</v>
      </c>
      <c r="H82" s="106" t="str">
        <f t="shared" si="3"/>
        <v>A</v>
      </c>
      <c r="I82" s="106" t="str">
        <f t="shared" si="3"/>
        <v>M</v>
      </c>
      <c r="J82" s="106" t="str">
        <f t="shared" si="3"/>
        <v>J</v>
      </c>
      <c r="K82" s="106" t="str">
        <f t="shared" si="3"/>
        <v>J</v>
      </c>
      <c r="L82" s="106" t="str">
        <f t="shared" si="3"/>
        <v>A</v>
      </c>
      <c r="M82" s="106" t="str">
        <f t="shared" si="3"/>
        <v>S</v>
      </c>
      <c r="N82" s="106" t="str">
        <f t="shared" si="3"/>
        <v>O</v>
      </c>
    </row>
    <row r="83" spans="1:15">
      <c r="A83" s="102" t="s">
        <v>22</v>
      </c>
      <c r="B83" s="107">
        <f>VLOOKUP("Restricciones PBF",$A$45:$N$62,2,FALSE)</f>
        <v>0.98</v>
      </c>
      <c r="C83" s="107">
        <f>VLOOKUP("Restricciones PBF",$A$45:$N$62,3,FALSE)</f>
        <v>1.1000000000000001</v>
      </c>
      <c r="D83" s="107">
        <f>VLOOKUP("Restricciones PBF",$A$45:$N$62,4,FALSE)</f>
        <v>1.37</v>
      </c>
      <c r="E83" s="107">
        <f>VLOOKUP("Restricciones PBF",$A$45:$N$62,5,FALSE)</f>
        <v>1.32</v>
      </c>
      <c r="F83" s="107">
        <f>VLOOKUP("Restricciones PBF",$A$45:$N$62,6,FALSE)</f>
        <v>1.44</v>
      </c>
      <c r="G83" s="107">
        <f>VLOOKUP("Restricciones PBF",$A$45:$N$62,7,FALSE)</f>
        <v>2.0299999999999998</v>
      </c>
      <c r="H83" s="107">
        <f>VLOOKUP("Restricciones PBF",$A$45:$N$62,8,FALSE)</f>
        <v>4.54</v>
      </c>
      <c r="I83" s="107">
        <f>VLOOKUP("Restricciones PBF",$A$45:$N$62,9,FALSE)</f>
        <v>2.96</v>
      </c>
      <c r="J83" s="107">
        <f>VLOOKUP("Restricciones PBF",$A$45:$N$62,10,FALSE)</f>
        <v>1.68</v>
      </c>
      <c r="K83" s="107">
        <f>VLOOKUP("Restricciones PBF",$A$45:$N$62,11,FALSE)</f>
        <v>1.07</v>
      </c>
      <c r="L83" s="107">
        <f>VLOOKUP("Restricciones PBF",$A$45:$N$62,12,FALSE)</f>
        <v>1.29</v>
      </c>
      <c r="M83" s="107">
        <f>VLOOKUP("Restricciones PBF",$A$45:$N$62,13,FALSE)</f>
        <v>1.05</v>
      </c>
      <c r="N83" s="107">
        <f>VLOOKUP("Restricciones PBF",$A$45:$N$62,14,FALSE)</f>
        <v>1.76</v>
      </c>
    </row>
    <row r="84" spans="1:15">
      <c r="A84" s="102" t="s">
        <v>27</v>
      </c>
      <c r="B84" s="107">
        <f>VLOOKUP("Restricciones TR",$A$45:$N$62,2,FALSE)</f>
        <v>7.0000000000000007E-2</v>
      </c>
      <c r="C84" s="107">
        <f>VLOOKUP("Restricciones TR",$A$45:$N$62,3,FALSE)</f>
        <v>0.05</v>
      </c>
      <c r="D84" s="107">
        <f>VLOOKUP("Restricciones TR",$A$45:$N$62,4,FALSE)</f>
        <v>0.09</v>
      </c>
      <c r="E84" s="107">
        <f>VLOOKUP("Restricciones TR",$A$45:$N$62,5,FALSE)</f>
        <v>0.18</v>
      </c>
      <c r="F84" s="107">
        <f>VLOOKUP("Restricciones TR",$A$45:$N$62,6,FALSE)</f>
        <v>7.0000000000000007E-2</v>
      </c>
      <c r="G84" s="107">
        <f>VLOOKUP("Restricciones TR",$A$45:$N$62,7,FALSE)</f>
        <v>0.12</v>
      </c>
      <c r="H84" s="107">
        <f>VLOOKUP("Restricciones TR",$A$45:$N$62,8,FALSE)</f>
        <v>7.0000000000000007E-2</v>
      </c>
      <c r="I84" s="107">
        <f>VLOOKUP("Restricciones TR",$A$45:$N$62,9,FALSE)</f>
        <v>0.08</v>
      </c>
      <c r="J84" s="107">
        <f>VLOOKUP("Restricciones TR",$A$45:$N$62,10,FALSE)</f>
        <v>0.15</v>
      </c>
      <c r="K84" s="107">
        <f>VLOOKUP("Restricciones TR",$A$45:$N$62,11,FALSE)</f>
        <v>0.16</v>
      </c>
      <c r="L84" s="107">
        <f>VLOOKUP("Restricciones TR",$A$45:$N$62,12,FALSE)</f>
        <v>0.49</v>
      </c>
      <c r="M84" s="107">
        <f>VLOOKUP("Restricciones TR",$A$45:$N$62,13,FALSE)</f>
        <v>0.84</v>
      </c>
      <c r="N84" s="107">
        <f>VLOOKUP("Restricciones TR",$A$45:$N$62,14,FALSE)</f>
        <v>0.62</v>
      </c>
    </row>
    <row r="85" spans="1:15">
      <c r="A85" s="102" t="s">
        <v>26</v>
      </c>
      <c r="B85" s="107">
        <f>VLOOKUP("Reserva subir",$A$45:$N$62,2,FALSE)</f>
        <v>0.03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0.32</v>
      </c>
      <c r="C86" s="107">
        <f>VLOOKUP("Banda Secundaria",$A$45:$N$62,3,FALSE)</f>
        <v>0.44</v>
      </c>
      <c r="D86" s="107">
        <f>VLOOKUP("Banda Secundaria",$A$45:$N$62,4,FALSE)</f>
        <v>0.63</v>
      </c>
      <c r="E86" s="107">
        <f>VLOOKUP("Banda Secundaria",$A$45:$N$62,5,FALSE)</f>
        <v>0.3</v>
      </c>
      <c r="F86" s="107">
        <f>VLOOKUP("Banda Secundaria",$A$45:$N$62,6,FALSE)</f>
        <v>0.33</v>
      </c>
      <c r="G86" s="107">
        <f>VLOOKUP("Banda Secundaria",$A$45:$N$62,7,FALSE)</f>
        <v>0.35</v>
      </c>
      <c r="H86" s="107">
        <f>VLOOKUP("Banda Secundaria",$A$45:$N$62,8,FALSE)</f>
        <v>0.45</v>
      </c>
      <c r="I86" s="107">
        <f>VLOOKUP("Banda Secundaria",$A$45:$N$62,9,FALSE)</f>
        <v>0.38</v>
      </c>
      <c r="J86" s="107">
        <f>VLOOKUP("Banda Secundaria",$A$45:$N$62,10,FALSE)</f>
        <v>0.39</v>
      </c>
      <c r="K86" s="107">
        <f>VLOOKUP("Banda Secundaria",$A$45:$N$62,11,FALSE)</f>
        <v>0.33</v>
      </c>
      <c r="L86" s="107">
        <f>VLOOKUP("Banda Secundaria",$A$45:$N$62,12,FALSE)</f>
        <v>0.35</v>
      </c>
      <c r="M86" s="107">
        <f>VLOOKUP("Banda Secundaria",$A$45:$N$62,13,FALSE)</f>
        <v>0.41</v>
      </c>
      <c r="N86" s="107">
        <f>VLOOKUP("Banda Secundaria",$A$45:$N$62,14,FALSE)</f>
        <v>0.53</v>
      </c>
    </row>
    <row r="87" spans="1:15">
      <c r="A87" s="102" t="s">
        <v>52</v>
      </c>
      <c r="B87" s="107">
        <f>VLOOKUP("Coste desvíos",$A$45:$N$62,2,FALSE)+VLOOKUP("Saldo PO 14.6",$A$45:$N$62,2,FALSE)</f>
        <v>0.13</v>
      </c>
      <c r="C87" s="107">
        <f>VLOOKUP("Coste desvíos",$A$45:$N$62,3,FALSE)+VLOOKUP("Saldo PO 14.6",$A$45:$N$62,3,FALSE)</f>
        <v>0.16</v>
      </c>
      <c r="D87" s="107">
        <f>VLOOKUP("Coste desvíos",$A$45:$N$62,4,FALSE)+VLOOKUP("Saldo PO 14.6",$A$45:$N$62,4,FALSE)</f>
        <v>0.22</v>
      </c>
      <c r="E87" s="107">
        <f>VLOOKUP("Coste desvíos",$A$45:$N$62,5,FALSE)+VLOOKUP("Saldo PO 14.6",$A$45:$N$62,5,FALSE)</f>
        <v>0.15</v>
      </c>
      <c r="F87" s="107">
        <f>VLOOKUP("Coste desvíos",$A$45:$N$62,6,FALSE)+VLOOKUP("Saldo PO 14.6",$A$45:$N$62,6,FALSE)</f>
        <v>0.17</v>
      </c>
      <c r="G87" s="107">
        <f>VLOOKUP("Coste desvíos",$A$45:$N$62,7,FALSE)+VLOOKUP("Saldo PO 14.6",$A$45:$N$62,7,FALSE)</f>
        <v>0.23</v>
      </c>
      <c r="H87" s="107">
        <f>VLOOKUP("Coste desvíos",$A$45:$N$62,8,FALSE)+VLOOKUP("Saldo PO 14.6",$A$45:$N$62,8,FALSE)</f>
        <v>0.17</v>
      </c>
      <c r="I87" s="107">
        <f>VLOOKUP("Coste desvíos",$A$45:$N$62,9,FALSE)+VLOOKUP("Saldo PO 14.6",$A$45:$N$62,9,FALSE)</f>
        <v>0.11</v>
      </c>
      <c r="J87" s="107">
        <f>VLOOKUP("Coste desvíos",$A$45:$N$62,10,FALSE)+VLOOKUP("Saldo PO 14.6",$A$45:$N$62,10,FALSE)</f>
        <v>0.16</v>
      </c>
      <c r="K87" s="107">
        <f>VLOOKUP("Coste desvíos",$A$45:$N$62,11,FALSE)+VLOOKUP("Saldo PO 14.6",$A$45:$N$62,11,FALSE)</f>
        <v>0.1</v>
      </c>
      <c r="L87" s="107">
        <f>VLOOKUP("Coste desvíos",$A$45:$N$62,12,FALSE)+VLOOKUP("Saldo PO 14.6",$A$45:$N$62,12,FALSE)</f>
        <v>0.15000000000000002</v>
      </c>
      <c r="M87" s="107">
        <f>VLOOKUP("Coste desvíos",$A$45:$N$62,13,FALSE)+VLOOKUP("Saldo PO 14.6",$A$45:$N$62,13,FALSE)</f>
        <v>9.0000000000000011E-2</v>
      </c>
      <c r="N87" s="107">
        <f>VLOOKUP("Coste desvíos",$A$45:$N$62,14,FALSE)+VLOOKUP("Saldo PO 14.6",$A$45:$N$62,14,FALSE)</f>
        <v>9.9999999999999992E-2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-0.08</v>
      </c>
      <c r="C88" s="107">
        <f>VLOOKUP("Saldo desvíos",$A$45:$N$62,3,FALSE)+VLOOKUP("Incumplimiento energía balance",$A$45:$N$62,3,FALSE)</f>
        <v>-0.11</v>
      </c>
      <c r="D88" s="107">
        <f>VLOOKUP("Saldo desvíos",$A$45:$N$62,4,FALSE)+VLOOKUP("Incumplimiento energía balance",$A$45:$N$62,4,FALSE)</f>
        <v>-0.17</v>
      </c>
      <c r="E88" s="107">
        <f>VLOOKUP("Saldo desvíos",$A$45:$N$62,5,FALSE)+VLOOKUP("Incumplimiento energía balance",$A$45:$N$62,5,FALSE)</f>
        <v>-0.1</v>
      </c>
      <c r="F88" s="107">
        <f>VLOOKUP("Saldo desvíos",$A$45:$N$62,6,FALSE)+VLOOKUP("Incumplimiento energía balance",$A$45:$N$62,6,FALSE)</f>
        <v>-6.9999999999999993E-2</v>
      </c>
      <c r="G88" s="107">
        <f>VLOOKUP("Saldo desvíos",$A$45:$N$62,7,FALSE)+VLOOKUP("Incumplimiento energía balance",$A$45:$N$62,7,FALSE)</f>
        <v>-9.9999999999999992E-2</v>
      </c>
      <c r="H88" s="107">
        <f>VLOOKUP("Saldo desvíos",$A$45:$N$62,8,FALSE)+VLOOKUP("Incumplimiento energía balance",$A$45:$N$62,8,FALSE)</f>
        <v>-0.08</v>
      </c>
      <c r="I88" s="107">
        <f>VLOOKUP("Saldo desvíos",$A$45:$N$62,9,FALSE)+VLOOKUP("Incumplimiento energía balance",$A$45:$N$62,9,FALSE)</f>
        <v>-6.9999999999999993E-2</v>
      </c>
      <c r="J88" s="107">
        <f>VLOOKUP("Saldo desvíos",$A$45:$N$62,10,FALSE)+VLOOKUP("Incumplimiento energía balance",$A$45:$N$62,10,FALSE)</f>
        <v>-7.0000000000000007E-2</v>
      </c>
      <c r="K88" s="107">
        <f>VLOOKUP("Saldo desvíos",$A$45:$N$62,11,FALSE)+VLOOKUP("Incumplimiento energía balance",$A$45:$N$62,11,FALSE)</f>
        <v>-0.01</v>
      </c>
      <c r="L88" s="107">
        <f>VLOOKUP("Saldo desvíos",$A$45:$N$62,12,FALSE)+VLOOKUP("Incumplimiento energía balance",$A$45:$N$62,12,FALSE)</f>
        <v>-0.03</v>
      </c>
      <c r="M88" s="107">
        <f>VLOOKUP("Saldo desvíos",$A$45:$N$62,13,FALSE)+VLOOKUP("Incumplimiento energía balance",$A$45:$N$62,13,FALSE)</f>
        <v>-0.01</v>
      </c>
      <c r="N88" s="107">
        <f>VLOOKUP("Saldo desvíos",$A$45:$N$62,14,FALSE)+VLOOKUP("Incumplimiento energía balance",$A$45:$N$62,14,FALSE)</f>
        <v>0</v>
      </c>
    </row>
    <row r="89" spans="1:15">
      <c r="A89" s="103" t="s">
        <v>24</v>
      </c>
      <c r="B89" s="108">
        <f>VLOOKUP("Control del factor de potencia",$A$45:$N$62,2,FALSE)</f>
        <v>-0.06</v>
      </c>
      <c r="C89" s="108">
        <f>VLOOKUP("Control del factor de potencia",$A$45:$N$62,3,FALSE)</f>
        <v>-0.09</v>
      </c>
      <c r="D89" s="108">
        <f>VLOOKUP("Control del factor de potencia",$A$45:$N$62,4,FALSE)</f>
        <v>-7.0000000000000007E-2</v>
      </c>
      <c r="E89" s="108">
        <f>VLOOKUP("Control del factor de potencia",$A$45:$N$62,5,FALSE)</f>
        <v>-0.06</v>
      </c>
      <c r="F89" s="108">
        <f>VLOOKUP("Control del factor de potencia",$A$45:$N$62,6,FALSE)</f>
        <v>-0.06</v>
      </c>
      <c r="G89" s="108">
        <f>VLOOKUP("Control del factor de potencia",$A$45:$N$62,7,FALSE)</f>
        <v>-7.0000000000000007E-2</v>
      </c>
      <c r="H89" s="108">
        <f>VLOOKUP("Control del factor de potencia",$A$45:$N$62,8,FALSE)</f>
        <v>-0.1</v>
      </c>
      <c r="I89" s="108">
        <f>VLOOKUP("Control del factor de potencia",$A$45:$N$62,9,FALSE)</f>
        <v>-0.09</v>
      </c>
      <c r="J89" s="108">
        <f>VLOOKUP("Control del factor de potencia",$A$45:$N$62,10,FALSE)</f>
        <v>-7.0000000000000007E-2</v>
      </c>
      <c r="K89" s="108">
        <f>VLOOKUP("Control del factor de potencia",$A$45:$N$62,11,FALSE)</f>
        <v>-0.06</v>
      </c>
      <c r="L89" s="108">
        <f>VLOOKUP("Control del factor de potencia",$A$45:$N$62,12,FALSE)</f>
        <v>-0.06</v>
      </c>
      <c r="M89" s="108">
        <f>VLOOKUP("Control del factor de potencia",$A$45:$N$62,13,FALSE)</f>
        <v>-0.06</v>
      </c>
      <c r="N89" s="108">
        <f>VLOOKUP("Control del factor de potencia",$A$45:$N$62,14,FALSE)</f>
        <v>-7.0000000000000007E-2</v>
      </c>
      <c r="O89" s="246">
        <f>(SUM(N83:N89)/SUM(B83:B89)-1)*100</f>
        <v>111.51079136690649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4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160</v>
      </c>
    </row>
    <row r="93" spans="1:15">
      <c r="A93" s="97" t="s">
        <v>40</v>
      </c>
      <c r="B93" s="124">
        <f>VLOOKUP("Mercado Diario",$A$45:$N$62,14,FALSE)</f>
        <v>37.49</v>
      </c>
      <c r="C93" s="124">
        <f>VLOOKUP("Mercado Intradiario",$A$45:$N$62,14,FALSE)</f>
        <v>-0.04</v>
      </c>
      <c r="D93" s="124">
        <f>SUM(B93:C93)</f>
        <v>37.450000000000003</v>
      </c>
      <c r="E93" s="124">
        <f>VLOOKUP("Pago capacidad",$A$45:$N$62,14,FALSE)</f>
        <v>2.2599999999999998</v>
      </c>
      <c r="F93" s="124">
        <f>VLOOKUP("Servicio interrumpibilidad",$A$45:$N$62,14,FALSE)</f>
        <v>0</v>
      </c>
      <c r="G93" s="124">
        <f>E79</f>
        <v>2.9400000000000004</v>
      </c>
      <c r="H93" s="124">
        <f>VLOOKUP("Restricciones PBF",$A$45:$N$62,14,FALSE)</f>
        <v>1.76</v>
      </c>
      <c r="I93" s="124">
        <f>VLOOKUP("Banda secundaria",$A$45:$N$62,14,FALSE)</f>
        <v>0.53</v>
      </c>
      <c r="J93" s="124">
        <f>N84+N85+N87+N88+N89</f>
        <v>0.64999999999999991</v>
      </c>
      <c r="K93" s="124">
        <f>N62</f>
        <v>42.65</v>
      </c>
      <c r="L93" s="134">
        <f>K93-SUM(D93:G93)</f>
        <v>0</v>
      </c>
    </row>
    <row r="94" spans="1:15">
      <c r="D94" s="276">
        <f>D93/K93*100</f>
        <v>87.80773739742088</v>
      </c>
    </row>
    <row r="97" spans="1:5" ht="33" hidden="1" customHeight="1">
      <c r="A97" s="214" t="s">
        <v>31</v>
      </c>
      <c r="B97" s="304" t="s">
        <v>81</v>
      </c>
      <c r="C97" s="305"/>
      <c r="D97" s="313" t="s">
        <v>306</v>
      </c>
      <c r="E97" s="313"/>
    </row>
    <row r="98" spans="1:5" hidden="1">
      <c r="A98" s="239" t="s">
        <v>123</v>
      </c>
      <c r="B98" s="256" t="s">
        <v>268</v>
      </c>
      <c r="C98" s="256" t="s">
        <v>295</v>
      </c>
      <c r="D98" s="313"/>
      <c r="E98" s="313"/>
    </row>
    <row r="99" spans="1:5" hidden="1">
      <c r="A99" s="214" t="s">
        <v>161</v>
      </c>
      <c r="B99" s="255"/>
      <c r="C99" s="255"/>
      <c r="D99" s="313"/>
      <c r="E99" s="313"/>
    </row>
    <row r="100" spans="1:5" hidden="1">
      <c r="A100" s="240" t="s">
        <v>97</v>
      </c>
      <c r="B100" s="215">
        <v>-31967379.34</v>
      </c>
      <c r="C100" s="215">
        <v>-73265237.579999998</v>
      </c>
      <c r="D100" s="313"/>
      <c r="E100" s="313"/>
    </row>
    <row r="101" spans="1:5" hidden="1">
      <c r="A101" s="240" t="s">
        <v>98</v>
      </c>
      <c r="B101" s="215">
        <v>-5389573.8600000003</v>
      </c>
      <c r="C101" s="216" t="s">
        <v>96</v>
      </c>
      <c r="D101" s="313"/>
      <c r="E101" s="313"/>
    </row>
    <row r="102" spans="1:5" hidden="1">
      <c r="A102" s="240" t="s">
        <v>99</v>
      </c>
      <c r="B102" s="215">
        <v>-9941948.7699999996</v>
      </c>
      <c r="C102" s="215">
        <v>-7264505.9800000004</v>
      </c>
      <c r="D102" s="313"/>
      <c r="E102" s="313"/>
    </row>
    <row r="103" spans="1:5" hidden="1">
      <c r="A103" s="240" t="s">
        <v>100</v>
      </c>
      <c r="B103" s="215">
        <v>-1618354.06</v>
      </c>
      <c r="C103" s="215">
        <v>-1101682.8700000001</v>
      </c>
      <c r="D103" s="313"/>
      <c r="E103" s="313"/>
    </row>
    <row r="104" spans="1:5" hidden="1">
      <c r="A104" s="240" t="s">
        <v>296</v>
      </c>
      <c r="B104" s="215">
        <v>82332.990000000005</v>
      </c>
      <c r="C104" s="216" t="s">
        <v>96</v>
      </c>
      <c r="D104" s="313"/>
      <c r="E104" s="313"/>
    </row>
    <row r="105" spans="1:5" hidden="1">
      <c r="A105" s="240" t="s">
        <v>285</v>
      </c>
      <c r="B105" s="215">
        <v>25702.13</v>
      </c>
      <c r="C105" s="215">
        <v>881.8</v>
      </c>
      <c r="D105" s="313"/>
      <c r="E105" s="313"/>
    </row>
    <row r="106" spans="1:5" hidden="1">
      <c r="A106" s="240" t="s">
        <v>62</v>
      </c>
      <c r="B106" s="215">
        <v>6109554.2300000004</v>
      </c>
      <c r="C106" s="216" t="s">
        <v>96</v>
      </c>
      <c r="D106" s="313"/>
      <c r="E106" s="313"/>
    </row>
    <row r="107" spans="1:5" hidden="1">
      <c r="A107" s="240" t="s">
        <v>297</v>
      </c>
      <c r="B107" s="216" t="s">
        <v>96</v>
      </c>
      <c r="C107" s="215">
        <v>1288993.1299999999</v>
      </c>
      <c r="D107" s="313"/>
      <c r="E107" s="313"/>
    </row>
    <row r="108" spans="1:5" hidden="1">
      <c r="A108" s="240" t="s">
        <v>3</v>
      </c>
      <c r="B108" s="215">
        <v>6486944.3700000001</v>
      </c>
      <c r="C108" s="215">
        <v>665776.47</v>
      </c>
      <c r="D108" s="313"/>
      <c r="E108" s="313"/>
    </row>
    <row r="109" spans="1:5" hidden="1">
      <c r="A109" s="240" t="s">
        <v>101</v>
      </c>
      <c r="B109" s="216" t="s">
        <v>96</v>
      </c>
      <c r="C109" s="216" t="s">
        <v>96</v>
      </c>
      <c r="D109" s="313"/>
      <c r="E109" s="313"/>
    </row>
    <row r="110" spans="1:5" hidden="1">
      <c r="A110" s="240" t="s">
        <v>87</v>
      </c>
      <c r="B110" s="215">
        <v>-942732.09</v>
      </c>
      <c r="C110" s="215">
        <v>2211904.58</v>
      </c>
      <c r="D110" s="313"/>
      <c r="E110" s="313"/>
    </row>
    <row r="111" spans="1:5" hidden="1">
      <c r="A111" s="240" t="s">
        <v>102</v>
      </c>
      <c r="B111" s="215">
        <v>-1437873</v>
      </c>
      <c r="C111" s="216" t="s">
        <v>96</v>
      </c>
      <c r="D111" s="313"/>
      <c r="E111" s="313"/>
    </row>
    <row r="112" spans="1:5" hidden="1">
      <c r="A112" s="240" t="s">
        <v>16</v>
      </c>
      <c r="B112" s="215">
        <v>-9454900.1099999901</v>
      </c>
      <c r="C112" s="215">
        <v>-3763792.58</v>
      </c>
      <c r="D112" s="313"/>
      <c r="E112" s="313"/>
    </row>
    <row r="113" spans="1:5" hidden="1">
      <c r="A113" s="240" t="s">
        <v>103</v>
      </c>
      <c r="B113" s="215">
        <v>-1663731.78</v>
      </c>
      <c r="C113" s="215">
        <v>-886748.92</v>
      </c>
      <c r="D113" s="313"/>
      <c r="E113" s="313"/>
    </row>
    <row r="114" spans="1:5" hidden="1">
      <c r="A114" s="240" t="s">
        <v>104</v>
      </c>
      <c r="B114" s="215">
        <v>28154.679999999898</v>
      </c>
      <c r="C114" s="215">
        <v>-181865.15</v>
      </c>
      <c r="D114" s="313"/>
      <c r="E114" s="313"/>
    </row>
    <row r="115" spans="1:5" hidden="1">
      <c r="A115" s="240" t="s">
        <v>76</v>
      </c>
      <c r="B115" s="215">
        <v>1825544.02</v>
      </c>
      <c r="C115" s="215">
        <v>510355.58</v>
      </c>
      <c r="D115" s="313"/>
      <c r="E115" s="313"/>
    </row>
    <row r="116" spans="1:5" hidden="1">
      <c r="A116" s="240" t="s">
        <v>24</v>
      </c>
      <c r="B116" s="216" t="s">
        <v>96</v>
      </c>
      <c r="C116" s="216" t="s">
        <v>96</v>
      </c>
      <c r="D116" s="313"/>
      <c r="E116" s="313"/>
    </row>
    <row r="118" spans="1:5">
      <c r="A118" s="214" t="s">
        <v>31</v>
      </c>
      <c r="B118" s="314"/>
      <c r="C118" s="305"/>
    </row>
    <row r="119" spans="1:5">
      <c r="A119" s="239" t="s">
        <v>123</v>
      </c>
      <c r="B119" s="288" t="s">
        <v>273</v>
      </c>
      <c r="C119" s="288" t="s">
        <v>320</v>
      </c>
    </row>
    <row r="120" spans="1:5">
      <c r="A120" s="214" t="s">
        <v>162</v>
      </c>
      <c r="B120" s="289"/>
      <c r="C120" s="289"/>
    </row>
    <row r="121" spans="1:5">
      <c r="A121" s="240" t="s">
        <v>105</v>
      </c>
      <c r="B121" s="243">
        <v>452.6268</v>
      </c>
      <c r="C121" s="243">
        <v>885.47029999999995</v>
      </c>
      <c r="D121" t="str">
        <f>A121</f>
        <v>Restricciones Técnicas al PBF</v>
      </c>
    </row>
    <row r="122" spans="1:5">
      <c r="A122" s="240" t="s">
        <v>87</v>
      </c>
      <c r="B122" s="243">
        <v>230.09051400000001</v>
      </c>
      <c r="C122" s="243">
        <v>243.53391300000001</v>
      </c>
      <c r="D122" t="str">
        <f t="shared" ref="D122:D123" si="4">A122</f>
        <v>Regulación secundaria</v>
      </c>
    </row>
    <row r="123" spans="1:5">
      <c r="A123" s="240" t="s">
        <v>3</v>
      </c>
      <c r="B123" s="243">
        <v>149.8305</v>
      </c>
      <c r="C123" s="243">
        <v>233.84719999999999</v>
      </c>
      <c r="D123" t="str">
        <f t="shared" si="4"/>
        <v>Regulación terciaria</v>
      </c>
    </row>
    <row r="124" spans="1:5">
      <c r="A124" s="240" t="s">
        <v>88</v>
      </c>
      <c r="B124" s="243">
        <v>261.71429999999998</v>
      </c>
      <c r="C124" s="282" t="s">
        <v>96</v>
      </c>
      <c r="D124" t="s">
        <v>292</v>
      </c>
    </row>
    <row r="125" spans="1:5">
      <c r="A125" s="240" t="s">
        <v>106</v>
      </c>
      <c r="B125" s="243">
        <v>38.3018</v>
      </c>
      <c r="C125" s="243">
        <v>185.12620000000001</v>
      </c>
      <c r="D125" t="s">
        <v>293</v>
      </c>
    </row>
    <row r="129" spans="1:15">
      <c r="C129" s="135" t="str">
        <f>MID(C131,6,1)</f>
        <v>O</v>
      </c>
      <c r="D129" s="135" t="str">
        <f t="shared" ref="D129:O129" si="5">MID(D131,6,1)</f>
        <v>N</v>
      </c>
      <c r="E129" s="135" t="str">
        <f t="shared" si="5"/>
        <v>D</v>
      </c>
      <c r="F129" s="135" t="str">
        <f t="shared" si="5"/>
        <v>E</v>
      </c>
      <c r="G129" s="135" t="str">
        <f t="shared" si="5"/>
        <v>F</v>
      </c>
      <c r="H129" s="135" t="str">
        <f t="shared" si="5"/>
        <v>M</v>
      </c>
      <c r="I129" s="135" t="str">
        <f t="shared" si="5"/>
        <v>A</v>
      </c>
      <c r="J129" s="135" t="str">
        <f t="shared" si="5"/>
        <v>M</v>
      </c>
      <c r="K129" s="135" t="str">
        <f t="shared" si="5"/>
        <v>J</v>
      </c>
      <c r="L129" s="135" t="str">
        <f t="shared" si="5"/>
        <v>J</v>
      </c>
      <c r="M129" s="135" t="str">
        <f t="shared" si="5"/>
        <v>A</v>
      </c>
      <c r="N129" s="135" t="str">
        <f t="shared" si="5"/>
        <v>S</v>
      </c>
      <c r="O129" s="135" t="str">
        <f t="shared" si="5"/>
        <v>O</v>
      </c>
    </row>
    <row r="130" spans="1:15">
      <c r="A130" s="214"/>
      <c r="B130" s="214" t="s">
        <v>31</v>
      </c>
      <c r="C130" s="298" t="s">
        <v>165</v>
      </c>
      <c r="D130" s="299"/>
      <c r="E130" s="299"/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</row>
    <row r="131" spans="1:15">
      <c r="A131" s="214"/>
      <c r="B131" s="239" t="s">
        <v>123</v>
      </c>
      <c r="C131" s="288" t="s">
        <v>273</v>
      </c>
      <c r="D131" s="288" t="s">
        <v>276</v>
      </c>
      <c r="E131" s="288" t="s">
        <v>277</v>
      </c>
      <c r="F131" s="288" t="s">
        <v>279</v>
      </c>
      <c r="G131" s="288" t="s">
        <v>281</v>
      </c>
      <c r="H131" s="288" t="s">
        <v>284</v>
      </c>
      <c r="I131" s="288" t="s">
        <v>295</v>
      </c>
      <c r="J131" s="288" t="s">
        <v>299</v>
      </c>
      <c r="K131" s="288" t="s">
        <v>307</v>
      </c>
      <c r="L131" s="288" t="s">
        <v>309</v>
      </c>
      <c r="M131" s="288" t="s">
        <v>313</v>
      </c>
      <c r="N131" s="288" t="s">
        <v>316</v>
      </c>
      <c r="O131" s="288" t="s">
        <v>320</v>
      </c>
    </row>
    <row r="132" spans="1:15">
      <c r="A132" s="214" t="s">
        <v>163</v>
      </c>
      <c r="B132" s="214" t="s">
        <v>164</v>
      </c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</row>
    <row r="133" spans="1:15">
      <c r="A133" s="297" t="s">
        <v>107</v>
      </c>
      <c r="B133" s="240" t="s">
        <v>21</v>
      </c>
      <c r="C133" s="136">
        <v>5517.1</v>
      </c>
      <c r="D133" s="136">
        <v>0</v>
      </c>
      <c r="E133" s="136">
        <v>0</v>
      </c>
      <c r="F133" s="136">
        <v>0</v>
      </c>
      <c r="G133" s="136">
        <v>0</v>
      </c>
      <c r="H133" s="136">
        <v>0</v>
      </c>
      <c r="I133" s="136">
        <v>0</v>
      </c>
      <c r="J133" s="136">
        <v>630</v>
      </c>
      <c r="K133" s="136">
        <v>680</v>
      </c>
      <c r="L133" s="136">
        <v>1020</v>
      </c>
      <c r="M133" s="136">
        <v>2161.8000000000002</v>
      </c>
      <c r="N133" s="136">
        <v>33.4</v>
      </c>
      <c r="O133" s="136">
        <v>0</v>
      </c>
    </row>
    <row r="134" spans="1:15">
      <c r="A134" s="295"/>
      <c r="B134" s="240" t="s">
        <v>112</v>
      </c>
      <c r="C134" s="136">
        <v>0</v>
      </c>
      <c r="D134" s="136">
        <v>0</v>
      </c>
      <c r="E134" s="136">
        <v>0</v>
      </c>
      <c r="F134" s="136">
        <v>0</v>
      </c>
      <c r="G134" s="136">
        <v>0</v>
      </c>
      <c r="H134" s="136">
        <v>0</v>
      </c>
      <c r="I134" s="136">
        <v>5000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295"/>
      <c r="B135" s="240" t="s">
        <v>109</v>
      </c>
      <c r="C135" s="136">
        <v>166180</v>
      </c>
      <c r="D135" s="136">
        <v>161365</v>
      </c>
      <c r="E135" s="136">
        <v>122168</v>
      </c>
      <c r="F135" s="136">
        <v>202940</v>
      </c>
      <c r="G135" s="136">
        <v>247227</v>
      </c>
      <c r="H135" s="136">
        <v>355297</v>
      </c>
      <c r="I135" s="136">
        <v>220571</v>
      </c>
      <c r="J135" s="136">
        <v>207721</v>
      </c>
      <c r="K135" s="136">
        <v>281442</v>
      </c>
      <c r="L135" s="136">
        <v>268136</v>
      </c>
      <c r="M135" s="136">
        <v>300478</v>
      </c>
      <c r="N135" s="136">
        <v>250957</v>
      </c>
      <c r="O135" s="136">
        <v>189825</v>
      </c>
    </row>
    <row r="136" spans="1:15">
      <c r="A136" s="295"/>
      <c r="B136" s="240" t="s">
        <v>25</v>
      </c>
      <c r="C136" s="136">
        <v>234526.2</v>
      </c>
      <c r="D136" s="136">
        <v>421030.7</v>
      </c>
      <c r="E136" s="136">
        <v>612250.1</v>
      </c>
      <c r="F136" s="136">
        <v>498564</v>
      </c>
      <c r="G136" s="136">
        <v>479450.3</v>
      </c>
      <c r="H136" s="136">
        <v>601360.30000000005</v>
      </c>
      <c r="I136" s="136">
        <v>1152051.3999999999</v>
      </c>
      <c r="J136" s="136">
        <v>900435.9</v>
      </c>
      <c r="K136" s="136">
        <v>429259.5</v>
      </c>
      <c r="L136" s="136">
        <v>174851.8</v>
      </c>
      <c r="M136" s="136">
        <v>246096.4</v>
      </c>
      <c r="N136" s="136">
        <v>289538.3</v>
      </c>
      <c r="O136" s="136">
        <v>653476.1</v>
      </c>
    </row>
    <row r="137" spans="1:15">
      <c r="A137" s="295"/>
      <c r="B137" s="240" t="s">
        <v>117</v>
      </c>
      <c r="C137" s="136">
        <v>0</v>
      </c>
      <c r="D137" s="136">
        <v>1775.2</v>
      </c>
      <c r="E137" s="136">
        <v>164.2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295"/>
      <c r="B138" s="240" t="s">
        <v>110</v>
      </c>
      <c r="C138" s="136">
        <v>0</v>
      </c>
      <c r="D138" s="136">
        <v>0</v>
      </c>
      <c r="E138" s="136">
        <v>0</v>
      </c>
      <c r="F138" s="136">
        <v>0</v>
      </c>
      <c r="G138" s="136">
        <v>0</v>
      </c>
      <c r="H138" s="136">
        <v>3495.6</v>
      </c>
      <c r="I138" s="136">
        <v>585</v>
      </c>
      <c r="J138" s="136">
        <v>185</v>
      </c>
      <c r="K138" s="136">
        <v>370</v>
      </c>
      <c r="L138" s="136">
        <v>11.5</v>
      </c>
      <c r="M138" s="136">
        <v>0</v>
      </c>
      <c r="N138" s="136">
        <v>0</v>
      </c>
      <c r="O138" s="136">
        <v>10686</v>
      </c>
    </row>
    <row r="139" spans="1:15">
      <c r="A139" s="296"/>
      <c r="B139" s="242" t="s">
        <v>0</v>
      </c>
      <c r="C139" s="137">
        <v>406223.3</v>
      </c>
      <c r="D139" s="137">
        <v>584170.9</v>
      </c>
      <c r="E139" s="137">
        <v>734582.3</v>
      </c>
      <c r="F139" s="137">
        <v>701504</v>
      </c>
      <c r="G139" s="137">
        <v>726677.3</v>
      </c>
      <c r="H139" s="137">
        <v>960152.9</v>
      </c>
      <c r="I139" s="137">
        <v>1378207.4</v>
      </c>
      <c r="J139" s="137">
        <v>1108971.8999999999</v>
      </c>
      <c r="K139" s="137">
        <v>711751.5</v>
      </c>
      <c r="L139" s="137">
        <v>444019.3</v>
      </c>
      <c r="M139" s="137">
        <v>548736.19999999995</v>
      </c>
      <c r="N139" s="137">
        <v>540528.69999999995</v>
      </c>
      <c r="O139" s="137">
        <v>853987.1</v>
      </c>
    </row>
    <row r="140" spans="1:15">
      <c r="A140" s="294" t="s">
        <v>111</v>
      </c>
      <c r="B140" s="240" t="s">
        <v>21</v>
      </c>
      <c r="C140" s="136">
        <v>120</v>
      </c>
      <c r="D140" s="136">
        <v>1173</v>
      </c>
      <c r="E140" s="136">
        <v>0</v>
      </c>
      <c r="F140" s="136">
        <v>0</v>
      </c>
      <c r="G140" s="136">
        <v>0</v>
      </c>
      <c r="H140" s="136">
        <v>1910.2</v>
      </c>
      <c r="I140" s="136">
        <v>0</v>
      </c>
      <c r="J140" s="136">
        <v>946.5</v>
      </c>
      <c r="K140" s="136">
        <v>2850.8</v>
      </c>
      <c r="L140" s="136">
        <v>740.7</v>
      </c>
      <c r="M140" s="136">
        <v>710</v>
      </c>
      <c r="N140" s="136">
        <v>8686.7999999999993</v>
      </c>
      <c r="O140" s="136">
        <v>2939</v>
      </c>
    </row>
    <row r="141" spans="1:15">
      <c r="A141" s="295"/>
      <c r="B141" s="240" t="s">
        <v>112</v>
      </c>
      <c r="C141" s="136">
        <v>400</v>
      </c>
      <c r="D141" s="136">
        <v>0</v>
      </c>
      <c r="E141" s="136">
        <v>0</v>
      </c>
      <c r="F141" s="136">
        <v>0</v>
      </c>
      <c r="G141" s="136">
        <v>4657.8999999999996</v>
      </c>
      <c r="H141" s="136">
        <v>100</v>
      </c>
      <c r="I141" s="136">
        <v>0</v>
      </c>
      <c r="J141" s="136">
        <v>0</v>
      </c>
      <c r="K141" s="136">
        <v>0</v>
      </c>
      <c r="L141" s="136">
        <v>640</v>
      </c>
      <c r="M141" s="136">
        <v>0</v>
      </c>
      <c r="N141" s="136">
        <v>1087</v>
      </c>
      <c r="O141" s="136">
        <v>5519</v>
      </c>
    </row>
    <row r="142" spans="1:15">
      <c r="A142" s="295"/>
      <c r="B142" s="240" t="s">
        <v>109</v>
      </c>
      <c r="C142" s="136">
        <v>1161</v>
      </c>
      <c r="D142" s="136">
        <v>846</v>
      </c>
      <c r="E142" s="136">
        <v>0</v>
      </c>
      <c r="F142" s="136">
        <v>0</v>
      </c>
      <c r="G142" s="136">
        <v>0</v>
      </c>
      <c r="H142" s="136">
        <v>0</v>
      </c>
      <c r="I142" s="136">
        <v>0</v>
      </c>
      <c r="J142" s="136">
        <v>0</v>
      </c>
      <c r="K142" s="136">
        <v>0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295"/>
      <c r="B143" s="240" t="s">
        <v>25</v>
      </c>
      <c r="C143" s="136">
        <v>34847</v>
      </c>
      <c r="D143" s="136">
        <v>1898.8</v>
      </c>
      <c r="E143" s="136">
        <v>0</v>
      </c>
      <c r="F143" s="136">
        <v>0</v>
      </c>
      <c r="G143" s="136">
        <v>0</v>
      </c>
      <c r="H143" s="136">
        <v>0</v>
      </c>
      <c r="I143" s="136">
        <v>0</v>
      </c>
      <c r="J143" s="136">
        <v>0</v>
      </c>
      <c r="K143" s="136">
        <v>73835.8</v>
      </c>
      <c r="L143" s="136">
        <v>239981.7</v>
      </c>
      <c r="M143" s="136">
        <v>103567.5</v>
      </c>
      <c r="N143" s="136">
        <v>30277.5</v>
      </c>
      <c r="O143" s="136">
        <v>9485.2999999999993</v>
      </c>
    </row>
    <row r="144" spans="1:15">
      <c r="A144" s="295"/>
      <c r="B144" s="240" t="s">
        <v>113</v>
      </c>
      <c r="C144" s="136">
        <v>9473.4</v>
      </c>
      <c r="D144" s="136">
        <v>12932.4</v>
      </c>
      <c r="E144" s="136">
        <v>464.6</v>
      </c>
      <c r="F144" s="136">
        <v>3444.7</v>
      </c>
      <c r="G144" s="136">
        <v>0</v>
      </c>
      <c r="H144" s="136">
        <v>1293.5999999999999</v>
      </c>
      <c r="I144" s="136">
        <v>227.5</v>
      </c>
      <c r="J144" s="136">
        <v>0</v>
      </c>
      <c r="K144" s="136">
        <v>5567.4</v>
      </c>
      <c r="L144" s="136">
        <v>5593.5</v>
      </c>
      <c r="M144" s="136">
        <v>2385.4</v>
      </c>
      <c r="N144" s="136">
        <v>15007.3</v>
      </c>
      <c r="O144" s="136">
        <v>12915.2</v>
      </c>
    </row>
    <row r="145" spans="1:15">
      <c r="A145" s="295"/>
      <c r="B145" s="240" t="s">
        <v>114</v>
      </c>
      <c r="C145" s="136">
        <v>21.4</v>
      </c>
      <c r="D145" s="136">
        <v>33</v>
      </c>
      <c r="E145" s="136">
        <v>0</v>
      </c>
      <c r="F145" s="136">
        <v>0</v>
      </c>
      <c r="G145" s="136">
        <v>0</v>
      </c>
      <c r="H145" s="136">
        <v>0</v>
      </c>
      <c r="I145" s="136">
        <v>0</v>
      </c>
      <c r="J145" s="136">
        <v>61.6</v>
      </c>
      <c r="K145" s="136">
        <v>0</v>
      </c>
      <c r="L145" s="136">
        <v>320.39999999999998</v>
      </c>
      <c r="M145" s="136">
        <v>170.6</v>
      </c>
      <c r="N145" s="136">
        <v>0</v>
      </c>
      <c r="O145" s="136">
        <v>195.7</v>
      </c>
    </row>
    <row r="146" spans="1:15">
      <c r="A146" s="295"/>
      <c r="B146" s="240" t="s">
        <v>115</v>
      </c>
      <c r="C146" s="136">
        <v>39.799999999999997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0</v>
      </c>
      <c r="J146" s="136">
        <v>516</v>
      </c>
      <c r="K146" s="136">
        <v>0</v>
      </c>
      <c r="L146" s="136">
        <v>0</v>
      </c>
      <c r="M146" s="136">
        <v>366.5</v>
      </c>
      <c r="N146" s="136">
        <v>0</v>
      </c>
      <c r="O146" s="136">
        <v>0</v>
      </c>
    </row>
    <row r="147" spans="1:15">
      <c r="A147" s="295"/>
      <c r="B147" s="240" t="s">
        <v>116</v>
      </c>
      <c r="C147" s="136">
        <v>340.9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271.39999999999998</v>
      </c>
      <c r="L147" s="136">
        <v>135.5</v>
      </c>
      <c r="M147" s="136">
        <v>0</v>
      </c>
      <c r="N147" s="136">
        <v>252.2</v>
      </c>
      <c r="O147" s="136">
        <v>0</v>
      </c>
    </row>
    <row r="148" spans="1:15">
      <c r="A148" s="295"/>
      <c r="B148" s="240" t="s">
        <v>117</v>
      </c>
      <c r="C148" s="136">
        <v>0</v>
      </c>
      <c r="D148" s="136">
        <v>80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429</v>
      </c>
    </row>
    <row r="149" spans="1:15">
      <c r="A149" s="296"/>
      <c r="B149" s="242" t="s">
        <v>0</v>
      </c>
      <c r="C149" s="137">
        <v>46403.5</v>
      </c>
      <c r="D149" s="137">
        <v>16963.2</v>
      </c>
      <c r="E149" s="137">
        <v>464.6</v>
      </c>
      <c r="F149" s="137">
        <v>3444.7</v>
      </c>
      <c r="G149" s="137">
        <v>4657.8999999999996</v>
      </c>
      <c r="H149" s="137">
        <v>3303.8</v>
      </c>
      <c r="I149" s="137">
        <v>227.5</v>
      </c>
      <c r="J149" s="137">
        <v>1524.1</v>
      </c>
      <c r="K149" s="137">
        <v>82525.399999999994</v>
      </c>
      <c r="L149" s="137">
        <v>247411.8</v>
      </c>
      <c r="M149" s="137">
        <v>107200</v>
      </c>
      <c r="N149" s="137">
        <v>55310.8</v>
      </c>
      <c r="O149" s="137">
        <v>31483.200000000001</v>
      </c>
    </row>
    <row r="165" spans="1:14">
      <c r="A165" s="140" t="s">
        <v>168</v>
      </c>
      <c r="B165" s="135" t="str">
        <f>MID(B166,6,1)</f>
        <v>O</v>
      </c>
      <c r="C165" s="135" t="str">
        <f t="shared" ref="C165:N165" si="6">MID(C166,6,1)</f>
        <v>N</v>
      </c>
      <c r="D165" s="135" t="str">
        <f t="shared" si="6"/>
        <v>D</v>
      </c>
      <c r="E165" s="135" t="str">
        <f t="shared" si="6"/>
        <v>E</v>
      </c>
      <c r="F165" s="135" t="str">
        <f t="shared" si="6"/>
        <v>F</v>
      </c>
      <c r="G165" s="135" t="str">
        <f t="shared" si="6"/>
        <v>M</v>
      </c>
      <c r="H165" s="135" t="str">
        <f t="shared" si="6"/>
        <v>A</v>
      </c>
      <c r="I165" s="135" t="str">
        <f t="shared" si="6"/>
        <v>M</v>
      </c>
      <c r="J165" s="135" t="str">
        <f t="shared" si="6"/>
        <v>J</v>
      </c>
      <c r="K165" s="135" t="str">
        <f t="shared" si="6"/>
        <v>J</v>
      </c>
      <c r="L165" s="135" t="str">
        <f t="shared" si="6"/>
        <v>A</v>
      </c>
      <c r="M165" s="135" t="str">
        <f t="shared" si="6"/>
        <v>S</v>
      </c>
      <c r="N165" s="135" t="str">
        <f t="shared" si="6"/>
        <v>O</v>
      </c>
    </row>
    <row r="166" spans="1:14">
      <c r="A166" s="214" t="s">
        <v>123</v>
      </c>
      <c r="B166" s="288" t="s">
        <v>273</v>
      </c>
      <c r="C166" s="288" t="s">
        <v>276</v>
      </c>
      <c r="D166" s="288" t="s">
        <v>277</v>
      </c>
      <c r="E166" s="288" t="s">
        <v>279</v>
      </c>
      <c r="F166" s="288" t="s">
        <v>281</v>
      </c>
      <c r="G166" s="288" t="s">
        <v>284</v>
      </c>
      <c r="H166" s="288" t="s">
        <v>295</v>
      </c>
      <c r="I166" s="288" t="s">
        <v>299</v>
      </c>
      <c r="J166" s="288" t="s">
        <v>307</v>
      </c>
      <c r="K166" s="288" t="s">
        <v>309</v>
      </c>
      <c r="L166" s="288" t="s">
        <v>313</v>
      </c>
      <c r="M166" s="288" t="s">
        <v>316</v>
      </c>
      <c r="N166" s="288" t="s">
        <v>320</v>
      </c>
    </row>
    <row r="167" spans="1:14">
      <c r="A167" s="214" t="s">
        <v>31</v>
      </c>
      <c r="B167" s="289"/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</row>
    <row r="168" spans="1:14">
      <c r="A168" s="240" t="s">
        <v>82</v>
      </c>
      <c r="B168" s="243">
        <v>589.34899328860001</v>
      </c>
      <c r="C168" s="243">
        <v>605.42222222220005</v>
      </c>
      <c r="D168" s="243">
        <v>596.99865591399998</v>
      </c>
      <c r="E168" s="243">
        <v>597.48790322579998</v>
      </c>
      <c r="F168" s="243">
        <v>605.632183908</v>
      </c>
      <c r="G168" s="243">
        <v>611.35127860030002</v>
      </c>
      <c r="H168" s="243">
        <v>610.48333333330004</v>
      </c>
      <c r="I168" s="243">
        <v>582.7446236559</v>
      </c>
      <c r="J168" s="243">
        <v>571.89722222219996</v>
      </c>
      <c r="K168" s="243">
        <v>590.05779569890001</v>
      </c>
      <c r="L168" s="243">
        <v>589.66129032260005</v>
      </c>
      <c r="M168" s="243">
        <v>587.73749999999995</v>
      </c>
      <c r="N168" s="243">
        <v>590.79597315440003</v>
      </c>
    </row>
    <row r="169" spans="1:14">
      <c r="A169" s="240" t="s">
        <v>83</v>
      </c>
      <c r="B169" s="243">
        <v>498.52885906040001</v>
      </c>
      <c r="C169" s="243">
        <v>503.2638888889</v>
      </c>
      <c r="D169" s="243">
        <v>498.48790322579998</v>
      </c>
      <c r="E169" s="243">
        <v>495.1720430108</v>
      </c>
      <c r="F169" s="243">
        <v>496.26436781609999</v>
      </c>
      <c r="G169" s="243">
        <v>496.17631224759998</v>
      </c>
      <c r="H169" s="243">
        <v>490.24861111109999</v>
      </c>
      <c r="I169" s="243">
        <v>488.13844086019998</v>
      </c>
      <c r="J169" s="243">
        <v>485.04722222219999</v>
      </c>
      <c r="K169" s="243">
        <v>485.73118279570002</v>
      </c>
      <c r="L169" s="243">
        <v>489.15725806450001</v>
      </c>
      <c r="M169" s="243">
        <v>487.00972222220003</v>
      </c>
      <c r="N169" s="243">
        <v>490.332885906</v>
      </c>
    </row>
    <row r="170" spans="1:14">
      <c r="A170" s="240" t="s">
        <v>84</v>
      </c>
      <c r="B170" s="241">
        <v>7.1356989842000003</v>
      </c>
      <c r="C170" s="241">
        <v>10.1362816848</v>
      </c>
      <c r="D170" s="241">
        <v>14.1765375159</v>
      </c>
      <c r="E170" s="241">
        <v>7.221390092</v>
      </c>
      <c r="F170" s="241">
        <v>7.5081212252</v>
      </c>
      <c r="G170" s="241">
        <v>7.6719758948000001</v>
      </c>
      <c r="H170" s="241">
        <v>8.2256635420999995</v>
      </c>
      <c r="I170" s="241">
        <v>7.2676989898000004</v>
      </c>
      <c r="J170" s="241">
        <v>8.1676430223000001</v>
      </c>
      <c r="K170" s="241">
        <v>7.8235343278</v>
      </c>
      <c r="L170" s="241">
        <v>7.5882339302000004</v>
      </c>
      <c r="M170" s="241">
        <v>8.9271791816999997</v>
      </c>
      <c r="N170" s="241">
        <v>11.37429957</v>
      </c>
    </row>
    <row r="172" spans="1:14">
      <c r="A172" s="214" t="s">
        <v>123</v>
      </c>
      <c r="B172" s="288" t="s">
        <v>273</v>
      </c>
      <c r="C172" s="288" t="s">
        <v>276</v>
      </c>
      <c r="D172" s="288" t="s">
        <v>277</v>
      </c>
      <c r="E172" s="288" t="s">
        <v>279</v>
      </c>
      <c r="F172" s="288" t="s">
        <v>281</v>
      </c>
      <c r="G172" s="288" t="s">
        <v>284</v>
      </c>
      <c r="H172" s="288" t="s">
        <v>295</v>
      </c>
      <c r="I172" s="288" t="s">
        <v>299</v>
      </c>
      <c r="J172" s="288" t="s">
        <v>307</v>
      </c>
      <c r="K172" s="288" t="s">
        <v>309</v>
      </c>
      <c r="L172" s="288" t="s">
        <v>313</v>
      </c>
      <c r="M172" s="288" t="s">
        <v>316</v>
      </c>
      <c r="N172" s="288" t="s">
        <v>320</v>
      </c>
    </row>
    <row r="173" spans="1:14">
      <c r="A173" s="214" t="s">
        <v>31</v>
      </c>
      <c r="B173" s="289"/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</row>
    <row r="174" spans="1:14">
      <c r="A174" s="240" t="s">
        <v>326</v>
      </c>
      <c r="B174" s="243">
        <v>153.81776099999999</v>
      </c>
      <c r="C174" s="243">
        <v>149.51709099999999</v>
      </c>
      <c r="D174" s="243">
        <v>128.77504999999999</v>
      </c>
      <c r="E174" s="243">
        <v>156.61495199999999</v>
      </c>
      <c r="F174" s="243">
        <v>110.919667</v>
      </c>
      <c r="G174" s="243">
        <v>115.19556900000001</v>
      </c>
      <c r="H174" s="243">
        <v>85.375321999999997</v>
      </c>
      <c r="I174" s="243">
        <v>101.92267200000001</v>
      </c>
      <c r="J174" s="243">
        <v>123.13703099999999</v>
      </c>
      <c r="K174" s="243">
        <v>178.97455400000001</v>
      </c>
      <c r="L174" s="243">
        <v>167.32082800000001</v>
      </c>
      <c r="M174" s="243">
        <v>170.78920400000001</v>
      </c>
      <c r="N174" s="243">
        <v>141.31985</v>
      </c>
    </row>
    <row r="175" spans="1:14">
      <c r="A175" s="240" t="s">
        <v>327</v>
      </c>
      <c r="B175" s="243">
        <v>76.272752999999994</v>
      </c>
      <c r="C175" s="243">
        <v>79.309334000000007</v>
      </c>
      <c r="D175" s="243">
        <v>114.384942</v>
      </c>
      <c r="E175" s="243">
        <v>78.584890000000001</v>
      </c>
      <c r="F175" s="243">
        <v>104.664981</v>
      </c>
      <c r="G175" s="243">
        <v>123.158113</v>
      </c>
      <c r="H175" s="243">
        <v>144.862315</v>
      </c>
      <c r="I175" s="243">
        <v>120.89386399999999</v>
      </c>
      <c r="J175" s="243">
        <v>102.75619500000001</v>
      </c>
      <c r="K175" s="243">
        <v>75.578515999999993</v>
      </c>
      <c r="L175" s="243">
        <v>89.481482999999997</v>
      </c>
      <c r="M175" s="243">
        <v>86.928173000000001</v>
      </c>
      <c r="N175" s="243">
        <v>102.214063</v>
      </c>
    </row>
    <row r="177" spans="1:15">
      <c r="A177" s="239" t="s">
        <v>161</v>
      </c>
      <c r="B177" s="304" t="s">
        <v>87</v>
      </c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M177" s="305"/>
      <c r="N177" s="305"/>
    </row>
    <row r="178" spans="1:15">
      <c r="A178" s="239" t="s">
        <v>123</v>
      </c>
      <c r="B178" s="288" t="s">
        <v>273</v>
      </c>
      <c r="C178" s="288" t="s">
        <v>276</v>
      </c>
      <c r="D178" s="288" t="s">
        <v>277</v>
      </c>
      <c r="E178" s="288" t="s">
        <v>279</v>
      </c>
      <c r="F178" s="288" t="s">
        <v>281</v>
      </c>
      <c r="G178" s="288" t="s">
        <v>284</v>
      </c>
      <c r="H178" s="288" t="s">
        <v>295</v>
      </c>
      <c r="I178" s="288" t="s">
        <v>299</v>
      </c>
      <c r="J178" s="288" t="s">
        <v>307</v>
      </c>
      <c r="K178" s="288" t="s">
        <v>309</v>
      </c>
      <c r="L178" s="288" t="s">
        <v>313</v>
      </c>
      <c r="M178" s="288" t="s">
        <v>316</v>
      </c>
      <c r="N178" s="288" t="s">
        <v>320</v>
      </c>
    </row>
    <row r="179" spans="1:15">
      <c r="A179" s="214" t="s">
        <v>31</v>
      </c>
      <c r="B179" s="289"/>
      <c r="C179" s="289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</row>
    <row r="180" spans="1:15">
      <c r="A180" s="240" t="s">
        <v>166</v>
      </c>
      <c r="B180" s="215">
        <v>50.179593491299997</v>
      </c>
      <c r="C180" s="215">
        <v>46.350588822200002</v>
      </c>
      <c r="D180" s="215">
        <v>35.809814197400001</v>
      </c>
      <c r="E180" s="215">
        <v>44.908773556900002</v>
      </c>
      <c r="F180" s="215">
        <v>38.5221324408</v>
      </c>
      <c r="G180" s="215">
        <v>32.614345674500001</v>
      </c>
      <c r="H180" s="215">
        <v>22.2030908453</v>
      </c>
      <c r="I180" s="215">
        <v>23.175307143800001</v>
      </c>
      <c r="J180" s="215">
        <v>34.681040398599997</v>
      </c>
      <c r="K180" s="215">
        <v>38.7775060309</v>
      </c>
      <c r="L180" s="215">
        <v>38.595920901299998</v>
      </c>
      <c r="M180" s="215">
        <v>42.414120448600002</v>
      </c>
      <c r="N180" s="215">
        <v>39.1541967175</v>
      </c>
    </row>
    <row r="181" spans="1:15">
      <c r="A181" s="240" t="s">
        <v>167</v>
      </c>
      <c r="B181" s="215">
        <v>37.896432389200001</v>
      </c>
      <c r="C181" s="215">
        <v>35.808596891400001</v>
      </c>
      <c r="D181" s="215">
        <v>29.499786643499998</v>
      </c>
      <c r="E181" s="215">
        <v>36.986360982999997</v>
      </c>
      <c r="F181" s="215">
        <v>27.985248008399999</v>
      </c>
      <c r="G181" s="215">
        <v>21.560182145500001</v>
      </c>
      <c r="H181" s="215">
        <v>11.765537587100001</v>
      </c>
      <c r="I181" s="215">
        <v>17.574793466999999</v>
      </c>
      <c r="J181" s="215">
        <v>25.900861049700001</v>
      </c>
      <c r="K181" s="215">
        <v>28.7260205157</v>
      </c>
      <c r="L181" s="215">
        <v>29.100856350099999</v>
      </c>
      <c r="M181" s="215">
        <v>34.666283473</v>
      </c>
      <c r="N181" s="215">
        <v>28.510194993799999</v>
      </c>
    </row>
    <row r="184" spans="1:15">
      <c r="C184" s="135" t="str">
        <f>MID(C186,6,1)</f>
        <v>O</v>
      </c>
      <c r="D184" s="135" t="str">
        <f t="shared" ref="D184:O184" si="7">MID(D186,6,1)</f>
        <v>N</v>
      </c>
      <c r="E184" s="135" t="str">
        <f t="shared" si="7"/>
        <v>D</v>
      </c>
      <c r="F184" s="135" t="str">
        <f t="shared" si="7"/>
        <v>E</v>
      </c>
      <c r="G184" s="135" t="str">
        <f t="shared" si="7"/>
        <v>F</v>
      </c>
      <c r="H184" s="135" t="str">
        <f t="shared" si="7"/>
        <v>M</v>
      </c>
      <c r="I184" s="135" t="str">
        <f t="shared" si="7"/>
        <v>A</v>
      </c>
      <c r="J184" s="135" t="str">
        <f t="shared" si="7"/>
        <v>M</v>
      </c>
      <c r="K184" s="135" t="str">
        <f t="shared" si="7"/>
        <v>J</v>
      </c>
      <c r="L184" s="135" t="str">
        <f t="shared" si="7"/>
        <v>J</v>
      </c>
      <c r="M184" s="135" t="str">
        <f t="shared" si="7"/>
        <v>A</v>
      </c>
      <c r="N184" s="135" t="str">
        <f t="shared" si="7"/>
        <v>S</v>
      </c>
      <c r="O184" s="135" t="str">
        <f t="shared" si="7"/>
        <v>O</v>
      </c>
    </row>
    <row r="185" spans="1:15">
      <c r="A185" s="214"/>
      <c r="B185" s="214" t="s">
        <v>31</v>
      </c>
      <c r="C185" s="298" t="s">
        <v>169</v>
      </c>
      <c r="D185" s="299"/>
      <c r="E185" s="299"/>
      <c r="F185" s="299"/>
      <c r="G185" s="299"/>
      <c r="H185" s="299"/>
      <c r="I185" s="299"/>
      <c r="J185" s="299"/>
      <c r="K185" s="299"/>
      <c r="L185" s="299"/>
      <c r="M185" s="299"/>
      <c r="N185" s="299"/>
      <c r="O185" s="299"/>
    </row>
    <row r="186" spans="1:15">
      <c r="A186" s="214"/>
      <c r="B186" s="239" t="s">
        <v>123</v>
      </c>
      <c r="C186" s="288" t="s">
        <v>273</v>
      </c>
      <c r="D186" s="288" t="s">
        <v>276</v>
      </c>
      <c r="E186" s="288" t="s">
        <v>277</v>
      </c>
      <c r="F186" s="288" t="s">
        <v>279</v>
      </c>
      <c r="G186" s="288" t="s">
        <v>281</v>
      </c>
      <c r="H186" s="288" t="s">
        <v>284</v>
      </c>
      <c r="I186" s="288" t="s">
        <v>295</v>
      </c>
      <c r="J186" s="288" t="s">
        <v>299</v>
      </c>
      <c r="K186" s="288" t="s">
        <v>307</v>
      </c>
      <c r="L186" s="288" t="s">
        <v>309</v>
      </c>
      <c r="M186" s="288" t="s">
        <v>313</v>
      </c>
      <c r="N186" s="288" t="s">
        <v>316</v>
      </c>
      <c r="O186" s="288" t="s">
        <v>320</v>
      </c>
    </row>
    <row r="187" spans="1:15">
      <c r="A187" s="214" t="s">
        <v>163</v>
      </c>
      <c r="B187" s="214" t="s">
        <v>164</v>
      </c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</row>
    <row r="188" spans="1:15">
      <c r="A188" s="297" t="s">
        <v>107</v>
      </c>
      <c r="B188" s="240" t="s">
        <v>118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295"/>
      <c r="B189" s="240" t="s">
        <v>109</v>
      </c>
      <c r="C189" s="241">
        <v>1718.2</v>
      </c>
      <c r="D189" s="241">
        <v>1857.3</v>
      </c>
      <c r="E189" s="241">
        <v>554</v>
      </c>
      <c r="F189" s="241">
        <v>1376.4</v>
      </c>
      <c r="G189" s="241">
        <v>1350.5</v>
      </c>
      <c r="H189" s="241">
        <v>2245.9</v>
      </c>
      <c r="I189" s="241">
        <v>0</v>
      </c>
      <c r="J189" s="241">
        <v>0</v>
      </c>
      <c r="K189" s="241">
        <v>82.3</v>
      </c>
      <c r="L189" s="241">
        <v>41</v>
      </c>
      <c r="M189" s="241">
        <v>6.7</v>
      </c>
      <c r="N189" s="241">
        <v>54.7</v>
      </c>
      <c r="O189" s="241">
        <v>27.3</v>
      </c>
    </row>
    <row r="190" spans="1:15">
      <c r="A190" s="295"/>
      <c r="B190" s="240" t="s">
        <v>25</v>
      </c>
      <c r="C190" s="241">
        <v>35506.1</v>
      </c>
      <c r="D190" s="241">
        <v>40203.9</v>
      </c>
      <c r="E190" s="241">
        <v>31978.799999999999</v>
      </c>
      <c r="F190" s="241">
        <v>38547.199999999997</v>
      </c>
      <c r="G190" s="241">
        <v>27202.400000000001</v>
      </c>
      <c r="H190" s="241">
        <v>47824.7</v>
      </c>
      <c r="I190" s="241">
        <v>14386.3</v>
      </c>
      <c r="J190" s="241">
        <v>31710.799999999999</v>
      </c>
      <c r="K190" s="241">
        <v>46358.8</v>
      </c>
      <c r="L190" s="241">
        <v>51366.400000000001</v>
      </c>
      <c r="M190" s="241">
        <v>48088.1</v>
      </c>
      <c r="N190" s="241">
        <v>60777.7</v>
      </c>
      <c r="O190" s="241">
        <v>65427.4</v>
      </c>
    </row>
    <row r="191" spans="1:15">
      <c r="A191" s="295"/>
      <c r="B191" s="240" t="s">
        <v>116</v>
      </c>
      <c r="C191" s="241">
        <v>18</v>
      </c>
      <c r="D191" s="241">
        <v>0</v>
      </c>
      <c r="E191" s="241">
        <v>44.6</v>
      </c>
      <c r="F191" s="241">
        <v>103.6</v>
      </c>
      <c r="G191" s="241">
        <v>33.6</v>
      </c>
      <c r="H191" s="241">
        <v>73.5</v>
      </c>
      <c r="I191" s="241">
        <v>255.3</v>
      </c>
      <c r="J191" s="241">
        <v>991.1</v>
      </c>
      <c r="K191" s="241">
        <v>1092.0999999999999</v>
      </c>
      <c r="L191" s="241">
        <v>1567</v>
      </c>
      <c r="M191" s="241">
        <v>1369.2</v>
      </c>
      <c r="N191" s="241">
        <v>1507.9</v>
      </c>
      <c r="O191" s="241">
        <v>840.9</v>
      </c>
    </row>
    <row r="192" spans="1:15">
      <c r="A192" s="295"/>
      <c r="B192" s="240" t="s">
        <v>110</v>
      </c>
      <c r="C192" s="241">
        <v>2744.7</v>
      </c>
      <c r="D192" s="241">
        <v>7774.6</v>
      </c>
      <c r="E192" s="241">
        <v>9751.2999999999993</v>
      </c>
      <c r="F192" s="241">
        <v>9542.6</v>
      </c>
      <c r="G192" s="241">
        <v>5812.5</v>
      </c>
      <c r="H192" s="241">
        <v>18946.099999999999</v>
      </c>
      <c r="I192" s="241">
        <v>14671.4</v>
      </c>
      <c r="J192" s="241">
        <v>13782.9</v>
      </c>
      <c r="K192" s="241">
        <v>7553.9</v>
      </c>
      <c r="L192" s="241">
        <v>17926.2</v>
      </c>
      <c r="M192" s="241">
        <v>5986.6</v>
      </c>
      <c r="N192" s="241">
        <v>6085.9</v>
      </c>
      <c r="O192" s="241">
        <v>8534.6</v>
      </c>
    </row>
    <row r="193" spans="1:15">
      <c r="A193" s="295"/>
      <c r="B193" s="240" t="s">
        <v>119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295"/>
      <c r="B194" s="240" t="s">
        <v>113</v>
      </c>
      <c r="C194" s="241">
        <v>5556.7</v>
      </c>
      <c r="D194" s="241">
        <v>6415.7</v>
      </c>
      <c r="E194" s="241">
        <v>18898.5</v>
      </c>
      <c r="F194" s="241">
        <v>5736.2</v>
      </c>
      <c r="G194" s="241">
        <v>3281.1</v>
      </c>
      <c r="H194" s="241">
        <v>4359.7</v>
      </c>
      <c r="I194" s="241">
        <v>3599.9</v>
      </c>
      <c r="J194" s="241">
        <v>4057.5</v>
      </c>
      <c r="K194" s="241">
        <v>5342.6</v>
      </c>
      <c r="L194" s="241">
        <v>6971.2</v>
      </c>
      <c r="M194" s="241">
        <v>4572.8999999999996</v>
      </c>
      <c r="N194" s="241">
        <v>3725.9</v>
      </c>
      <c r="O194" s="241">
        <v>4755.7</v>
      </c>
    </row>
    <row r="195" spans="1:15">
      <c r="A195" s="295"/>
      <c r="B195" s="240" t="s">
        <v>120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295"/>
      <c r="B196" s="240" t="s">
        <v>21</v>
      </c>
      <c r="C196" s="241">
        <v>31702.3</v>
      </c>
      <c r="D196" s="241">
        <v>35320.400000000001</v>
      </c>
      <c r="E196" s="241">
        <v>13540.8</v>
      </c>
      <c r="F196" s="241">
        <v>43797.8</v>
      </c>
      <c r="G196" s="241">
        <v>20532.5</v>
      </c>
      <c r="H196" s="241">
        <v>35788.800000000003</v>
      </c>
      <c r="I196" s="241">
        <v>14970.4</v>
      </c>
      <c r="J196" s="241">
        <v>31461.1</v>
      </c>
      <c r="K196" s="241">
        <v>71363.3</v>
      </c>
      <c r="L196" s="241">
        <v>53578.6</v>
      </c>
      <c r="M196" s="241">
        <v>35455.599999999999</v>
      </c>
      <c r="N196" s="241">
        <v>28681.9</v>
      </c>
      <c r="O196" s="241">
        <v>24804.7</v>
      </c>
    </row>
    <row r="197" spans="1:15">
      <c r="A197" s="295"/>
      <c r="B197" s="240" t="s">
        <v>121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295"/>
      <c r="B198" s="240" t="s">
        <v>108</v>
      </c>
      <c r="C198" s="241">
        <v>0</v>
      </c>
      <c r="D198" s="241">
        <v>90</v>
      </c>
      <c r="E198" s="241">
        <v>366.6</v>
      </c>
      <c r="F198" s="241">
        <v>0.3</v>
      </c>
      <c r="G198" s="241">
        <v>140</v>
      </c>
      <c r="H198" s="241">
        <v>0</v>
      </c>
      <c r="I198" s="241">
        <v>0</v>
      </c>
      <c r="J198" s="241">
        <v>16.399999999999999</v>
      </c>
      <c r="K198" s="241">
        <v>488.9</v>
      </c>
      <c r="L198" s="241">
        <v>144</v>
      </c>
      <c r="M198" s="241">
        <v>0</v>
      </c>
      <c r="N198" s="241">
        <v>75</v>
      </c>
      <c r="O198" s="241">
        <v>0</v>
      </c>
    </row>
    <row r="199" spans="1:15">
      <c r="A199" s="295"/>
      <c r="B199" s="240" t="s">
        <v>117</v>
      </c>
      <c r="C199" s="241">
        <v>0.8</v>
      </c>
      <c r="D199" s="241">
        <v>0</v>
      </c>
      <c r="E199" s="241">
        <v>0</v>
      </c>
      <c r="F199" s="241">
        <v>0</v>
      </c>
      <c r="G199" s="241">
        <v>103.7</v>
      </c>
      <c r="H199" s="241">
        <v>674.6</v>
      </c>
      <c r="I199" s="241">
        <v>474.6</v>
      </c>
      <c r="J199" s="241">
        <v>257</v>
      </c>
      <c r="K199" s="241">
        <v>0.6</v>
      </c>
      <c r="L199" s="241">
        <v>24.9</v>
      </c>
      <c r="M199" s="241">
        <v>107.3</v>
      </c>
      <c r="N199" s="241">
        <v>8</v>
      </c>
      <c r="O199" s="241">
        <v>0</v>
      </c>
    </row>
    <row r="200" spans="1:15">
      <c r="A200" s="295"/>
      <c r="B200" s="240" t="s">
        <v>122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295"/>
      <c r="B201" s="240" t="s">
        <v>114</v>
      </c>
      <c r="C201" s="241">
        <v>0</v>
      </c>
      <c r="D201" s="241">
        <v>4.8</v>
      </c>
      <c r="E201" s="241">
        <v>2.1</v>
      </c>
      <c r="F201" s="241">
        <v>1.3</v>
      </c>
      <c r="G201" s="241">
        <v>7.4</v>
      </c>
      <c r="H201" s="241">
        <v>8.1999999999999993</v>
      </c>
      <c r="I201" s="241">
        <v>1.7</v>
      </c>
      <c r="J201" s="241">
        <v>5.9</v>
      </c>
      <c r="K201" s="241">
        <v>15.1</v>
      </c>
      <c r="L201" s="241">
        <v>30.8</v>
      </c>
      <c r="M201" s="241">
        <v>13.8</v>
      </c>
      <c r="N201" s="241">
        <v>25.7</v>
      </c>
      <c r="O201" s="241">
        <v>8</v>
      </c>
    </row>
    <row r="202" spans="1:15">
      <c r="A202" s="295"/>
      <c r="B202" s="240" t="s">
        <v>115</v>
      </c>
      <c r="C202" s="241">
        <v>0</v>
      </c>
      <c r="D202" s="241">
        <v>0</v>
      </c>
      <c r="E202" s="241">
        <v>0</v>
      </c>
      <c r="F202" s="241">
        <v>1</v>
      </c>
      <c r="G202" s="241">
        <v>0</v>
      </c>
      <c r="H202" s="241">
        <v>0</v>
      </c>
      <c r="I202" s="241">
        <v>0</v>
      </c>
      <c r="J202" s="241">
        <v>0</v>
      </c>
      <c r="K202" s="241">
        <v>0</v>
      </c>
      <c r="L202" s="241">
        <v>0</v>
      </c>
      <c r="M202" s="241">
        <v>0</v>
      </c>
      <c r="N202" s="241">
        <v>0</v>
      </c>
      <c r="O202" s="241">
        <v>2.5</v>
      </c>
    </row>
    <row r="203" spans="1:15">
      <c r="A203" s="295"/>
      <c r="B203" s="240" t="s">
        <v>112</v>
      </c>
      <c r="C203" s="241">
        <v>21165.200000000001</v>
      </c>
      <c r="D203" s="241">
        <v>21237.9</v>
      </c>
      <c r="E203" s="241">
        <v>26259.7</v>
      </c>
      <c r="F203" s="241">
        <v>25589.5</v>
      </c>
      <c r="G203" s="241">
        <v>14830</v>
      </c>
      <c r="H203" s="241">
        <v>50742.6</v>
      </c>
      <c r="I203" s="241">
        <v>20437.2</v>
      </c>
      <c r="J203" s="241">
        <v>23468.1</v>
      </c>
      <c r="K203" s="241">
        <v>29619.5</v>
      </c>
      <c r="L203" s="241">
        <v>29400.3</v>
      </c>
      <c r="M203" s="241">
        <v>20673.5</v>
      </c>
      <c r="N203" s="241">
        <v>21527.4</v>
      </c>
      <c r="O203" s="241">
        <v>23457.4</v>
      </c>
    </row>
    <row r="204" spans="1:15">
      <c r="A204" s="296"/>
      <c r="B204" s="242" t="s">
        <v>0</v>
      </c>
      <c r="C204" s="244">
        <v>98412</v>
      </c>
      <c r="D204" s="244">
        <v>112904.6</v>
      </c>
      <c r="E204" s="244">
        <v>101396.4</v>
      </c>
      <c r="F204" s="244">
        <v>124695.9</v>
      </c>
      <c r="G204" s="244">
        <v>73293.7</v>
      </c>
      <c r="H204" s="244">
        <v>160664.1</v>
      </c>
      <c r="I204" s="244">
        <v>68796.800000000003</v>
      </c>
      <c r="J204" s="244">
        <v>105750.8</v>
      </c>
      <c r="K204" s="244">
        <v>161917.1</v>
      </c>
      <c r="L204" s="244">
        <v>161050.4</v>
      </c>
      <c r="M204" s="244">
        <v>116273.7</v>
      </c>
      <c r="N204" s="244">
        <v>122470.1</v>
      </c>
      <c r="O204" s="244">
        <v>127858.5</v>
      </c>
    </row>
    <row r="205" spans="1:15">
      <c r="A205" s="294" t="s">
        <v>111</v>
      </c>
      <c r="B205" s="240" t="s">
        <v>118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295"/>
      <c r="B206" s="240" t="s">
        <v>109</v>
      </c>
      <c r="C206" s="241">
        <v>1567.5</v>
      </c>
      <c r="D206" s="241">
        <v>1032.3</v>
      </c>
      <c r="E206" s="241">
        <v>528.1</v>
      </c>
      <c r="F206" s="241">
        <v>543.5</v>
      </c>
      <c r="G206" s="241">
        <v>538.4</v>
      </c>
      <c r="H206" s="241">
        <v>386.4</v>
      </c>
      <c r="I206" s="241">
        <v>97.2</v>
      </c>
      <c r="J206" s="241">
        <v>18.3</v>
      </c>
      <c r="K206" s="241">
        <v>76.599999999999994</v>
      </c>
      <c r="L206" s="241">
        <v>1</v>
      </c>
      <c r="M206" s="241">
        <v>0.8</v>
      </c>
      <c r="N206" s="241">
        <v>48.5</v>
      </c>
      <c r="O206" s="241">
        <v>25.6</v>
      </c>
    </row>
    <row r="207" spans="1:15">
      <c r="A207" s="295"/>
      <c r="B207" s="240" t="s">
        <v>25</v>
      </c>
      <c r="C207" s="241">
        <v>27564.7</v>
      </c>
      <c r="D207" s="241">
        <v>9659.7999999999993</v>
      </c>
      <c r="E207" s="241">
        <v>11341.1</v>
      </c>
      <c r="F207" s="241">
        <v>9049.7999999999993</v>
      </c>
      <c r="G207" s="241">
        <v>12495.4</v>
      </c>
      <c r="H207" s="241">
        <v>15979.9</v>
      </c>
      <c r="I207" s="241">
        <v>8073.6</v>
      </c>
      <c r="J207" s="241">
        <v>6034.6</v>
      </c>
      <c r="K207" s="241">
        <v>8592.1</v>
      </c>
      <c r="L207" s="241">
        <v>9886.9</v>
      </c>
      <c r="M207" s="241">
        <v>22172.7</v>
      </c>
      <c r="N207" s="241">
        <v>18683.2</v>
      </c>
      <c r="O207" s="241">
        <v>20171.400000000001</v>
      </c>
    </row>
    <row r="208" spans="1:15">
      <c r="A208" s="295"/>
      <c r="B208" s="240" t="s">
        <v>116</v>
      </c>
      <c r="C208" s="241">
        <v>0</v>
      </c>
      <c r="D208" s="241">
        <v>141</v>
      </c>
      <c r="E208" s="241">
        <v>86.5</v>
      </c>
      <c r="F208" s="241">
        <v>14.2</v>
      </c>
      <c r="G208" s="241">
        <v>57.7</v>
      </c>
      <c r="H208" s="241">
        <v>321.7</v>
      </c>
      <c r="I208" s="241">
        <v>752.2</v>
      </c>
      <c r="J208" s="241">
        <v>724.9</v>
      </c>
      <c r="K208" s="241">
        <v>398.7</v>
      </c>
      <c r="L208" s="241">
        <v>142.6</v>
      </c>
      <c r="M208" s="241">
        <v>585.5</v>
      </c>
      <c r="N208" s="241">
        <v>429.6</v>
      </c>
      <c r="O208" s="241">
        <v>982.8</v>
      </c>
    </row>
    <row r="209" spans="1:15">
      <c r="A209" s="295"/>
      <c r="B209" s="240" t="s">
        <v>110</v>
      </c>
      <c r="C209" s="241">
        <v>11468.6</v>
      </c>
      <c r="D209" s="241">
        <v>22022.6</v>
      </c>
      <c r="E209" s="241">
        <v>27911.200000000001</v>
      </c>
      <c r="F209" s="241">
        <v>19673</v>
      </c>
      <c r="G209" s="241">
        <v>35793.199999999997</v>
      </c>
      <c r="H209" s="241">
        <v>82837</v>
      </c>
      <c r="I209" s="241">
        <v>70876</v>
      </c>
      <c r="J209" s="241">
        <v>39295.9</v>
      </c>
      <c r="K209" s="241">
        <v>24576</v>
      </c>
      <c r="L209" s="241">
        <v>26857.1</v>
      </c>
      <c r="M209" s="241">
        <v>40530.6</v>
      </c>
      <c r="N209" s="241">
        <v>27697.3</v>
      </c>
      <c r="O209" s="241">
        <v>40815.4</v>
      </c>
    </row>
    <row r="210" spans="1:15">
      <c r="A210" s="295"/>
      <c r="B210" s="240" t="s">
        <v>119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295"/>
      <c r="B211" s="240" t="s">
        <v>113</v>
      </c>
      <c r="C211" s="241">
        <v>4269.6000000000004</v>
      </c>
      <c r="D211" s="241">
        <v>10965.1</v>
      </c>
      <c r="E211" s="241">
        <v>31665.4</v>
      </c>
      <c r="F211" s="241">
        <v>6854.8</v>
      </c>
      <c r="G211" s="241">
        <v>3820.7</v>
      </c>
      <c r="H211" s="241">
        <v>28654.5</v>
      </c>
      <c r="I211" s="241">
        <v>37936.300000000003</v>
      </c>
      <c r="J211" s="241">
        <v>19044.2</v>
      </c>
      <c r="K211" s="241">
        <v>5144.6000000000004</v>
      </c>
      <c r="L211" s="241">
        <v>2569.3000000000002</v>
      </c>
      <c r="M211" s="241">
        <v>9585.7000000000007</v>
      </c>
      <c r="N211" s="241">
        <v>11818.5</v>
      </c>
      <c r="O211" s="241">
        <v>28187.3</v>
      </c>
    </row>
    <row r="212" spans="1:15">
      <c r="A212" s="295"/>
      <c r="B212" s="240" t="s">
        <v>120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295"/>
      <c r="B213" s="240" t="s">
        <v>21</v>
      </c>
      <c r="C213" s="241">
        <v>3292.2</v>
      </c>
      <c r="D213" s="241">
        <v>5345.6</v>
      </c>
      <c r="E213" s="241">
        <v>5608.2</v>
      </c>
      <c r="F213" s="241">
        <v>10347.799999999999</v>
      </c>
      <c r="G213" s="241">
        <v>8168.3</v>
      </c>
      <c r="H213" s="241">
        <v>22332.5</v>
      </c>
      <c r="I213" s="241">
        <v>14340.4</v>
      </c>
      <c r="J213" s="241">
        <v>12773.5</v>
      </c>
      <c r="K213" s="241">
        <v>6431.8</v>
      </c>
      <c r="L213" s="241">
        <v>2887.6</v>
      </c>
      <c r="M213" s="241">
        <v>6785.6</v>
      </c>
      <c r="N213" s="241">
        <v>8778.9</v>
      </c>
      <c r="O213" s="241">
        <v>8723.5</v>
      </c>
    </row>
    <row r="214" spans="1:15">
      <c r="A214" s="295"/>
      <c r="B214" s="240" t="s">
        <v>121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295"/>
      <c r="B215" s="240" t="s">
        <v>108</v>
      </c>
      <c r="C215" s="241">
        <v>0</v>
      </c>
      <c r="D215" s="241">
        <v>22.6</v>
      </c>
      <c r="E215" s="241">
        <v>0</v>
      </c>
      <c r="F215" s="241">
        <v>0</v>
      </c>
      <c r="G215" s="241">
        <v>0</v>
      </c>
      <c r="H215" s="241">
        <v>0</v>
      </c>
      <c r="I215" s="241">
        <v>0</v>
      </c>
      <c r="J215" s="241">
        <v>8</v>
      </c>
      <c r="K215" s="241">
        <v>0</v>
      </c>
      <c r="L215" s="241">
        <v>128.69999999999999</v>
      </c>
      <c r="M215" s="241">
        <v>0</v>
      </c>
      <c r="N215" s="241">
        <v>227.5</v>
      </c>
      <c r="O215" s="241">
        <v>0</v>
      </c>
    </row>
    <row r="216" spans="1:15">
      <c r="A216" s="295"/>
      <c r="B216" s="240" t="s">
        <v>117</v>
      </c>
      <c r="C216" s="241">
        <v>125.3</v>
      </c>
      <c r="D216" s="241">
        <v>8.3000000000000007</v>
      </c>
      <c r="E216" s="241">
        <v>173.7</v>
      </c>
      <c r="F216" s="241">
        <v>7.7</v>
      </c>
      <c r="G216" s="241">
        <v>265.3</v>
      </c>
      <c r="H216" s="241">
        <v>917.9</v>
      </c>
      <c r="I216" s="241">
        <v>1671.6</v>
      </c>
      <c r="J216" s="241">
        <v>691.1</v>
      </c>
      <c r="K216" s="241">
        <v>324</v>
      </c>
      <c r="L216" s="241">
        <v>129.9</v>
      </c>
      <c r="M216" s="241">
        <v>88.9</v>
      </c>
      <c r="N216" s="241">
        <v>47.7</v>
      </c>
      <c r="O216" s="241">
        <v>22.2</v>
      </c>
    </row>
    <row r="217" spans="1:15">
      <c r="A217" s="295"/>
      <c r="B217" s="240" t="s">
        <v>122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295"/>
      <c r="B218" s="240" t="s">
        <v>114</v>
      </c>
      <c r="C218" s="241">
        <v>0</v>
      </c>
      <c r="D218" s="241">
        <v>0</v>
      </c>
      <c r="E218" s="241">
        <v>5.9</v>
      </c>
      <c r="F218" s="241">
        <v>0</v>
      </c>
      <c r="G218" s="241">
        <v>0</v>
      </c>
      <c r="H218" s="241">
        <v>0</v>
      </c>
      <c r="I218" s="241">
        <v>79.599999999999994</v>
      </c>
      <c r="J218" s="241">
        <v>39.5</v>
      </c>
      <c r="K218" s="241">
        <v>34.6</v>
      </c>
      <c r="L218" s="241">
        <v>0</v>
      </c>
      <c r="M218" s="241">
        <v>0</v>
      </c>
      <c r="N218" s="241">
        <v>0</v>
      </c>
      <c r="O218" s="241">
        <v>0</v>
      </c>
    </row>
    <row r="219" spans="1:15">
      <c r="A219" s="295"/>
      <c r="B219" s="240" t="s">
        <v>115</v>
      </c>
      <c r="C219" s="241">
        <v>0</v>
      </c>
      <c r="D219" s="241">
        <v>0</v>
      </c>
      <c r="E219" s="241">
        <v>0</v>
      </c>
      <c r="F219" s="241">
        <v>0</v>
      </c>
      <c r="G219" s="241">
        <v>0</v>
      </c>
      <c r="H219" s="241">
        <v>0</v>
      </c>
      <c r="I219" s="241">
        <v>6.4</v>
      </c>
      <c r="J219" s="241">
        <v>82.2</v>
      </c>
      <c r="K219" s="241">
        <v>38.700000000000003</v>
      </c>
      <c r="L219" s="241">
        <v>0</v>
      </c>
      <c r="M219" s="241">
        <v>0</v>
      </c>
      <c r="N219" s="241">
        <v>6.7</v>
      </c>
      <c r="O219" s="241">
        <v>12.6</v>
      </c>
    </row>
    <row r="220" spans="1:15">
      <c r="A220" s="295"/>
      <c r="B220" s="240" t="s">
        <v>112</v>
      </c>
      <c r="C220" s="241">
        <v>3130.6</v>
      </c>
      <c r="D220" s="241">
        <v>1780.7</v>
      </c>
      <c r="E220" s="241">
        <v>6026.2</v>
      </c>
      <c r="F220" s="241">
        <v>2307.6</v>
      </c>
      <c r="G220" s="241">
        <v>3575.3</v>
      </c>
      <c r="H220" s="241">
        <v>12258.3</v>
      </c>
      <c r="I220" s="241">
        <v>17035.3</v>
      </c>
      <c r="J220" s="241">
        <v>5747.6</v>
      </c>
      <c r="K220" s="241">
        <v>3246.7</v>
      </c>
      <c r="L220" s="241">
        <v>2875.8</v>
      </c>
      <c r="M220" s="241">
        <v>6008</v>
      </c>
      <c r="N220" s="241">
        <v>9356.6</v>
      </c>
      <c r="O220" s="241">
        <v>7047.9</v>
      </c>
    </row>
    <row r="221" spans="1:15">
      <c r="A221" s="296"/>
      <c r="B221" s="242" t="s">
        <v>0</v>
      </c>
      <c r="C221" s="244">
        <v>51418.5</v>
      </c>
      <c r="D221" s="244">
        <v>50978</v>
      </c>
      <c r="E221" s="244">
        <v>83346.3</v>
      </c>
      <c r="F221" s="244">
        <v>48798.400000000001</v>
      </c>
      <c r="G221" s="244">
        <v>64714.3</v>
      </c>
      <c r="H221" s="244">
        <v>163688.20000000001</v>
      </c>
      <c r="I221" s="244">
        <v>150868.6</v>
      </c>
      <c r="J221" s="244">
        <v>84459.8</v>
      </c>
      <c r="K221" s="244">
        <v>48863.8</v>
      </c>
      <c r="L221" s="244">
        <v>45478.9</v>
      </c>
      <c r="M221" s="244">
        <v>85757.8</v>
      </c>
      <c r="N221" s="244">
        <v>77094.5</v>
      </c>
      <c r="O221" s="244">
        <v>105988.7</v>
      </c>
    </row>
    <row r="223" spans="1:15">
      <c r="A223" s="239" t="s">
        <v>161</v>
      </c>
      <c r="B223" s="304" t="s">
        <v>3</v>
      </c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305"/>
    </row>
    <row r="224" spans="1:15">
      <c r="A224" s="239" t="s">
        <v>123</v>
      </c>
      <c r="B224" s="288" t="s">
        <v>273</v>
      </c>
      <c r="C224" s="288" t="s">
        <v>276</v>
      </c>
      <c r="D224" s="288" t="s">
        <v>277</v>
      </c>
      <c r="E224" s="288" t="s">
        <v>279</v>
      </c>
      <c r="F224" s="288" t="s">
        <v>281</v>
      </c>
      <c r="G224" s="288" t="s">
        <v>284</v>
      </c>
      <c r="H224" s="288" t="s">
        <v>295</v>
      </c>
      <c r="I224" s="288" t="s">
        <v>299</v>
      </c>
      <c r="J224" s="288" t="s">
        <v>307</v>
      </c>
      <c r="K224" s="288" t="s">
        <v>309</v>
      </c>
      <c r="L224" s="288" t="s">
        <v>313</v>
      </c>
      <c r="M224" s="288" t="s">
        <v>316</v>
      </c>
      <c r="N224" s="288" t="s">
        <v>320</v>
      </c>
    </row>
    <row r="225" spans="1:15">
      <c r="A225" s="214" t="s">
        <v>31</v>
      </c>
      <c r="B225" s="289"/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</row>
    <row r="226" spans="1:15">
      <c r="A226" s="240" t="s">
        <v>166</v>
      </c>
      <c r="B226" s="215">
        <v>56.653760923500002</v>
      </c>
      <c r="C226" s="215">
        <v>56.425058677899997</v>
      </c>
      <c r="D226" s="215">
        <v>40.265648287300003</v>
      </c>
      <c r="E226" s="215">
        <v>50.409112745400002</v>
      </c>
      <c r="F226" s="215">
        <v>42.388015613900002</v>
      </c>
      <c r="G226" s="215">
        <v>36.970186245699999</v>
      </c>
      <c r="H226" s="215">
        <v>24.8459701614</v>
      </c>
      <c r="I226" s="215">
        <v>28.454226634699999</v>
      </c>
      <c r="J226" s="215">
        <v>38.668877592299999</v>
      </c>
      <c r="K226" s="215">
        <v>42.295844468600002</v>
      </c>
      <c r="L226" s="215">
        <v>42.570763981900001</v>
      </c>
      <c r="M226" s="215">
        <v>48.973209134299999</v>
      </c>
      <c r="N226" s="215">
        <v>44.186275531200003</v>
      </c>
    </row>
    <row r="227" spans="1:15">
      <c r="A227" s="240" t="s">
        <v>167</v>
      </c>
      <c r="B227" s="215">
        <v>32.376397600099999</v>
      </c>
      <c r="C227" s="215">
        <v>26.9131393935</v>
      </c>
      <c r="D227" s="215">
        <v>14.5645464766</v>
      </c>
      <c r="E227" s="215">
        <v>30.039364250999999</v>
      </c>
      <c r="F227" s="215">
        <v>21.994219051999998</v>
      </c>
      <c r="G227" s="215">
        <v>16.0766152966</v>
      </c>
      <c r="H227" s="215">
        <v>6.9169248604</v>
      </c>
      <c r="I227" s="215">
        <v>9.9078850529999993</v>
      </c>
      <c r="J227" s="215">
        <v>15.037596134599999</v>
      </c>
      <c r="K227" s="215">
        <v>22.721473034700001</v>
      </c>
      <c r="L227" s="215">
        <v>23.3057373207</v>
      </c>
      <c r="M227" s="215">
        <v>25.5109853491</v>
      </c>
      <c r="N227" s="215">
        <v>18.9721029695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O245-O256</f>
        <v>189222.39999999999</v>
      </c>
    </row>
    <row r="231" spans="1:15">
      <c r="C231" s="260"/>
    </row>
    <row r="232" spans="1:15">
      <c r="C232" s="135" t="str">
        <f>MID(C234,6,1)</f>
        <v>O</v>
      </c>
      <c r="D232" s="135" t="str">
        <f t="shared" ref="D232:O232" si="8">MID(D234,6,1)</f>
        <v>N</v>
      </c>
      <c r="E232" s="135" t="str">
        <f t="shared" si="8"/>
        <v>D</v>
      </c>
      <c r="F232" s="135" t="str">
        <f t="shared" si="8"/>
        <v>E</v>
      </c>
      <c r="G232" s="135" t="str">
        <f t="shared" si="8"/>
        <v>F</v>
      </c>
      <c r="H232" s="135" t="str">
        <f t="shared" si="8"/>
        <v>M</v>
      </c>
      <c r="I232" s="135" t="str">
        <f t="shared" si="8"/>
        <v>A</v>
      </c>
      <c r="J232" s="135" t="str">
        <f t="shared" si="8"/>
        <v>M</v>
      </c>
      <c r="K232" s="135" t="str">
        <f t="shared" si="8"/>
        <v>J</v>
      </c>
      <c r="L232" s="135" t="str">
        <f t="shared" si="8"/>
        <v>J</v>
      </c>
      <c r="M232" s="135" t="str">
        <f t="shared" si="8"/>
        <v>A</v>
      </c>
      <c r="N232" s="135" t="str">
        <f t="shared" si="8"/>
        <v>S</v>
      </c>
      <c r="O232" s="135" t="str">
        <f t="shared" si="8"/>
        <v>O</v>
      </c>
    </row>
    <row r="233" spans="1:15">
      <c r="A233" s="214"/>
      <c r="B233" s="214" t="s">
        <v>31</v>
      </c>
      <c r="C233" s="298" t="s">
        <v>318</v>
      </c>
      <c r="D233" s="299"/>
      <c r="E233" s="299"/>
      <c r="F233" s="299"/>
      <c r="G233" s="299"/>
      <c r="H233" s="299"/>
      <c r="I233" s="299"/>
      <c r="J233" s="299"/>
      <c r="K233" s="299"/>
      <c r="L233" s="299"/>
      <c r="M233" s="299"/>
      <c r="N233" s="299"/>
      <c r="O233" s="299"/>
    </row>
    <row r="234" spans="1:15">
      <c r="A234" s="214"/>
      <c r="B234" s="214" t="s">
        <v>123</v>
      </c>
      <c r="C234" s="288" t="s">
        <v>273</v>
      </c>
      <c r="D234" s="288" t="s">
        <v>276</v>
      </c>
      <c r="E234" s="288" t="s">
        <v>277</v>
      </c>
      <c r="F234" s="288" t="s">
        <v>279</v>
      </c>
      <c r="G234" s="288" t="s">
        <v>281</v>
      </c>
      <c r="H234" s="288" t="s">
        <v>284</v>
      </c>
      <c r="I234" s="288" t="s">
        <v>295</v>
      </c>
      <c r="J234" s="288" t="s">
        <v>299</v>
      </c>
      <c r="K234" s="288" t="s">
        <v>307</v>
      </c>
      <c r="L234" s="288" t="s">
        <v>309</v>
      </c>
      <c r="M234" s="288" t="s">
        <v>313</v>
      </c>
      <c r="N234" s="288" t="s">
        <v>316</v>
      </c>
      <c r="O234" s="288" t="s">
        <v>320</v>
      </c>
    </row>
    <row r="235" spans="1:15">
      <c r="A235" s="214" t="s">
        <v>163</v>
      </c>
      <c r="B235" s="214" t="s">
        <v>164</v>
      </c>
      <c r="C235" s="289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  <c r="O235" s="289"/>
    </row>
    <row r="236" spans="1:15">
      <c r="A236" s="297" t="s">
        <v>107</v>
      </c>
      <c r="B236" s="240" t="s">
        <v>109</v>
      </c>
      <c r="C236" s="241">
        <v>4163.7</v>
      </c>
      <c r="D236" s="241">
        <v>3677.8</v>
      </c>
      <c r="E236" s="241">
        <v>1607.3</v>
      </c>
      <c r="F236" s="241">
        <v>3376.2</v>
      </c>
      <c r="G236" s="241">
        <v>1995</v>
      </c>
      <c r="H236" s="241">
        <v>418.1</v>
      </c>
      <c r="I236" s="241">
        <v>0</v>
      </c>
      <c r="J236" s="241">
        <v>5</v>
      </c>
      <c r="K236" s="241">
        <v>105</v>
      </c>
      <c r="L236" s="241">
        <v>50</v>
      </c>
      <c r="M236" s="241">
        <v>0</v>
      </c>
      <c r="N236" s="241">
        <v>50</v>
      </c>
      <c r="O236" s="241">
        <v>3</v>
      </c>
    </row>
    <row r="237" spans="1:15">
      <c r="A237" s="295"/>
      <c r="B237" s="240" t="s">
        <v>25</v>
      </c>
      <c r="C237" s="241">
        <v>94511.7</v>
      </c>
      <c r="D237" s="241">
        <v>93991.4</v>
      </c>
      <c r="E237" s="241">
        <v>80390.7</v>
      </c>
      <c r="F237" s="241">
        <v>112471.6</v>
      </c>
      <c r="G237" s="241">
        <v>48257.3</v>
      </c>
      <c r="H237" s="241">
        <v>25069.8</v>
      </c>
      <c r="I237" s="241">
        <v>17020</v>
      </c>
      <c r="J237" s="241">
        <v>31454.1</v>
      </c>
      <c r="K237" s="241">
        <v>93533.6</v>
      </c>
      <c r="L237" s="241">
        <v>125585.60000000001</v>
      </c>
      <c r="M237" s="241">
        <v>108564.2</v>
      </c>
      <c r="N237" s="241">
        <v>92799.2</v>
      </c>
      <c r="O237" s="241">
        <v>109185.7</v>
      </c>
    </row>
    <row r="238" spans="1:15">
      <c r="A238" s="295"/>
      <c r="B238" s="240" t="s">
        <v>116</v>
      </c>
      <c r="C238" s="241">
        <v>0</v>
      </c>
      <c r="D238" s="241">
        <v>51.5</v>
      </c>
      <c r="E238" s="241">
        <v>371.4</v>
      </c>
      <c r="F238" s="241">
        <v>1718.3</v>
      </c>
      <c r="G238" s="241">
        <v>169</v>
      </c>
      <c r="H238" s="241">
        <v>511.6</v>
      </c>
      <c r="I238" s="241">
        <v>1099</v>
      </c>
      <c r="J238" s="241">
        <v>2074.9</v>
      </c>
      <c r="K238" s="241">
        <v>8541.6</v>
      </c>
      <c r="L238" s="241">
        <v>12039</v>
      </c>
      <c r="M238" s="241">
        <v>5645</v>
      </c>
      <c r="N238" s="241">
        <v>3342.1</v>
      </c>
      <c r="O238" s="241">
        <v>3918.6</v>
      </c>
    </row>
    <row r="239" spans="1:15">
      <c r="A239" s="295"/>
      <c r="B239" s="240" t="s">
        <v>110</v>
      </c>
      <c r="C239" s="241">
        <v>10093.200000000001</v>
      </c>
      <c r="D239" s="241">
        <v>13298.4</v>
      </c>
      <c r="E239" s="241">
        <v>19733.099999999999</v>
      </c>
      <c r="F239" s="241">
        <v>14293.3</v>
      </c>
      <c r="G239" s="241">
        <v>8732.4</v>
      </c>
      <c r="H239" s="241">
        <v>10680.8</v>
      </c>
      <c r="I239" s="241">
        <v>30032</v>
      </c>
      <c r="J239" s="241">
        <v>13342</v>
      </c>
      <c r="K239" s="241">
        <v>21857.1</v>
      </c>
      <c r="L239" s="241">
        <v>31594.3</v>
      </c>
      <c r="M239" s="241">
        <v>6241.6</v>
      </c>
      <c r="N239" s="241">
        <v>9830.5</v>
      </c>
      <c r="O239" s="241">
        <v>12821.2</v>
      </c>
    </row>
    <row r="240" spans="1:15">
      <c r="A240" s="295"/>
      <c r="B240" s="240" t="s">
        <v>113</v>
      </c>
      <c r="C240" s="241">
        <v>10069.799999999999</v>
      </c>
      <c r="D240" s="241">
        <v>12383</v>
      </c>
      <c r="E240" s="241">
        <v>14568.3</v>
      </c>
      <c r="F240" s="241">
        <v>9539.1</v>
      </c>
      <c r="G240" s="241">
        <v>3606.8</v>
      </c>
      <c r="H240" s="241">
        <v>2598.6999999999998</v>
      </c>
      <c r="I240" s="241">
        <v>4029</v>
      </c>
      <c r="J240" s="241">
        <v>3540.5</v>
      </c>
      <c r="K240" s="241">
        <v>7292.6</v>
      </c>
      <c r="L240" s="241">
        <v>7693.1</v>
      </c>
      <c r="M240" s="241">
        <v>3597</v>
      </c>
      <c r="N240" s="241">
        <v>2500.3000000000002</v>
      </c>
      <c r="O240" s="241">
        <v>6372.3</v>
      </c>
    </row>
    <row r="241" spans="1:16">
      <c r="A241" s="295"/>
      <c r="B241" s="240" t="s">
        <v>21</v>
      </c>
      <c r="C241" s="241">
        <v>45049.8</v>
      </c>
      <c r="D241" s="241">
        <v>48971.8</v>
      </c>
      <c r="E241" s="241">
        <v>20541.3</v>
      </c>
      <c r="F241" s="241">
        <v>80742.100000000006</v>
      </c>
      <c r="G241" s="241">
        <v>34283.300000000003</v>
      </c>
      <c r="H241" s="241">
        <v>26299.3</v>
      </c>
      <c r="I241" s="241">
        <v>20482</v>
      </c>
      <c r="J241" s="241">
        <v>42478.400000000001</v>
      </c>
      <c r="K241" s="241">
        <v>135598.70000000001</v>
      </c>
      <c r="L241" s="241">
        <v>93034.8</v>
      </c>
      <c r="M241" s="241">
        <v>49376</v>
      </c>
      <c r="N241" s="241">
        <v>21849.9</v>
      </c>
      <c r="O241" s="241">
        <v>26600.6</v>
      </c>
    </row>
    <row r="242" spans="1:16">
      <c r="A242" s="295"/>
      <c r="B242" s="240" t="s">
        <v>108</v>
      </c>
      <c r="C242" s="241">
        <v>0</v>
      </c>
      <c r="D242" s="241">
        <v>539</v>
      </c>
      <c r="E242" s="241">
        <v>876.4</v>
      </c>
      <c r="F242" s="241">
        <v>186</v>
      </c>
      <c r="G242" s="241">
        <v>267</v>
      </c>
      <c r="H242" s="241">
        <v>0</v>
      </c>
      <c r="I242" s="241">
        <v>12</v>
      </c>
      <c r="J242" s="241">
        <v>139</v>
      </c>
      <c r="K242" s="241">
        <v>1073</v>
      </c>
      <c r="L242" s="241">
        <v>70</v>
      </c>
      <c r="M242" s="241">
        <v>0</v>
      </c>
      <c r="N242" s="241">
        <v>0</v>
      </c>
      <c r="O242" s="241">
        <v>125</v>
      </c>
    </row>
    <row r="243" spans="1:16">
      <c r="A243" s="295"/>
      <c r="B243" s="240" t="s">
        <v>114</v>
      </c>
      <c r="C243" s="241">
        <v>0</v>
      </c>
      <c r="D243" s="241">
        <v>0</v>
      </c>
      <c r="E243" s="241">
        <v>1.2</v>
      </c>
      <c r="F243" s="241">
        <v>0</v>
      </c>
      <c r="G243" s="241">
        <v>0</v>
      </c>
      <c r="H243" s="241">
        <v>0</v>
      </c>
      <c r="I243" s="241">
        <v>0</v>
      </c>
      <c r="J243" s="241">
        <v>1</v>
      </c>
      <c r="K243" s="241">
        <v>2</v>
      </c>
      <c r="L243" s="241">
        <v>4</v>
      </c>
      <c r="M243" s="241">
        <v>0</v>
      </c>
      <c r="N243" s="241">
        <v>1</v>
      </c>
      <c r="O243" s="241">
        <v>8</v>
      </c>
    </row>
    <row r="244" spans="1:16">
      <c r="A244" s="295"/>
      <c r="B244" s="240" t="s">
        <v>112</v>
      </c>
      <c r="C244" s="241">
        <v>29699</v>
      </c>
      <c r="D244" s="241">
        <v>32260</v>
      </c>
      <c r="E244" s="241">
        <v>60128.2</v>
      </c>
      <c r="F244" s="241">
        <v>46371.3</v>
      </c>
      <c r="G244" s="241">
        <v>22347.8</v>
      </c>
      <c r="H244" s="241">
        <v>23301.1</v>
      </c>
      <c r="I244" s="241">
        <v>23437</v>
      </c>
      <c r="J244" s="241">
        <v>35473.1</v>
      </c>
      <c r="K244" s="241">
        <v>43074.400000000001</v>
      </c>
      <c r="L244" s="241">
        <v>53243.199999999997</v>
      </c>
      <c r="M244" s="241">
        <v>32334.2</v>
      </c>
      <c r="N244" s="241">
        <v>19451</v>
      </c>
      <c r="O244" s="241">
        <v>30188</v>
      </c>
    </row>
    <row r="245" spans="1:16">
      <c r="A245" s="296"/>
      <c r="B245" s="242" t="s">
        <v>0</v>
      </c>
      <c r="C245" s="244">
        <v>193587.20000000001</v>
      </c>
      <c r="D245" s="244">
        <v>205172.9</v>
      </c>
      <c r="E245" s="244">
        <v>198217.9</v>
      </c>
      <c r="F245" s="244">
        <v>268697.90000000002</v>
      </c>
      <c r="G245" s="244">
        <v>119658.6</v>
      </c>
      <c r="H245" s="244">
        <v>88879.4</v>
      </c>
      <c r="I245" s="244">
        <v>96111</v>
      </c>
      <c r="J245" s="244">
        <v>128508</v>
      </c>
      <c r="K245" s="244">
        <v>311078</v>
      </c>
      <c r="L245" s="244">
        <v>323314</v>
      </c>
      <c r="M245" s="244">
        <v>205758</v>
      </c>
      <c r="N245" s="244">
        <v>149824</v>
      </c>
      <c r="O245" s="244">
        <v>189222.39999999999</v>
      </c>
    </row>
    <row r="246" spans="1:16">
      <c r="A246" s="294" t="s">
        <v>111</v>
      </c>
      <c r="B246" s="240" t="s">
        <v>109</v>
      </c>
      <c r="C246" s="241">
        <v>1862.6</v>
      </c>
      <c r="D246" s="241">
        <v>1673.1</v>
      </c>
      <c r="E246" s="241">
        <v>843.6</v>
      </c>
      <c r="F246" s="241">
        <v>591.9</v>
      </c>
      <c r="G246" s="241">
        <v>683.9</v>
      </c>
      <c r="H246" s="241">
        <v>266</v>
      </c>
      <c r="I246" s="241">
        <v>248</v>
      </c>
      <c r="J246" s="241">
        <v>93</v>
      </c>
      <c r="K246" s="241">
        <v>66</v>
      </c>
      <c r="L246" s="241">
        <v>123</v>
      </c>
      <c r="M246" s="241">
        <v>152</v>
      </c>
      <c r="N246" s="241">
        <v>154</v>
      </c>
      <c r="O246" s="241">
        <v>129</v>
      </c>
    </row>
    <row r="247" spans="1:16">
      <c r="A247" s="295"/>
      <c r="B247" s="240" t="s">
        <v>25</v>
      </c>
      <c r="C247" s="241">
        <v>27837.599999999999</v>
      </c>
      <c r="D247" s="241">
        <v>11548.4</v>
      </c>
      <c r="E247" s="241">
        <v>12672</v>
      </c>
      <c r="F247" s="241">
        <v>10439.5</v>
      </c>
      <c r="G247" s="241">
        <v>17734.400000000001</v>
      </c>
      <c r="H247" s="241">
        <v>10455</v>
      </c>
      <c r="I247" s="241">
        <v>7191</v>
      </c>
      <c r="J247" s="241">
        <v>7535.7</v>
      </c>
      <c r="K247" s="241">
        <v>7025.7</v>
      </c>
      <c r="L247" s="241">
        <v>5966.1</v>
      </c>
      <c r="M247" s="241">
        <v>27645.5</v>
      </c>
      <c r="N247" s="241">
        <v>18699.7</v>
      </c>
      <c r="O247" s="241">
        <v>11392.3</v>
      </c>
    </row>
    <row r="248" spans="1:16">
      <c r="A248" s="295"/>
      <c r="B248" s="240" t="s">
        <v>116</v>
      </c>
      <c r="C248" s="241">
        <v>96.8</v>
      </c>
      <c r="D248" s="241">
        <v>106.4</v>
      </c>
      <c r="E248" s="241">
        <v>969.2</v>
      </c>
      <c r="F248" s="241">
        <v>218.3</v>
      </c>
      <c r="G248" s="241">
        <v>130.30000000000001</v>
      </c>
      <c r="H248" s="241">
        <v>302</v>
      </c>
      <c r="I248" s="241">
        <v>798</v>
      </c>
      <c r="J248" s="241">
        <v>753.6</v>
      </c>
      <c r="K248" s="241">
        <v>507</v>
      </c>
      <c r="L248" s="241">
        <v>490</v>
      </c>
      <c r="M248" s="241">
        <v>2170</v>
      </c>
      <c r="N248" s="241">
        <v>1014</v>
      </c>
      <c r="O248" s="241">
        <v>1219.7</v>
      </c>
    </row>
    <row r="249" spans="1:16">
      <c r="A249" s="295"/>
      <c r="B249" s="240" t="s">
        <v>110</v>
      </c>
      <c r="C249" s="241">
        <v>28735.200000000001</v>
      </c>
      <c r="D249" s="241">
        <v>26206.5</v>
      </c>
      <c r="E249" s="241">
        <v>37655</v>
      </c>
      <c r="F249" s="241">
        <v>34537.4</v>
      </c>
      <c r="G249" s="241">
        <v>46367.6</v>
      </c>
      <c r="H249" s="241">
        <v>52908</v>
      </c>
      <c r="I249" s="241">
        <v>66283</v>
      </c>
      <c r="J249" s="241">
        <v>39389.699999999997</v>
      </c>
      <c r="K249" s="241">
        <v>21162.5</v>
      </c>
      <c r="L249" s="241">
        <v>27694.799999999999</v>
      </c>
      <c r="M249" s="241">
        <v>55738</v>
      </c>
      <c r="N249" s="241">
        <v>28968.400000000001</v>
      </c>
      <c r="O249" s="241">
        <v>23755.5</v>
      </c>
    </row>
    <row r="250" spans="1:16">
      <c r="A250" s="295"/>
      <c r="B250" s="240" t="s">
        <v>113</v>
      </c>
      <c r="C250" s="241">
        <v>5033.8999999999996</v>
      </c>
      <c r="D250" s="241">
        <v>16242.7</v>
      </c>
      <c r="E250" s="241">
        <v>33849.300000000003</v>
      </c>
      <c r="F250" s="241">
        <v>3140.7</v>
      </c>
      <c r="G250" s="241">
        <v>4484.5</v>
      </c>
      <c r="H250" s="241">
        <v>8236.7000000000007</v>
      </c>
      <c r="I250" s="241">
        <v>13648</v>
      </c>
      <c r="J250" s="241">
        <v>12105</v>
      </c>
      <c r="K250" s="241">
        <v>3300.1</v>
      </c>
      <c r="L250" s="241">
        <v>1620.1</v>
      </c>
      <c r="M250" s="241">
        <v>6361</v>
      </c>
      <c r="N250" s="241">
        <v>8108</v>
      </c>
      <c r="O250" s="241">
        <v>16146.7</v>
      </c>
    </row>
    <row r="251" spans="1:16">
      <c r="A251" s="295"/>
      <c r="B251" s="240" t="s">
        <v>21</v>
      </c>
      <c r="C251" s="241">
        <v>3139.3</v>
      </c>
      <c r="D251" s="241">
        <v>5014.3999999999996</v>
      </c>
      <c r="E251" s="241">
        <v>9426.5</v>
      </c>
      <c r="F251" s="241">
        <v>19023.8</v>
      </c>
      <c r="G251" s="241">
        <v>13296.6</v>
      </c>
      <c r="H251" s="241">
        <v>13611</v>
      </c>
      <c r="I251" s="241">
        <v>13179</v>
      </c>
      <c r="J251" s="241">
        <v>9573</v>
      </c>
      <c r="K251" s="241">
        <v>7480.7</v>
      </c>
      <c r="L251" s="241">
        <v>2791</v>
      </c>
      <c r="M251" s="241">
        <v>9936.7999999999993</v>
      </c>
      <c r="N251" s="241">
        <v>12439.1</v>
      </c>
      <c r="O251" s="241">
        <v>6094.5</v>
      </c>
    </row>
    <row r="252" spans="1:16">
      <c r="A252" s="295"/>
      <c r="B252" s="240" t="s">
        <v>108</v>
      </c>
      <c r="C252" s="241">
        <v>0</v>
      </c>
      <c r="D252" s="241">
        <v>0</v>
      </c>
      <c r="E252" s="241">
        <v>0</v>
      </c>
      <c r="F252" s="241">
        <v>0</v>
      </c>
      <c r="G252" s="241">
        <v>160.1</v>
      </c>
      <c r="H252" s="241">
        <v>0</v>
      </c>
      <c r="I252" s="241">
        <v>0</v>
      </c>
      <c r="J252" s="241">
        <v>17</v>
      </c>
      <c r="K252" s="241">
        <v>105</v>
      </c>
      <c r="L252" s="241">
        <v>87.8</v>
      </c>
      <c r="M252" s="241">
        <v>0</v>
      </c>
      <c r="N252" s="241">
        <v>0</v>
      </c>
      <c r="O252" s="241">
        <v>0</v>
      </c>
    </row>
    <row r="253" spans="1:16">
      <c r="A253" s="295"/>
      <c r="B253" s="240" t="s">
        <v>114</v>
      </c>
      <c r="C253" s="241">
        <v>0</v>
      </c>
      <c r="D253" s="241">
        <v>0</v>
      </c>
      <c r="E253" s="241">
        <v>57.6</v>
      </c>
      <c r="F253" s="241">
        <v>0</v>
      </c>
      <c r="G253" s="241">
        <v>0</v>
      </c>
      <c r="H253" s="241">
        <v>0</v>
      </c>
      <c r="I253" s="241">
        <v>0</v>
      </c>
      <c r="J253" s="241">
        <v>101</v>
      </c>
      <c r="K253" s="241">
        <v>0</v>
      </c>
      <c r="L253" s="241">
        <v>0</v>
      </c>
      <c r="M253" s="241">
        <v>35</v>
      </c>
      <c r="N253" s="241">
        <v>43.5</v>
      </c>
      <c r="O253" s="241">
        <v>10.7</v>
      </c>
      <c r="P253" s="269"/>
    </row>
    <row r="254" spans="1:16">
      <c r="A254" s="295"/>
      <c r="B254" s="240" t="s">
        <v>112</v>
      </c>
      <c r="C254" s="241">
        <v>1421.7</v>
      </c>
      <c r="D254" s="241">
        <v>1496.4</v>
      </c>
      <c r="E254" s="241">
        <v>30140.7</v>
      </c>
      <c r="F254" s="241">
        <v>1658.4</v>
      </c>
      <c r="G254" s="241">
        <v>5844.4</v>
      </c>
      <c r="H254" s="241">
        <v>6180</v>
      </c>
      <c r="I254" s="241">
        <v>12053</v>
      </c>
      <c r="J254" s="241">
        <v>5032</v>
      </c>
      <c r="K254" s="241">
        <v>2862</v>
      </c>
      <c r="L254" s="241">
        <v>3441.2</v>
      </c>
      <c r="M254" s="241">
        <v>8686.7000000000007</v>
      </c>
      <c r="N254" s="241">
        <v>17149.3</v>
      </c>
      <c r="O254" s="241">
        <v>10042</v>
      </c>
    </row>
    <row r="255" spans="1:16">
      <c r="A255" s="296"/>
      <c r="B255" s="242" t="s">
        <v>0</v>
      </c>
      <c r="C255" s="244">
        <v>68127.100000000006</v>
      </c>
      <c r="D255" s="244">
        <v>62287.9</v>
      </c>
      <c r="E255" s="244">
        <v>125613.9</v>
      </c>
      <c r="F255" s="244">
        <v>69610</v>
      </c>
      <c r="G255" s="244">
        <v>88701.8</v>
      </c>
      <c r="H255" s="244">
        <v>91958.7</v>
      </c>
      <c r="I255" s="244">
        <v>113400</v>
      </c>
      <c r="J255" s="244">
        <v>74600</v>
      </c>
      <c r="K255" s="244">
        <v>42509</v>
      </c>
      <c r="L255" s="244">
        <v>42214</v>
      </c>
      <c r="M255" s="244">
        <v>110725</v>
      </c>
      <c r="N255" s="244">
        <v>86576</v>
      </c>
      <c r="O255" s="244">
        <v>68790.399999999994</v>
      </c>
    </row>
    <row r="257" spans="1:16">
      <c r="A257" s="281"/>
      <c r="B257" s="242" t="s">
        <v>0</v>
      </c>
      <c r="C257" s="277">
        <f>C245+C255</f>
        <v>261714.30000000002</v>
      </c>
      <c r="D257" s="277">
        <f t="shared" ref="D257:O257" si="9">D245+D255</f>
        <v>267460.8</v>
      </c>
      <c r="E257" s="277">
        <f t="shared" si="9"/>
        <v>323831.8</v>
      </c>
      <c r="F257" s="277">
        <f t="shared" si="9"/>
        <v>338307.9</v>
      </c>
      <c r="G257" s="277">
        <f t="shared" si="9"/>
        <v>208360.40000000002</v>
      </c>
      <c r="H257" s="277">
        <f t="shared" si="9"/>
        <v>180838.09999999998</v>
      </c>
      <c r="I257" s="277">
        <f t="shared" si="9"/>
        <v>209511</v>
      </c>
      <c r="J257" s="277">
        <f t="shared" si="9"/>
        <v>203108</v>
      </c>
      <c r="K257" s="277">
        <f t="shared" si="9"/>
        <v>353587</v>
      </c>
      <c r="L257" s="277">
        <f t="shared" si="9"/>
        <v>365528</v>
      </c>
      <c r="M257" s="277">
        <f t="shared" si="9"/>
        <v>316483</v>
      </c>
      <c r="N257" s="277">
        <f t="shared" si="9"/>
        <v>236400</v>
      </c>
      <c r="O257" s="277">
        <f t="shared" si="9"/>
        <v>258012.79999999999</v>
      </c>
    </row>
    <row r="259" spans="1:16">
      <c r="A259" s="239" t="s">
        <v>161</v>
      </c>
      <c r="B259" s="304" t="s">
        <v>62</v>
      </c>
      <c r="C259" s="312"/>
      <c r="D259" s="312"/>
      <c r="E259" s="312"/>
      <c r="F259" s="312"/>
      <c r="I259" s="274"/>
      <c r="J259" s="274"/>
      <c r="K259" s="274"/>
      <c r="L259" s="274"/>
      <c r="M259" s="274"/>
      <c r="N259" s="274"/>
      <c r="O259" s="274"/>
      <c r="P259" s="274"/>
    </row>
    <row r="260" spans="1:16">
      <c r="A260" s="239" t="s">
        <v>123</v>
      </c>
      <c r="B260" s="287" t="s">
        <v>273</v>
      </c>
      <c r="C260" s="287" t="s">
        <v>276</v>
      </c>
      <c r="D260" s="287" t="s">
        <v>277</v>
      </c>
      <c r="E260" s="287" t="s">
        <v>279</v>
      </c>
      <c r="F260" s="287" t="s">
        <v>281</v>
      </c>
      <c r="I260" s="287" t="s">
        <v>284</v>
      </c>
      <c r="J260" s="287" t="s">
        <v>295</v>
      </c>
      <c r="K260" s="287" t="s">
        <v>299</v>
      </c>
      <c r="L260" s="287" t="s">
        <v>307</v>
      </c>
      <c r="M260" s="287" t="s">
        <v>309</v>
      </c>
      <c r="N260" s="287" t="s">
        <v>313</v>
      </c>
      <c r="O260" s="287" t="s">
        <v>316</v>
      </c>
      <c r="P260" s="287" t="s">
        <v>320</v>
      </c>
    </row>
    <row r="261" spans="1:16">
      <c r="A261" s="214" t="s">
        <v>31</v>
      </c>
      <c r="B261" s="286"/>
      <c r="C261" s="286"/>
      <c r="D261" s="286"/>
      <c r="E261" s="286"/>
      <c r="F261" s="286"/>
      <c r="I261" s="286"/>
      <c r="J261" s="286"/>
      <c r="K261" s="286"/>
      <c r="L261" s="286"/>
      <c r="M261" s="286"/>
      <c r="N261" s="286"/>
      <c r="O261" s="286"/>
      <c r="P261" s="285"/>
    </row>
    <row r="262" spans="1:16">
      <c r="A262" s="240" t="s">
        <v>166</v>
      </c>
      <c r="B262" s="215">
        <v>55.2966282378</v>
      </c>
      <c r="C262" s="215">
        <v>54.333319799999998</v>
      </c>
      <c r="D262" s="215">
        <v>44.3319517057</v>
      </c>
      <c r="E262" s="215">
        <v>50.296903697399998</v>
      </c>
      <c r="F262" s="215">
        <v>42.143515635299998</v>
      </c>
      <c r="I262" s="215">
        <v>24.623747891899999</v>
      </c>
      <c r="J262" s="215">
        <v>15.2646585274</v>
      </c>
      <c r="K262" s="215">
        <v>22.042028284800001</v>
      </c>
      <c r="L262" s="215">
        <v>36.538630534200003</v>
      </c>
      <c r="M262" s="215">
        <v>40.010839338799997</v>
      </c>
      <c r="N262" s="215">
        <v>35.719467202899999</v>
      </c>
      <c r="O262" s="215">
        <v>40.409313405900001</v>
      </c>
      <c r="P262" s="215">
        <v>35.633163170400003</v>
      </c>
    </row>
    <row r="263" spans="1:16">
      <c r="A263" s="240" t="s">
        <v>167</v>
      </c>
      <c r="B263" s="215">
        <v>31.411177049999999</v>
      </c>
      <c r="C263" s="215">
        <v>22.723224253800002</v>
      </c>
      <c r="D263" s="215">
        <v>14.034865488599999</v>
      </c>
      <c r="E263" s="215">
        <v>31.3201179428</v>
      </c>
      <c r="F263" s="215">
        <v>25.394216690099999</v>
      </c>
    </row>
    <row r="265" spans="1:16">
      <c r="C265" s="135" t="str">
        <f>MID(C267,6,1)</f>
        <v>O</v>
      </c>
      <c r="D265" s="135" t="str">
        <f t="shared" ref="D265:O265" si="10">MID(D267,6,1)</f>
        <v>N</v>
      </c>
      <c r="E265" s="135" t="str">
        <f t="shared" si="10"/>
        <v>D</v>
      </c>
      <c r="F265" s="135" t="str">
        <f t="shared" si="10"/>
        <v>E</v>
      </c>
      <c r="G265" s="135" t="str">
        <f t="shared" si="10"/>
        <v>F</v>
      </c>
      <c r="H265" s="135" t="str">
        <f t="shared" si="10"/>
        <v>M</v>
      </c>
      <c r="I265" s="135" t="str">
        <f t="shared" si="10"/>
        <v>A</v>
      </c>
      <c r="J265" s="135" t="str">
        <f t="shared" si="10"/>
        <v>M</v>
      </c>
      <c r="K265" s="135" t="str">
        <f t="shared" si="10"/>
        <v>J</v>
      </c>
      <c r="L265" s="135" t="str">
        <f t="shared" si="10"/>
        <v>J</v>
      </c>
      <c r="M265" s="135" t="str">
        <f t="shared" si="10"/>
        <v>A</v>
      </c>
      <c r="N265" s="135" t="str">
        <f t="shared" si="10"/>
        <v>S</v>
      </c>
      <c r="O265" s="135" t="str">
        <f t="shared" si="10"/>
        <v>O</v>
      </c>
    </row>
    <row r="266" spans="1:16">
      <c r="A266" s="214"/>
      <c r="B266" s="214" t="s">
        <v>31</v>
      </c>
      <c r="C266" s="298" t="s">
        <v>341</v>
      </c>
      <c r="D266" s="299"/>
      <c r="E266" s="299"/>
      <c r="F266" s="299"/>
      <c r="G266" s="299"/>
      <c r="H266" s="299"/>
      <c r="I266" s="299"/>
      <c r="J266" s="299"/>
      <c r="K266" s="299"/>
      <c r="L266" s="299"/>
      <c r="M266" s="299"/>
      <c r="N266" s="299"/>
      <c r="O266" s="299"/>
    </row>
    <row r="267" spans="1:16">
      <c r="A267" s="214"/>
      <c r="B267" s="239" t="s">
        <v>123</v>
      </c>
      <c r="C267" s="288" t="s">
        <v>273</v>
      </c>
      <c r="D267" s="288" t="s">
        <v>276</v>
      </c>
      <c r="E267" s="288" t="s">
        <v>277</v>
      </c>
      <c r="F267" s="288" t="s">
        <v>279</v>
      </c>
      <c r="G267" s="288" t="s">
        <v>281</v>
      </c>
      <c r="H267" s="288" t="s">
        <v>284</v>
      </c>
      <c r="I267" s="288" t="s">
        <v>295</v>
      </c>
      <c r="J267" s="288" t="s">
        <v>299</v>
      </c>
      <c r="K267" s="288" t="s">
        <v>307</v>
      </c>
      <c r="L267" s="288" t="s">
        <v>309</v>
      </c>
      <c r="M267" s="288" t="s">
        <v>313</v>
      </c>
      <c r="N267" s="288" t="s">
        <v>316</v>
      </c>
      <c r="O267" s="288" t="s">
        <v>320</v>
      </c>
    </row>
    <row r="268" spans="1:16">
      <c r="A268" s="214" t="s">
        <v>163</v>
      </c>
      <c r="B268" s="214" t="s">
        <v>164</v>
      </c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289"/>
    </row>
    <row r="269" spans="1:16">
      <c r="A269" s="303" t="s">
        <v>107</v>
      </c>
      <c r="B269" s="240" t="s">
        <v>109</v>
      </c>
      <c r="C269" s="241">
        <v>2142</v>
      </c>
      <c r="D269" s="241">
        <v>1990</v>
      </c>
      <c r="E269" s="241">
        <v>480</v>
      </c>
      <c r="F269" s="241">
        <v>8420</v>
      </c>
      <c r="G269" s="241">
        <v>555</v>
      </c>
      <c r="H269" s="241">
        <v>7260</v>
      </c>
      <c r="I269" s="241">
        <v>0</v>
      </c>
      <c r="J269" s="241">
        <v>2649.6</v>
      </c>
      <c r="K269" s="241">
        <v>3060</v>
      </c>
      <c r="L269" s="241">
        <v>3178</v>
      </c>
      <c r="M269" s="241">
        <v>1050</v>
      </c>
      <c r="N269" s="241">
        <v>10238</v>
      </c>
      <c r="O269" s="241">
        <v>0</v>
      </c>
    </row>
    <row r="270" spans="1:16">
      <c r="A270" s="295"/>
      <c r="B270" s="240" t="s">
        <v>25</v>
      </c>
      <c r="C270" s="241">
        <v>2403.6999999999998</v>
      </c>
      <c r="D270" s="241">
        <v>6178.7</v>
      </c>
      <c r="E270" s="241">
        <v>20442.599999999999</v>
      </c>
      <c r="F270" s="241">
        <v>30910.7</v>
      </c>
      <c r="G270" s="241">
        <v>10252.6</v>
      </c>
      <c r="H270" s="241">
        <v>20800.5</v>
      </c>
      <c r="I270" s="241">
        <v>9541.2999999999993</v>
      </c>
      <c r="J270" s="241">
        <v>9736.2000000000007</v>
      </c>
      <c r="K270" s="241">
        <v>15134.9</v>
      </c>
      <c r="L270" s="241">
        <v>12853.9</v>
      </c>
      <c r="M270" s="241">
        <v>63281</v>
      </c>
      <c r="N270" s="241">
        <v>128800.8</v>
      </c>
      <c r="O270" s="241">
        <v>110024.3</v>
      </c>
    </row>
    <row r="271" spans="1:16">
      <c r="A271" s="295"/>
      <c r="B271" s="240" t="s">
        <v>116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0</v>
      </c>
      <c r="O271" s="241">
        <v>0</v>
      </c>
    </row>
    <row r="272" spans="1:16">
      <c r="A272" s="295"/>
      <c r="B272" s="240" t="s">
        <v>110</v>
      </c>
      <c r="C272" s="241">
        <v>557.79999999999995</v>
      </c>
      <c r="D272" s="241">
        <v>123</v>
      </c>
      <c r="E272" s="241">
        <v>860.7</v>
      </c>
      <c r="F272" s="241">
        <v>268</v>
      </c>
      <c r="G272" s="241">
        <v>288.2</v>
      </c>
      <c r="H272" s="241">
        <v>100</v>
      </c>
      <c r="I272" s="241">
        <v>636</v>
      </c>
      <c r="J272" s="241">
        <v>1745.1</v>
      </c>
      <c r="K272" s="241">
        <v>2490.6999999999998</v>
      </c>
      <c r="L272" s="241">
        <v>133.1</v>
      </c>
      <c r="M272" s="241">
        <v>2200</v>
      </c>
      <c r="N272" s="241">
        <v>57.3</v>
      </c>
      <c r="O272" s="241">
        <v>262</v>
      </c>
    </row>
    <row r="273" spans="1:15">
      <c r="A273" s="295"/>
      <c r="B273" s="240" t="s">
        <v>119</v>
      </c>
      <c r="C273" s="241">
        <v>729</v>
      </c>
      <c r="D273" s="241">
        <v>256</v>
      </c>
      <c r="E273" s="241">
        <v>364.9</v>
      </c>
      <c r="F273" s="241">
        <v>0</v>
      </c>
      <c r="G273" s="241">
        <v>0</v>
      </c>
      <c r="H273" s="241">
        <v>224</v>
      </c>
      <c r="I273" s="241">
        <v>60</v>
      </c>
      <c r="J273" s="241">
        <v>0</v>
      </c>
      <c r="K273" s="241">
        <v>411.1</v>
      </c>
      <c r="L273" s="241">
        <v>0</v>
      </c>
      <c r="M273" s="241">
        <v>0</v>
      </c>
      <c r="N273" s="241">
        <v>1627</v>
      </c>
      <c r="O273" s="241">
        <v>0</v>
      </c>
    </row>
    <row r="274" spans="1:15">
      <c r="A274" s="295"/>
      <c r="B274" s="240" t="s">
        <v>113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295"/>
      <c r="B275" s="240" t="s">
        <v>21</v>
      </c>
      <c r="C275" s="241">
        <v>1220</v>
      </c>
      <c r="D275" s="241">
        <v>0</v>
      </c>
      <c r="E275" s="241">
        <v>0</v>
      </c>
      <c r="F275" s="241">
        <v>577.4</v>
      </c>
      <c r="G275" s="241">
        <v>0</v>
      </c>
      <c r="H275" s="241">
        <v>0</v>
      </c>
      <c r="I275" s="241">
        <v>0</v>
      </c>
      <c r="J275" s="241">
        <v>334.1</v>
      </c>
      <c r="K275" s="241">
        <v>0</v>
      </c>
      <c r="L275" s="241">
        <v>91.7</v>
      </c>
      <c r="M275" s="241">
        <v>188.1</v>
      </c>
      <c r="N275" s="241">
        <v>176.6</v>
      </c>
      <c r="O275" s="241">
        <v>225.4</v>
      </c>
    </row>
    <row r="276" spans="1:15">
      <c r="A276" s="295"/>
      <c r="B276" s="240" t="s">
        <v>117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0</v>
      </c>
    </row>
    <row r="277" spans="1:15">
      <c r="A277" s="295"/>
      <c r="B277" s="240" t="s">
        <v>114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295"/>
      <c r="B278" s="240" t="s">
        <v>115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295"/>
      <c r="B279" s="240" t="s">
        <v>112</v>
      </c>
      <c r="C279" s="241">
        <v>154.4</v>
      </c>
      <c r="D279" s="241">
        <v>528.79999999999995</v>
      </c>
      <c r="E279" s="241">
        <v>1941.3</v>
      </c>
      <c r="F279" s="241">
        <v>42.2</v>
      </c>
      <c r="G279" s="241">
        <v>841.9</v>
      </c>
      <c r="H279" s="241">
        <v>4781.3999999999996</v>
      </c>
      <c r="I279" s="241">
        <v>2816.9</v>
      </c>
      <c r="J279" s="241">
        <v>1316.2</v>
      </c>
      <c r="K279" s="241">
        <v>685.4</v>
      </c>
      <c r="L279" s="241">
        <v>0</v>
      </c>
      <c r="M279" s="241">
        <v>916.7</v>
      </c>
      <c r="N279" s="241">
        <v>209.8</v>
      </c>
      <c r="O279" s="241">
        <v>2701.6</v>
      </c>
    </row>
    <row r="280" spans="1:15">
      <c r="A280" s="296"/>
      <c r="B280" s="242" t="s">
        <v>0</v>
      </c>
      <c r="C280" s="244">
        <v>7206.9</v>
      </c>
      <c r="D280" s="244">
        <v>9076.5</v>
      </c>
      <c r="E280" s="244">
        <v>24089.5</v>
      </c>
      <c r="F280" s="244">
        <v>40218.300000000003</v>
      </c>
      <c r="G280" s="244">
        <v>11937.7</v>
      </c>
      <c r="H280" s="244">
        <v>33165.9</v>
      </c>
      <c r="I280" s="244">
        <v>13054.2</v>
      </c>
      <c r="J280" s="244">
        <v>15781.2</v>
      </c>
      <c r="K280" s="244">
        <v>21782.1</v>
      </c>
      <c r="L280" s="244">
        <v>16256.7</v>
      </c>
      <c r="M280" s="244">
        <v>67635.8</v>
      </c>
      <c r="N280" s="244">
        <v>141109.5</v>
      </c>
      <c r="O280" s="244">
        <v>113213.3</v>
      </c>
    </row>
    <row r="281" spans="1:15">
      <c r="A281" s="302" t="s">
        <v>111</v>
      </c>
      <c r="B281" s="240" t="s">
        <v>109</v>
      </c>
      <c r="C281" s="241">
        <v>274.3</v>
      </c>
      <c r="D281" s="241">
        <v>0</v>
      </c>
      <c r="E281" s="241">
        <v>0</v>
      </c>
      <c r="F281" s="241">
        <v>0</v>
      </c>
      <c r="G281" s="241">
        <v>0</v>
      </c>
      <c r="H281" s="241">
        <v>0</v>
      </c>
      <c r="I281" s="241">
        <v>0</v>
      </c>
      <c r="J281" s="241">
        <v>0</v>
      </c>
      <c r="K281" s="241">
        <v>0</v>
      </c>
      <c r="L281" s="241">
        <v>0</v>
      </c>
      <c r="M281" s="241">
        <v>0</v>
      </c>
      <c r="N281" s="241">
        <v>0</v>
      </c>
      <c r="O281" s="241">
        <v>0</v>
      </c>
    </row>
    <row r="282" spans="1:15">
      <c r="A282" s="295"/>
      <c r="B282" s="240" t="s">
        <v>25</v>
      </c>
      <c r="C282" s="241">
        <v>15310.9</v>
      </c>
      <c r="D282" s="241">
        <v>600</v>
      </c>
      <c r="E282" s="241">
        <v>0</v>
      </c>
      <c r="F282" s="241">
        <v>0</v>
      </c>
      <c r="G282" s="241">
        <v>0</v>
      </c>
      <c r="H282" s="241">
        <v>0</v>
      </c>
      <c r="I282" s="241">
        <v>0</v>
      </c>
      <c r="J282" s="241">
        <v>520</v>
      </c>
      <c r="K282" s="241">
        <v>8320.6</v>
      </c>
      <c r="L282" s="241">
        <v>3526.6</v>
      </c>
      <c r="M282" s="241">
        <v>6424.4</v>
      </c>
      <c r="N282" s="241">
        <v>4734</v>
      </c>
      <c r="O282" s="241">
        <v>1002.5</v>
      </c>
    </row>
    <row r="283" spans="1:15">
      <c r="A283" s="295"/>
      <c r="B283" s="240" t="s">
        <v>116</v>
      </c>
      <c r="C283" s="241">
        <v>2199.5</v>
      </c>
      <c r="D283" s="241">
        <v>290.89999999999998</v>
      </c>
      <c r="E283" s="241">
        <v>66</v>
      </c>
      <c r="F283" s="241">
        <v>13.8</v>
      </c>
      <c r="G283" s="241">
        <v>0</v>
      </c>
      <c r="H283" s="241">
        <v>132.9</v>
      </c>
      <c r="I283" s="241">
        <v>0</v>
      </c>
      <c r="J283" s="241">
        <v>398.7</v>
      </c>
      <c r="K283" s="241">
        <v>532.5</v>
      </c>
      <c r="L283" s="241">
        <v>2136.1</v>
      </c>
      <c r="M283" s="241">
        <v>1632</v>
      </c>
      <c r="N283" s="241">
        <v>2991.4</v>
      </c>
      <c r="O283" s="241">
        <v>2760.3</v>
      </c>
    </row>
    <row r="284" spans="1:15">
      <c r="A284" s="295"/>
      <c r="B284" s="240" t="s">
        <v>110</v>
      </c>
      <c r="C284" s="241">
        <v>5123.2</v>
      </c>
      <c r="D284" s="241">
        <v>6727.7</v>
      </c>
      <c r="E284" s="241">
        <v>13968.1</v>
      </c>
      <c r="F284" s="241">
        <v>11574.5</v>
      </c>
      <c r="G284" s="241">
        <v>11798.2</v>
      </c>
      <c r="H284" s="241">
        <v>10732.4</v>
      </c>
      <c r="I284" s="241">
        <v>6311.1</v>
      </c>
      <c r="J284" s="241">
        <v>3208</v>
      </c>
      <c r="K284" s="241">
        <v>1797.8</v>
      </c>
      <c r="L284" s="241">
        <v>3089.7</v>
      </c>
      <c r="M284" s="241">
        <v>6769.5</v>
      </c>
      <c r="N284" s="241">
        <v>5082.6000000000004</v>
      </c>
      <c r="O284" s="241">
        <v>30103.8</v>
      </c>
    </row>
    <row r="285" spans="1:15">
      <c r="A285" s="295"/>
      <c r="B285" s="240" t="s">
        <v>113</v>
      </c>
      <c r="C285" s="241">
        <v>7894.3</v>
      </c>
      <c r="D285" s="241">
        <v>1121.0999999999999</v>
      </c>
      <c r="E285" s="241">
        <v>1844.7</v>
      </c>
      <c r="F285" s="241">
        <v>1255.7</v>
      </c>
      <c r="G285" s="241">
        <v>360.9</v>
      </c>
      <c r="H285" s="241">
        <v>5808.3</v>
      </c>
      <c r="I285" s="241">
        <v>429.6</v>
      </c>
      <c r="J285" s="241">
        <v>12396.3</v>
      </c>
      <c r="K285" s="241">
        <v>27746.3</v>
      </c>
      <c r="L285" s="241">
        <v>32962.800000000003</v>
      </c>
      <c r="M285" s="241">
        <v>32546.799999999999</v>
      </c>
      <c r="N285" s="241">
        <v>34919.199999999997</v>
      </c>
      <c r="O285" s="241">
        <v>35894</v>
      </c>
    </row>
    <row r="286" spans="1:15">
      <c r="A286" s="295"/>
      <c r="B286" s="240" t="s">
        <v>21</v>
      </c>
      <c r="C286" s="241">
        <v>324.39999999999998</v>
      </c>
      <c r="D286" s="241">
        <v>272.60000000000002</v>
      </c>
      <c r="E286" s="241">
        <v>7917.4</v>
      </c>
      <c r="F286" s="241">
        <v>0</v>
      </c>
      <c r="G286" s="241">
        <v>0</v>
      </c>
      <c r="H286" s="241">
        <v>350.7</v>
      </c>
      <c r="I286" s="241">
        <v>2</v>
      </c>
      <c r="J286" s="241">
        <v>41.7</v>
      </c>
      <c r="K286" s="241">
        <v>146.69999999999999</v>
      </c>
      <c r="L286" s="241">
        <v>457</v>
      </c>
      <c r="M286" s="241">
        <v>161.30000000000001</v>
      </c>
      <c r="N286" s="241">
        <v>974.6</v>
      </c>
      <c r="O286" s="241">
        <v>414.2</v>
      </c>
    </row>
    <row r="287" spans="1:15">
      <c r="A287" s="295"/>
      <c r="B287" s="240" t="s">
        <v>121</v>
      </c>
      <c r="C287" s="241">
        <v>0</v>
      </c>
      <c r="D287" s="241">
        <v>0</v>
      </c>
      <c r="E287" s="241">
        <v>0</v>
      </c>
      <c r="F287" s="241">
        <v>313</v>
      </c>
      <c r="G287" s="241">
        <v>0</v>
      </c>
      <c r="H287" s="241">
        <v>0</v>
      </c>
      <c r="I287" s="241">
        <v>0</v>
      </c>
      <c r="J287" s="241">
        <v>0</v>
      </c>
      <c r="K287" s="241">
        <v>0</v>
      </c>
      <c r="L287" s="241">
        <v>0</v>
      </c>
      <c r="M287" s="241">
        <v>0</v>
      </c>
      <c r="N287" s="241">
        <v>0</v>
      </c>
      <c r="O287" s="241">
        <v>0</v>
      </c>
    </row>
    <row r="288" spans="1:15">
      <c r="A288" s="295"/>
      <c r="B288" s="240" t="s">
        <v>117</v>
      </c>
      <c r="C288" s="241">
        <v>365.6</v>
      </c>
      <c r="D288" s="241">
        <v>7.6</v>
      </c>
      <c r="E288" s="241">
        <v>0</v>
      </c>
      <c r="F288" s="241">
        <v>0</v>
      </c>
      <c r="G288" s="241">
        <v>0</v>
      </c>
      <c r="H288" s="241">
        <v>98.7</v>
      </c>
      <c r="I288" s="241">
        <v>0</v>
      </c>
      <c r="J288" s="241">
        <v>256.7</v>
      </c>
      <c r="K288" s="241">
        <v>300.2</v>
      </c>
      <c r="L288" s="241">
        <v>1325.6</v>
      </c>
      <c r="M288" s="241">
        <v>1318.2</v>
      </c>
      <c r="N288" s="241">
        <v>1593</v>
      </c>
      <c r="O288" s="241">
        <v>1401.5</v>
      </c>
    </row>
    <row r="289" spans="1:17">
      <c r="A289" s="295"/>
      <c r="B289" s="240" t="s">
        <v>122</v>
      </c>
      <c r="C289" s="241">
        <v>0</v>
      </c>
      <c r="D289" s="241">
        <v>12.5</v>
      </c>
      <c r="E289" s="241">
        <v>0</v>
      </c>
      <c r="F289" s="241">
        <v>0</v>
      </c>
      <c r="G289" s="241">
        <v>0</v>
      </c>
      <c r="H289" s="241">
        <v>0</v>
      </c>
      <c r="I289" s="241">
        <v>0</v>
      </c>
      <c r="J289" s="241">
        <v>0</v>
      </c>
      <c r="K289" s="241">
        <v>0</v>
      </c>
      <c r="L289" s="241">
        <v>0</v>
      </c>
      <c r="M289" s="241">
        <v>30.1</v>
      </c>
      <c r="N289" s="241">
        <v>0</v>
      </c>
      <c r="O289" s="241">
        <v>0</v>
      </c>
    </row>
    <row r="290" spans="1:17">
      <c r="A290" s="295"/>
      <c r="B290" s="240" t="s">
        <v>114</v>
      </c>
      <c r="C290" s="241">
        <v>33.299999999999997</v>
      </c>
      <c r="D290" s="241">
        <v>0.4</v>
      </c>
      <c r="E290" s="241">
        <v>0</v>
      </c>
      <c r="F290" s="241">
        <v>0</v>
      </c>
      <c r="G290" s="241">
        <v>0</v>
      </c>
      <c r="H290" s="241">
        <v>2.1</v>
      </c>
      <c r="I290" s="241">
        <v>0</v>
      </c>
      <c r="J290" s="241">
        <v>0.8</v>
      </c>
      <c r="K290" s="241">
        <v>250.5</v>
      </c>
      <c r="L290" s="241">
        <v>38.1</v>
      </c>
      <c r="M290" s="241">
        <v>404.6</v>
      </c>
      <c r="N290" s="241">
        <v>127.6</v>
      </c>
      <c r="O290" s="241">
        <v>44.9</v>
      </c>
    </row>
    <row r="291" spans="1:17">
      <c r="A291" s="295"/>
      <c r="B291" s="240" t="s">
        <v>115</v>
      </c>
      <c r="C291" s="241">
        <v>39.299999999999997</v>
      </c>
      <c r="D291" s="241">
        <v>0</v>
      </c>
      <c r="E291" s="241">
        <v>0</v>
      </c>
      <c r="F291" s="241">
        <v>0</v>
      </c>
      <c r="G291" s="241">
        <v>0</v>
      </c>
      <c r="H291" s="241">
        <v>0</v>
      </c>
      <c r="I291" s="241">
        <v>0</v>
      </c>
      <c r="J291" s="241">
        <v>0</v>
      </c>
      <c r="K291" s="241">
        <v>1972.6</v>
      </c>
      <c r="L291" s="241">
        <v>15</v>
      </c>
      <c r="M291" s="241">
        <v>2687.6</v>
      </c>
      <c r="N291" s="241">
        <v>75.400000000000006</v>
      </c>
      <c r="O291" s="241">
        <v>0</v>
      </c>
    </row>
    <row r="292" spans="1:17">
      <c r="A292" s="295"/>
      <c r="B292" s="240" t="s">
        <v>112</v>
      </c>
      <c r="C292" s="241">
        <v>259.10000000000002</v>
      </c>
      <c r="D292" s="241">
        <v>84</v>
      </c>
      <c r="E292" s="241">
        <v>46.9</v>
      </c>
      <c r="F292" s="241">
        <v>240.1</v>
      </c>
      <c r="G292" s="241">
        <v>358.6</v>
      </c>
      <c r="H292" s="241">
        <v>152.1</v>
      </c>
      <c r="I292" s="241">
        <v>1049.5</v>
      </c>
      <c r="J292" s="241">
        <v>340.4</v>
      </c>
      <c r="K292" s="241">
        <v>219.1</v>
      </c>
      <c r="L292" s="241">
        <v>0</v>
      </c>
      <c r="M292" s="241">
        <v>0</v>
      </c>
      <c r="N292" s="241">
        <v>456.5</v>
      </c>
      <c r="O292" s="241">
        <v>291.7</v>
      </c>
      <c r="Q292" s="60">
        <f>(SUMIF(B269:B295,"Total",O269:O295)/SUMIF(B269:B295,"Total",C269:C295)-1)*100</f>
        <v>374.30798241388851</v>
      </c>
    </row>
    <row r="293" spans="1:17">
      <c r="A293" s="296"/>
      <c r="B293" s="242" t="s">
        <v>0</v>
      </c>
      <c r="C293" s="244">
        <v>31823.9</v>
      </c>
      <c r="D293" s="244">
        <v>9116.7999999999993</v>
      </c>
      <c r="E293" s="244">
        <v>23843.1</v>
      </c>
      <c r="F293" s="244">
        <v>13397.1</v>
      </c>
      <c r="G293" s="244">
        <v>12517.7</v>
      </c>
      <c r="H293" s="244">
        <v>17277.2</v>
      </c>
      <c r="I293" s="244">
        <v>7792.2</v>
      </c>
      <c r="J293" s="244">
        <v>17162.599999999999</v>
      </c>
      <c r="K293" s="244">
        <v>41286.300000000003</v>
      </c>
      <c r="L293" s="244">
        <v>43550.9</v>
      </c>
      <c r="M293" s="244">
        <v>51974.5</v>
      </c>
      <c r="N293" s="244">
        <v>50954.3</v>
      </c>
      <c r="O293" s="244">
        <v>71912.899999999994</v>
      </c>
    </row>
    <row r="299" spans="1:17">
      <c r="A299" s="261" t="s">
        <v>266</v>
      </c>
      <c r="B299" s="261" t="s">
        <v>16</v>
      </c>
      <c r="C299" s="262"/>
      <c r="D299" s="262"/>
      <c r="E299" s="262"/>
      <c r="F299" s="262"/>
      <c r="G299" s="262"/>
      <c r="H299" s="262"/>
      <c r="I299" s="262"/>
    </row>
    <row r="300" spans="1:17">
      <c r="A300" s="214" t="s">
        <v>31</v>
      </c>
      <c r="B300" s="304" t="s">
        <v>302</v>
      </c>
      <c r="C300" s="305"/>
      <c r="D300" s="305"/>
      <c r="E300" s="305"/>
      <c r="F300" s="305"/>
      <c r="G300" s="305"/>
      <c r="H300" s="305"/>
      <c r="I300" s="305"/>
    </row>
    <row r="301" spans="1:17">
      <c r="A301" s="214" t="s">
        <v>123</v>
      </c>
      <c r="B301" s="287" t="s">
        <v>284</v>
      </c>
      <c r="C301" s="287" t="s">
        <v>295</v>
      </c>
      <c r="D301" s="287" t="s">
        <v>299</v>
      </c>
      <c r="E301" s="287" t="s">
        <v>307</v>
      </c>
      <c r="F301" s="287" t="s">
        <v>309</v>
      </c>
      <c r="G301" s="287" t="s">
        <v>313</v>
      </c>
      <c r="H301" s="287" t="s">
        <v>316</v>
      </c>
      <c r="I301" s="287" t="s">
        <v>320</v>
      </c>
    </row>
    <row r="302" spans="1:17">
      <c r="A302" s="262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  <c r="H302" s="215">
        <v>40.409313405900001</v>
      </c>
      <c r="I302" s="215">
        <v>35.633163170400003</v>
      </c>
    </row>
    <row r="306" spans="1:14">
      <c r="B306" s="135" t="str">
        <f>MID(B308,6,1)</f>
        <v>O</v>
      </c>
      <c r="C306" s="135" t="str">
        <f t="shared" ref="C306:N306" si="11">MID(C308,6,1)</f>
        <v>N</v>
      </c>
      <c r="D306" s="135" t="str">
        <f t="shared" si="11"/>
        <v>D</v>
      </c>
      <c r="E306" s="135" t="str">
        <f t="shared" si="11"/>
        <v>E</v>
      </c>
      <c r="F306" s="135" t="str">
        <f t="shared" si="11"/>
        <v>F</v>
      </c>
      <c r="G306" s="135" t="str">
        <f t="shared" si="11"/>
        <v>M</v>
      </c>
      <c r="H306" s="135" t="str">
        <f t="shared" si="11"/>
        <v>A</v>
      </c>
      <c r="I306" s="135" t="str">
        <f t="shared" si="11"/>
        <v>M</v>
      </c>
      <c r="J306" s="135" t="str">
        <f t="shared" si="11"/>
        <v>J</v>
      </c>
      <c r="K306" s="135" t="str">
        <f t="shared" si="11"/>
        <v>J</v>
      </c>
      <c r="L306" s="135" t="str">
        <f t="shared" si="11"/>
        <v>A</v>
      </c>
      <c r="M306" s="135" t="str">
        <f t="shared" si="11"/>
        <v>S</v>
      </c>
      <c r="N306" s="135" t="str">
        <f t="shared" si="11"/>
        <v>O</v>
      </c>
    </row>
    <row r="307" spans="1:14">
      <c r="A307" s="214" t="s">
        <v>31</v>
      </c>
      <c r="B307" s="298" t="s">
        <v>330</v>
      </c>
      <c r="C307" s="299"/>
      <c r="D307" s="299"/>
      <c r="E307" s="299"/>
      <c r="F307" s="299"/>
      <c r="G307" s="299"/>
      <c r="H307" s="299"/>
      <c r="I307" s="299"/>
      <c r="J307" s="299"/>
      <c r="K307" s="299"/>
      <c r="L307" s="299"/>
      <c r="M307" s="299"/>
      <c r="N307" s="299"/>
    </row>
    <row r="308" spans="1:14">
      <c r="A308" s="239" t="s">
        <v>123</v>
      </c>
      <c r="B308" s="288" t="s">
        <v>273</v>
      </c>
      <c r="C308" s="288" t="s">
        <v>276</v>
      </c>
      <c r="D308" s="288" t="s">
        <v>277</v>
      </c>
      <c r="E308" s="288" t="s">
        <v>279</v>
      </c>
      <c r="F308" s="288" t="s">
        <v>281</v>
      </c>
      <c r="G308" s="288" t="s">
        <v>284</v>
      </c>
      <c r="H308" s="288" t="s">
        <v>295</v>
      </c>
      <c r="I308" s="288" t="s">
        <v>299</v>
      </c>
      <c r="J308" s="288" t="s">
        <v>307</v>
      </c>
      <c r="K308" s="288" t="s">
        <v>309</v>
      </c>
      <c r="L308" s="288" t="s">
        <v>313</v>
      </c>
      <c r="M308" s="288" t="s">
        <v>316</v>
      </c>
      <c r="N308" s="288" t="s">
        <v>320</v>
      </c>
    </row>
    <row r="309" spans="1:14">
      <c r="A309" s="214" t="s">
        <v>164</v>
      </c>
      <c r="B309" s="289"/>
      <c r="C309" s="289"/>
      <c r="D309" s="289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</row>
    <row r="310" spans="1:14">
      <c r="A310" s="240" t="s">
        <v>118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109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25712.6</v>
      </c>
      <c r="C312" s="241">
        <v>8552.1</v>
      </c>
      <c r="D312" s="241">
        <v>0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116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110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119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113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120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121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108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117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122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114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115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112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5">
      <c r="B340" s="155" t="s">
        <v>183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300" t="s">
        <v>21</v>
      </c>
      <c r="D341" s="300" t="s">
        <v>44</v>
      </c>
      <c r="E341" s="300" t="s">
        <v>45</v>
      </c>
      <c r="F341" s="300" t="s">
        <v>46</v>
      </c>
      <c r="G341" s="300" t="s">
        <v>25</v>
      </c>
      <c r="H341" s="300" t="s">
        <v>47</v>
      </c>
      <c r="I341" s="300" t="s">
        <v>48</v>
      </c>
      <c r="J341" s="300" t="s">
        <v>49</v>
      </c>
    </row>
    <row r="342" spans="1:10">
      <c r="A342" s="17"/>
      <c r="B342" s="17"/>
      <c r="C342" s="301"/>
      <c r="D342" s="301"/>
      <c r="E342" s="301"/>
      <c r="F342" s="301"/>
      <c r="G342" s="301"/>
      <c r="H342" s="301"/>
      <c r="I342" s="301"/>
      <c r="J342" s="301"/>
    </row>
    <row r="343" spans="1:10">
      <c r="A343" s="152" t="s">
        <v>11</v>
      </c>
      <c r="B343" s="18" t="s">
        <v>274</v>
      </c>
      <c r="C343" s="54">
        <v>34.791386271870792</v>
      </c>
      <c r="D343" s="54">
        <v>1.9515477792732168</v>
      </c>
      <c r="E343" s="54">
        <v>0</v>
      </c>
      <c r="F343" s="54">
        <v>0</v>
      </c>
      <c r="G343" s="54">
        <v>25.011215791834907</v>
      </c>
      <c r="H343" s="54">
        <v>12.24764468371467</v>
      </c>
      <c r="I343" s="55">
        <v>0</v>
      </c>
      <c r="J343" s="58">
        <v>25.998205473306417</v>
      </c>
    </row>
    <row r="344" spans="1:10">
      <c r="A344" s="152" t="s">
        <v>12</v>
      </c>
      <c r="B344" s="18" t="s">
        <v>275</v>
      </c>
      <c r="C344" s="54">
        <v>34.979137691237838</v>
      </c>
      <c r="D344" s="54">
        <v>4.9374130737134907</v>
      </c>
      <c r="E344" s="54">
        <v>0</v>
      </c>
      <c r="F344" s="54">
        <v>0</v>
      </c>
      <c r="G344" s="54">
        <v>22.021325915623549</v>
      </c>
      <c r="H344" s="54">
        <v>3.8247566063977745</v>
      </c>
      <c r="I344" s="55">
        <v>0</v>
      </c>
      <c r="J344" s="58">
        <v>34.237366713027356</v>
      </c>
    </row>
    <row r="345" spans="1:10">
      <c r="A345" s="152" t="s">
        <v>13</v>
      </c>
      <c r="B345" s="18" t="s">
        <v>278</v>
      </c>
      <c r="C345" s="54">
        <v>30.327501121579175</v>
      </c>
      <c r="D345" s="54">
        <v>11.372812920592194</v>
      </c>
      <c r="E345" s="54">
        <v>0</v>
      </c>
      <c r="F345" s="54">
        <v>0.26917900403768508</v>
      </c>
      <c r="G345" s="54">
        <v>16.778824585015702</v>
      </c>
      <c r="H345" s="54">
        <v>6.9986541049798108</v>
      </c>
      <c r="I345" s="55">
        <v>0</v>
      </c>
      <c r="J345" s="58">
        <v>34.253028263795429</v>
      </c>
    </row>
    <row r="346" spans="1:10">
      <c r="A346" s="152" t="s">
        <v>5</v>
      </c>
      <c r="B346" s="18" t="s">
        <v>280</v>
      </c>
      <c r="C346" s="54">
        <v>41.004934948407353</v>
      </c>
      <c r="D346" s="54">
        <v>7.2005383580080755</v>
      </c>
      <c r="E346" s="54">
        <v>0</v>
      </c>
      <c r="F346" s="54">
        <v>0.13458950201884254</v>
      </c>
      <c r="G346" s="54">
        <v>21.220278151637505</v>
      </c>
      <c r="H346" s="54">
        <v>4.419021982951997</v>
      </c>
      <c r="I346" s="55">
        <v>0</v>
      </c>
      <c r="J346" s="58">
        <v>26.020637056976227</v>
      </c>
    </row>
    <row r="347" spans="1:10">
      <c r="A347" s="152" t="s">
        <v>6</v>
      </c>
      <c r="B347" s="18" t="s">
        <v>282</v>
      </c>
      <c r="C347" s="54">
        <v>50.287769784172667</v>
      </c>
      <c r="D347" s="54">
        <v>5.7074340527577938</v>
      </c>
      <c r="E347" s="54">
        <v>0</v>
      </c>
      <c r="F347" s="54">
        <v>0</v>
      </c>
      <c r="G347" s="54">
        <v>19.784172661870503</v>
      </c>
      <c r="H347" s="54">
        <v>5.8273381294964031</v>
      </c>
      <c r="I347" s="55">
        <v>0</v>
      </c>
      <c r="J347" s="58">
        <v>18.393285371702635</v>
      </c>
    </row>
    <row r="348" spans="1:10">
      <c r="A348" s="152" t="s">
        <v>7</v>
      </c>
      <c r="B348" s="18" t="s">
        <v>289</v>
      </c>
      <c r="C348" s="54">
        <v>49.202605570530096</v>
      </c>
      <c r="D348" s="54">
        <v>6.7273135669362079</v>
      </c>
      <c r="E348" s="54">
        <v>0</v>
      </c>
      <c r="F348" s="54">
        <v>0</v>
      </c>
      <c r="G348" s="54">
        <v>11.983378256963164</v>
      </c>
      <c r="H348" s="54">
        <v>0.53908355795148255</v>
      </c>
      <c r="I348" s="55">
        <v>0</v>
      </c>
      <c r="J348" s="58">
        <v>31.547619047619047</v>
      </c>
    </row>
    <row r="349" spans="1:10">
      <c r="A349" s="152" t="s">
        <v>8</v>
      </c>
      <c r="B349" s="18" t="s">
        <v>294</v>
      </c>
      <c r="C349" s="54">
        <v>36.555401019935104</v>
      </c>
      <c r="D349" s="54">
        <v>9.8748261474269814</v>
      </c>
      <c r="E349" s="54">
        <v>0</v>
      </c>
      <c r="F349" s="54">
        <v>0</v>
      </c>
      <c r="G349" s="54">
        <v>8.1363004172461757</v>
      </c>
      <c r="H349" s="54">
        <v>2.8975428836346779</v>
      </c>
      <c r="I349" s="55">
        <v>0</v>
      </c>
      <c r="J349" s="58">
        <v>42.535929531757063</v>
      </c>
    </row>
    <row r="350" spans="1:10">
      <c r="A350" s="152" t="s">
        <v>7</v>
      </c>
      <c r="B350" s="18" t="s">
        <v>300</v>
      </c>
      <c r="C350" s="54">
        <v>49.282189322566175</v>
      </c>
      <c r="D350" s="54">
        <v>10.206370569762226</v>
      </c>
      <c r="E350" s="54">
        <v>0</v>
      </c>
      <c r="F350" s="54">
        <v>0</v>
      </c>
      <c r="G350" s="54">
        <v>11.081202332884702</v>
      </c>
      <c r="H350" s="54">
        <v>0.13458950201884254</v>
      </c>
      <c r="I350" s="55">
        <v>0</v>
      </c>
      <c r="J350" s="58">
        <v>29.295648272768055</v>
      </c>
    </row>
    <row r="351" spans="1:10">
      <c r="A351" s="152" t="s">
        <v>9</v>
      </c>
      <c r="B351" s="18" t="s">
        <v>308</v>
      </c>
      <c r="C351" s="54">
        <v>45.155308298562815</v>
      </c>
      <c r="D351" s="54">
        <v>5.8878071395456644</v>
      </c>
      <c r="E351" s="54">
        <v>0</v>
      </c>
      <c r="F351" s="54">
        <v>0</v>
      </c>
      <c r="G351" s="54">
        <v>26.402410755679185</v>
      </c>
      <c r="H351" s="54">
        <v>0</v>
      </c>
      <c r="I351" s="55">
        <v>0</v>
      </c>
      <c r="J351" s="58">
        <v>22.554473806212336</v>
      </c>
    </row>
    <row r="352" spans="1:10">
      <c r="A352" s="152" t="s">
        <v>9</v>
      </c>
      <c r="B352" s="247" t="s">
        <v>310</v>
      </c>
      <c r="C352" s="54">
        <v>33.804396590399278</v>
      </c>
      <c r="D352" s="54">
        <v>3.4768954688200986</v>
      </c>
      <c r="E352" s="54">
        <v>0</v>
      </c>
      <c r="F352" s="54">
        <v>0</v>
      </c>
      <c r="G352" s="54">
        <v>42.687303723642891</v>
      </c>
      <c r="H352" s="54">
        <v>1.6823687752355316</v>
      </c>
      <c r="I352" s="54">
        <v>0</v>
      </c>
      <c r="J352" s="54">
        <v>18.349035441902199</v>
      </c>
    </row>
    <row r="353" spans="1:15">
      <c r="A353" s="152" t="s">
        <v>8</v>
      </c>
      <c r="B353" s="247" t="s">
        <v>314</v>
      </c>
      <c r="C353" s="54">
        <v>34.656796769851951</v>
      </c>
      <c r="D353" s="54">
        <v>5.3835800807537009</v>
      </c>
      <c r="E353" s="54">
        <v>0</v>
      </c>
      <c r="F353" s="54">
        <v>0</v>
      </c>
      <c r="G353" s="54">
        <v>29.138627187079408</v>
      </c>
      <c r="H353" s="54">
        <v>4.9125168236877519</v>
      </c>
      <c r="I353" s="54">
        <v>0</v>
      </c>
      <c r="J353" s="54">
        <v>25.90847913862719</v>
      </c>
    </row>
    <row r="354" spans="1:15">
      <c r="A354" s="152" t="s">
        <v>10</v>
      </c>
      <c r="B354" s="247" t="s">
        <v>317</v>
      </c>
      <c r="C354" s="54">
        <v>36.833565136764022</v>
      </c>
      <c r="D354" s="54">
        <v>9.4112192860454336</v>
      </c>
      <c r="E354" s="54">
        <v>0</v>
      </c>
      <c r="F354" s="54">
        <v>0.41724617524339358</v>
      </c>
      <c r="G354" s="54">
        <v>25.19703291608716</v>
      </c>
      <c r="H354" s="54">
        <v>5.563282336578582</v>
      </c>
      <c r="I354" s="54">
        <v>0</v>
      </c>
      <c r="J354" s="54">
        <v>22.577654149281408</v>
      </c>
    </row>
    <row r="355" spans="1:15">
      <c r="A355" s="153" t="s">
        <v>11</v>
      </c>
      <c r="B355" s="56" t="s">
        <v>323</v>
      </c>
      <c r="C355" s="57">
        <v>37.449664429530202</v>
      </c>
      <c r="D355" s="57">
        <v>7.852348993288591</v>
      </c>
      <c r="E355" s="57">
        <v>0</v>
      </c>
      <c r="F355" s="57">
        <v>0</v>
      </c>
      <c r="G355" s="57">
        <v>19.105145413870243</v>
      </c>
      <c r="H355" s="57">
        <v>1.319910514541387</v>
      </c>
      <c r="I355" s="57">
        <v>0</v>
      </c>
      <c r="J355" s="57">
        <v>34.272930648769581</v>
      </c>
    </row>
    <row r="360" spans="1:15">
      <c r="A360" s="214"/>
      <c r="B360" s="214" t="s">
        <v>123</v>
      </c>
      <c r="C360" s="288" t="s">
        <v>273</v>
      </c>
      <c r="D360" s="288" t="s">
        <v>276</v>
      </c>
      <c r="E360" s="288" t="s">
        <v>277</v>
      </c>
      <c r="F360" s="288" t="s">
        <v>279</v>
      </c>
      <c r="G360" s="288" t="s">
        <v>281</v>
      </c>
      <c r="H360" s="288" t="s">
        <v>284</v>
      </c>
      <c r="I360" s="288" t="s">
        <v>295</v>
      </c>
      <c r="J360" s="288" t="s">
        <v>299</v>
      </c>
      <c r="K360" s="288" t="s">
        <v>307</v>
      </c>
      <c r="L360" s="288" t="s">
        <v>309</v>
      </c>
      <c r="M360" s="288" t="s">
        <v>313</v>
      </c>
      <c r="N360" s="288" t="s">
        <v>316</v>
      </c>
      <c r="O360" s="288" t="s">
        <v>320</v>
      </c>
    </row>
    <row r="361" spans="1:15">
      <c r="A361" s="214"/>
      <c r="B361" s="214" t="s">
        <v>31</v>
      </c>
      <c r="C361" s="288" t="s">
        <v>338</v>
      </c>
      <c r="D361" s="288" t="s">
        <v>338</v>
      </c>
      <c r="E361" s="288" t="s">
        <v>338</v>
      </c>
      <c r="F361" s="288" t="s">
        <v>338</v>
      </c>
      <c r="G361" s="288" t="s">
        <v>338</v>
      </c>
      <c r="H361" s="288" t="s">
        <v>338</v>
      </c>
      <c r="I361" s="288" t="s">
        <v>338</v>
      </c>
      <c r="J361" s="288" t="s">
        <v>338</v>
      </c>
      <c r="K361" s="288" t="s">
        <v>338</v>
      </c>
      <c r="L361" s="288" t="s">
        <v>338</v>
      </c>
      <c r="M361" s="288" t="s">
        <v>338</v>
      </c>
      <c r="N361" s="288" t="s">
        <v>338</v>
      </c>
      <c r="O361" s="288" t="s">
        <v>338</v>
      </c>
    </row>
    <row r="362" spans="1:15">
      <c r="A362" s="214" t="s">
        <v>163</v>
      </c>
      <c r="B362" s="214" t="s">
        <v>266</v>
      </c>
      <c r="C362" s="289"/>
      <c r="D362" s="289"/>
      <c r="E362" s="289"/>
      <c r="F362" s="289"/>
      <c r="G362" s="289"/>
      <c r="H362" s="289"/>
      <c r="I362" s="289"/>
      <c r="J362" s="289"/>
      <c r="K362" s="289"/>
      <c r="L362" s="289"/>
      <c r="M362" s="289"/>
      <c r="N362" s="289"/>
      <c r="O362" s="289"/>
    </row>
    <row r="363" spans="1:15">
      <c r="A363" s="297" t="s">
        <v>107</v>
      </c>
      <c r="B363" s="240" t="s">
        <v>260</v>
      </c>
      <c r="C363" s="215">
        <v>94.939291769700006</v>
      </c>
      <c r="D363" s="215">
        <v>79.583340354699999</v>
      </c>
      <c r="E363" s="215">
        <v>70.783519491299998</v>
      </c>
      <c r="F363" s="215">
        <v>82.571699077999995</v>
      </c>
      <c r="G363" s="215">
        <v>74.016771199499999</v>
      </c>
      <c r="H363" s="215">
        <v>69.328448760599997</v>
      </c>
      <c r="I363" s="215">
        <v>70.477766133000003</v>
      </c>
      <c r="J363" s="215">
        <v>66.470122552199996</v>
      </c>
      <c r="K363" s="215">
        <v>72.682289687999997</v>
      </c>
      <c r="L363" s="215">
        <v>77.2642985313</v>
      </c>
      <c r="M363" s="215">
        <v>83.621371904900002</v>
      </c>
      <c r="N363" s="215">
        <v>76.806715394700007</v>
      </c>
      <c r="O363" s="215">
        <v>75.506191159099998</v>
      </c>
    </row>
    <row r="364" spans="1:15">
      <c r="A364" s="295"/>
      <c r="B364" s="240" t="s">
        <v>261</v>
      </c>
      <c r="C364" s="215">
        <v>7.1356989842000003</v>
      </c>
      <c r="D364" s="215">
        <v>10.1362816848</v>
      </c>
      <c r="E364" s="215">
        <v>14.1765375159</v>
      </c>
      <c r="F364" s="215">
        <v>7.221390092</v>
      </c>
      <c r="G364" s="215">
        <v>7.5081212252</v>
      </c>
      <c r="H364" s="215">
        <v>7.6719758948000001</v>
      </c>
      <c r="I364" s="215">
        <v>8.2256635420999995</v>
      </c>
      <c r="J364" s="215">
        <v>7.2676989898000004</v>
      </c>
      <c r="K364" s="215">
        <v>8.1676430223000001</v>
      </c>
      <c r="L364" s="215">
        <v>7.8235343278</v>
      </c>
      <c r="M364" s="215">
        <v>7.5882339302000004</v>
      </c>
      <c r="N364" s="215">
        <v>8.9271791816999997</v>
      </c>
      <c r="O364" s="215">
        <v>11.37429957</v>
      </c>
    </row>
    <row r="365" spans="1:15">
      <c r="A365" s="295"/>
      <c r="B365" s="240" t="s">
        <v>262</v>
      </c>
      <c r="C365" s="215">
        <v>50.179593491299997</v>
      </c>
      <c r="D365" s="215">
        <v>46.350588822200002</v>
      </c>
      <c r="E365" s="215">
        <v>35.809814197400001</v>
      </c>
      <c r="F365" s="215">
        <v>44.908773556900002</v>
      </c>
      <c r="G365" s="215">
        <v>38.5221324408</v>
      </c>
      <c r="H365" s="215">
        <v>32.614345674500001</v>
      </c>
      <c r="I365" s="215">
        <v>22.2030908453</v>
      </c>
      <c r="J365" s="215">
        <v>23.175307143800001</v>
      </c>
      <c r="K365" s="215">
        <v>34.681040398599997</v>
      </c>
      <c r="L365" s="215">
        <v>38.7775060309</v>
      </c>
      <c r="M365" s="215">
        <v>38.595920901299998</v>
      </c>
      <c r="N365" s="215">
        <v>42.414120448600002</v>
      </c>
      <c r="O365" s="215">
        <v>39.164444487600001</v>
      </c>
    </row>
    <row r="366" spans="1:15">
      <c r="A366" s="295"/>
      <c r="B366" s="240" t="s">
        <v>16</v>
      </c>
      <c r="C366" s="215">
        <v>55.2966282378</v>
      </c>
      <c r="D366" s="215">
        <v>54.333319799999998</v>
      </c>
      <c r="E366" s="215">
        <v>44.3319517057</v>
      </c>
      <c r="F366" s="215">
        <v>50.296903697399998</v>
      </c>
      <c r="G366" s="215">
        <v>42.143515635299998</v>
      </c>
      <c r="H366" s="215">
        <v>33.985626942300001</v>
      </c>
      <c r="I366" s="215">
        <v>23.562669249700001</v>
      </c>
      <c r="J366" s="215">
        <v>28.2885768216</v>
      </c>
      <c r="K366" s="215">
        <v>38.956062562500001</v>
      </c>
      <c r="L366" s="215">
        <v>41.635778396399999</v>
      </c>
      <c r="M366" s="215">
        <v>41.658885831900001</v>
      </c>
      <c r="N366" s="215">
        <v>46.631690650400003</v>
      </c>
      <c r="O366" s="215">
        <v>42.619344151999996</v>
      </c>
    </row>
    <row r="367" spans="1:15">
      <c r="A367" s="295"/>
      <c r="B367" s="240" t="s">
        <v>263</v>
      </c>
      <c r="C367" s="215">
        <v>56.653760923500002</v>
      </c>
      <c r="D367" s="215">
        <v>56.425058677899997</v>
      </c>
      <c r="E367" s="215">
        <v>40.265648287300003</v>
      </c>
      <c r="F367" s="215">
        <v>50.409112745400002</v>
      </c>
      <c r="G367" s="215">
        <v>42.388015613900002</v>
      </c>
      <c r="H367" s="215">
        <v>36.970186245699999</v>
      </c>
      <c r="I367" s="215">
        <v>24.8459701614</v>
      </c>
      <c r="J367" s="215">
        <v>28.454226634699999</v>
      </c>
      <c r="K367" s="215">
        <v>38.668877592299999</v>
      </c>
      <c r="L367" s="215">
        <v>42.295844468600002</v>
      </c>
      <c r="M367" s="215">
        <v>42.570763981900001</v>
      </c>
      <c r="N367" s="215">
        <v>48.973209134299999</v>
      </c>
      <c r="O367" s="215">
        <v>44.186275531200003</v>
      </c>
    </row>
    <row r="368" spans="1:15">
      <c r="A368" s="295"/>
      <c r="B368" s="240" t="s">
        <v>264</v>
      </c>
      <c r="C368" s="216" t="s">
        <v>96</v>
      </c>
      <c r="D368" s="216" t="s">
        <v>96</v>
      </c>
      <c r="E368" s="216" t="s">
        <v>96</v>
      </c>
      <c r="F368" s="216" t="s">
        <v>96</v>
      </c>
      <c r="G368" s="216" t="s">
        <v>96</v>
      </c>
      <c r="H368" s="216" t="s">
        <v>96</v>
      </c>
      <c r="I368" s="216" t="s">
        <v>96</v>
      </c>
      <c r="J368" s="216" t="s">
        <v>96</v>
      </c>
      <c r="K368" s="216" t="s">
        <v>96</v>
      </c>
      <c r="L368" s="216" t="s">
        <v>96</v>
      </c>
      <c r="M368" s="216" t="s">
        <v>96</v>
      </c>
      <c r="N368" s="216" t="s">
        <v>96</v>
      </c>
      <c r="O368" s="216" t="s">
        <v>96</v>
      </c>
    </row>
    <row r="369" spans="1:16">
      <c r="A369" s="295"/>
      <c r="B369" s="240" t="s">
        <v>265</v>
      </c>
      <c r="C369" s="215">
        <v>117.5647471147</v>
      </c>
      <c r="D369" s="215">
        <v>166.95549495949999</v>
      </c>
      <c r="E369" s="215">
        <v>105.926155794</v>
      </c>
      <c r="F369" s="215">
        <v>148.698341551</v>
      </c>
      <c r="G369" s="215">
        <v>145.217684311</v>
      </c>
      <c r="H369" s="215">
        <v>96.154126979799997</v>
      </c>
      <c r="I369" s="215">
        <v>100.3272479355</v>
      </c>
      <c r="J369" s="215">
        <v>94.270366638799999</v>
      </c>
      <c r="K369" s="215">
        <v>109.5027201234</v>
      </c>
      <c r="L369" s="215">
        <v>184.68228361230001</v>
      </c>
      <c r="M369" s="215">
        <v>176.0720778049</v>
      </c>
      <c r="N369" s="215">
        <v>157.29326189939999</v>
      </c>
      <c r="O369" s="215">
        <v>139.24111690059999</v>
      </c>
      <c r="P369" s="60">
        <f>(O369/C369-1)*100</f>
        <v>18.437814326051182</v>
      </c>
    </row>
    <row r="370" spans="1:16">
      <c r="A370" s="295"/>
      <c r="B370" s="240" t="s">
        <v>336</v>
      </c>
      <c r="C370" s="215">
        <v>23.8211938894</v>
      </c>
      <c r="D370" s="215">
        <v>6.4646542953999999</v>
      </c>
      <c r="E370" s="216" t="s">
        <v>96</v>
      </c>
      <c r="F370" s="216" t="s">
        <v>96</v>
      </c>
      <c r="G370" s="216" t="s">
        <v>96</v>
      </c>
      <c r="H370" s="216" t="s">
        <v>96</v>
      </c>
      <c r="I370" s="216" t="s">
        <v>96</v>
      </c>
      <c r="J370" s="216" t="s">
        <v>96</v>
      </c>
      <c r="K370" s="216" t="s">
        <v>96</v>
      </c>
      <c r="L370" s="216" t="s">
        <v>96</v>
      </c>
      <c r="M370" s="216" t="s">
        <v>96</v>
      </c>
      <c r="N370" s="216" t="s">
        <v>96</v>
      </c>
      <c r="O370" s="216" t="s">
        <v>96</v>
      </c>
    </row>
    <row r="371" spans="1:16">
      <c r="A371" s="296"/>
      <c r="B371" s="240" t="s">
        <v>337</v>
      </c>
      <c r="C371" s="215">
        <v>26.521149999999999</v>
      </c>
      <c r="D371" s="215">
        <v>32.639168539300002</v>
      </c>
      <c r="E371" s="215">
        <v>36.945399999999999</v>
      </c>
      <c r="F371" s="215">
        <v>47.618554216900002</v>
      </c>
      <c r="G371" s="215">
        <v>30.024000000000001</v>
      </c>
      <c r="H371" s="215">
        <v>24.135779816500001</v>
      </c>
      <c r="I371" s="216" t="s">
        <v>96</v>
      </c>
      <c r="J371" s="216" t="s">
        <v>96</v>
      </c>
      <c r="K371" s="216" t="s">
        <v>96</v>
      </c>
      <c r="L371" s="216" t="s">
        <v>96</v>
      </c>
      <c r="M371" s="216" t="s">
        <v>96</v>
      </c>
      <c r="N371" s="215">
        <v>45.691417142900001</v>
      </c>
      <c r="O371" s="215">
        <v>29.405849375999999</v>
      </c>
    </row>
    <row r="372" spans="1:16">
      <c r="A372" s="294" t="s">
        <v>111</v>
      </c>
      <c r="B372" s="240" t="s">
        <v>260</v>
      </c>
      <c r="C372" s="215">
        <v>46.569191081</v>
      </c>
      <c r="D372" s="215">
        <v>40.029961334900001</v>
      </c>
      <c r="E372" s="215">
        <v>31.518503603999999</v>
      </c>
      <c r="F372" s="215">
        <v>40.145056849299998</v>
      </c>
      <c r="G372" s="215">
        <v>34.889660995299998</v>
      </c>
      <c r="H372" s="215">
        <v>26.4821392405</v>
      </c>
      <c r="I372" s="215">
        <v>16.942672728400002</v>
      </c>
      <c r="J372" s="215">
        <v>20.098804550400001</v>
      </c>
      <c r="K372" s="215">
        <v>29.1310690022</v>
      </c>
      <c r="L372" s="215">
        <v>34.5802106971</v>
      </c>
      <c r="M372" s="215">
        <v>35.661521116099998</v>
      </c>
      <c r="N372" s="215">
        <v>40.431379108199998</v>
      </c>
      <c r="O372" s="215">
        <v>35.116271838300001</v>
      </c>
    </row>
    <row r="373" spans="1:16">
      <c r="A373" s="295"/>
      <c r="B373" s="240" t="s">
        <v>261</v>
      </c>
      <c r="C373" s="216" t="s">
        <v>96</v>
      </c>
      <c r="D373" s="216" t="s">
        <v>96</v>
      </c>
      <c r="E373" s="216" t="s">
        <v>96</v>
      </c>
      <c r="F373" s="216" t="s">
        <v>96</v>
      </c>
      <c r="G373" s="216" t="s">
        <v>96</v>
      </c>
      <c r="H373" s="216" t="s">
        <v>96</v>
      </c>
      <c r="I373" s="216" t="s">
        <v>96</v>
      </c>
      <c r="J373" s="216" t="s">
        <v>96</v>
      </c>
      <c r="K373" s="216" t="s">
        <v>96</v>
      </c>
      <c r="L373" s="216" t="s">
        <v>96</v>
      </c>
      <c r="M373" s="216" t="s">
        <v>96</v>
      </c>
      <c r="N373" s="216" t="s">
        <v>96</v>
      </c>
      <c r="O373" s="216" t="s">
        <v>96</v>
      </c>
    </row>
    <row r="374" spans="1:16">
      <c r="A374" s="295"/>
      <c r="B374" s="240" t="s">
        <v>262</v>
      </c>
      <c r="C374" s="215">
        <v>37.896432389200001</v>
      </c>
      <c r="D374" s="215">
        <v>35.808596891400001</v>
      </c>
      <c r="E374" s="215">
        <v>29.499786643499998</v>
      </c>
      <c r="F374" s="215">
        <v>36.986360982999997</v>
      </c>
      <c r="G374" s="215">
        <v>27.985248008399999</v>
      </c>
      <c r="H374" s="215">
        <v>21.560182145500001</v>
      </c>
      <c r="I374" s="215">
        <v>11.765537587100001</v>
      </c>
      <c r="J374" s="215">
        <v>17.574793466999999</v>
      </c>
      <c r="K374" s="215">
        <v>25.900861049700001</v>
      </c>
      <c r="L374" s="215">
        <v>28.7260205157</v>
      </c>
      <c r="M374" s="215">
        <v>29.100856350099999</v>
      </c>
      <c r="N374" s="215">
        <v>34.666283473</v>
      </c>
      <c r="O374" s="215">
        <v>28.578029926100001</v>
      </c>
    </row>
    <row r="375" spans="1:16">
      <c r="A375" s="295"/>
      <c r="B375" s="240" t="s">
        <v>16</v>
      </c>
      <c r="C375" s="215">
        <v>31.411177049999999</v>
      </c>
      <c r="D375" s="215">
        <v>22.723224253800002</v>
      </c>
      <c r="E375" s="215">
        <v>14.034865488599999</v>
      </c>
      <c r="F375" s="215">
        <v>31.3201179428</v>
      </c>
      <c r="G375" s="215">
        <v>25.394216690099999</v>
      </c>
      <c r="H375" s="215">
        <v>15.5831730586</v>
      </c>
      <c r="I375" s="215">
        <v>8.3511343236000002</v>
      </c>
      <c r="J375" s="215">
        <v>11.2819826997</v>
      </c>
      <c r="K375" s="215">
        <v>18.5587561251</v>
      </c>
      <c r="L375" s="215">
        <v>27.2926209104</v>
      </c>
      <c r="M375" s="215">
        <v>24.9934294878</v>
      </c>
      <c r="N375" s="215">
        <v>30.193354740299998</v>
      </c>
      <c r="O375" s="215">
        <v>15.526584147399999</v>
      </c>
    </row>
    <row r="376" spans="1:16">
      <c r="A376" s="295"/>
      <c r="B376" s="240" t="s">
        <v>263</v>
      </c>
      <c r="C376" s="215">
        <v>32.376397600099999</v>
      </c>
      <c r="D376" s="215">
        <v>26.9131393935</v>
      </c>
      <c r="E376" s="215">
        <v>14.5645464766</v>
      </c>
      <c r="F376" s="215">
        <v>30.039364250999999</v>
      </c>
      <c r="G376" s="215">
        <v>21.994219051999998</v>
      </c>
      <c r="H376" s="215">
        <v>16.0766152966</v>
      </c>
      <c r="I376" s="215">
        <v>6.9169248604</v>
      </c>
      <c r="J376" s="215">
        <v>9.9078850529999993</v>
      </c>
      <c r="K376" s="215">
        <v>15.037596134599999</v>
      </c>
      <c r="L376" s="215">
        <v>22.721473034700001</v>
      </c>
      <c r="M376" s="215">
        <v>23.3057373207</v>
      </c>
      <c r="N376" s="215">
        <v>25.5109853491</v>
      </c>
      <c r="O376" s="215">
        <v>18.9721029695</v>
      </c>
    </row>
    <row r="377" spans="1:16">
      <c r="A377" s="295"/>
      <c r="B377" s="240" t="s">
        <v>264</v>
      </c>
      <c r="C377" s="216" t="s">
        <v>96</v>
      </c>
      <c r="D377" s="216" t="s">
        <v>96</v>
      </c>
      <c r="E377" s="216" t="s">
        <v>96</v>
      </c>
      <c r="F377" s="216" t="s">
        <v>96</v>
      </c>
      <c r="G377" s="216" t="s">
        <v>96</v>
      </c>
      <c r="H377" s="216" t="s">
        <v>96</v>
      </c>
      <c r="I377" s="216" t="s">
        <v>96</v>
      </c>
      <c r="J377" s="216" t="s">
        <v>96</v>
      </c>
      <c r="K377" s="216" t="s">
        <v>96</v>
      </c>
      <c r="L377" s="216" t="s">
        <v>96</v>
      </c>
      <c r="M377" s="216" t="s">
        <v>96</v>
      </c>
      <c r="N377" s="216" t="s">
        <v>96</v>
      </c>
      <c r="O377" s="216" t="s">
        <v>96</v>
      </c>
    </row>
    <row r="378" spans="1:16">
      <c r="A378" s="295"/>
      <c r="B378" s="240" t="s">
        <v>265</v>
      </c>
      <c r="C378" s="215">
        <v>16.541141322800001</v>
      </c>
      <c r="D378" s="215">
        <v>18.3187747311</v>
      </c>
      <c r="E378" s="215">
        <v>11.2049753768</v>
      </c>
      <c r="F378" s="215">
        <v>15.4197220833</v>
      </c>
      <c r="G378" s="215">
        <v>14.2611092179</v>
      </c>
      <c r="H378" s="215">
        <v>10.061406509399999</v>
      </c>
      <c r="I378" s="215">
        <v>6.3608141542999999</v>
      </c>
      <c r="J378" s="215">
        <v>8.5414757679999997</v>
      </c>
      <c r="K378" s="215">
        <v>2.3726943107</v>
      </c>
      <c r="L378" s="215">
        <v>2.2543893812000002</v>
      </c>
      <c r="M378" s="215">
        <v>3.3266666843000001</v>
      </c>
      <c r="N378" s="215">
        <v>3.7537606316000001</v>
      </c>
      <c r="O378" s="215">
        <v>8.8071643596999998</v>
      </c>
    </row>
    <row r="379" spans="1:16">
      <c r="A379" s="295"/>
      <c r="B379" s="240" t="s">
        <v>336</v>
      </c>
      <c r="C379" s="216" t="s">
        <v>96</v>
      </c>
      <c r="D379" s="216" t="s">
        <v>96</v>
      </c>
      <c r="E379" s="216" t="s">
        <v>96</v>
      </c>
      <c r="F379" s="216" t="s">
        <v>96</v>
      </c>
      <c r="G379" s="216" t="s">
        <v>96</v>
      </c>
      <c r="H379" s="216" t="s">
        <v>96</v>
      </c>
      <c r="I379" s="216" t="s">
        <v>96</v>
      </c>
      <c r="J379" s="216" t="s">
        <v>96</v>
      </c>
      <c r="K379" s="216" t="s">
        <v>96</v>
      </c>
      <c r="L379" s="216" t="s">
        <v>96</v>
      </c>
      <c r="M379" s="216" t="s">
        <v>96</v>
      </c>
      <c r="N379" s="216" t="s">
        <v>96</v>
      </c>
      <c r="O379" s="216" t="s">
        <v>96</v>
      </c>
    </row>
    <row r="380" spans="1:16">
      <c r="A380" s="296"/>
      <c r="B380" s="240" t="s">
        <v>337</v>
      </c>
      <c r="C380" s="215">
        <v>72.082837209299996</v>
      </c>
      <c r="D380" s="215">
        <v>66.022242152499999</v>
      </c>
      <c r="E380" s="215">
        <v>43.813028846199998</v>
      </c>
      <c r="F380" s="215">
        <v>53.207705696200001</v>
      </c>
      <c r="G380" s="215">
        <v>41.237406143299999</v>
      </c>
      <c r="H380" s="215">
        <v>11.1363636364</v>
      </c>
      <c r="I380" s="216" t="s">
        <v>96</v>
      </c>
      <c r="J380" s="216" t="s">
        <v>96</v>
      </c>
      <c r="K380" s="216" t="s">
        <v>96</v>
      </c>
      <c r="L380" s="216" t="s">
        <v>96</v>
      </c>
      <c r="M380" s="216" t="s">
        <v>96</v>
      </c>
      <c r="N380" s="215">
        <v>34.264988558399999</v>
      </c>
      <c r="O380" s="215">
        <v>40.666764734200001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7" spans="3:1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</row>
    <row r="388" spans="3:1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</row>
    <row r="391" spans="3:1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3:1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657" ht="37.5" customHeight="1"/>
    <row r="658" ht="37.5" customHeight="1"/>
  </sheetData>
  <mergeCells count="42">
    <mergeCell ref="B4:AC4"/>
    <mergeCell ref="B5:AC5"/>
    <mergeCell ref="A246:A255"/>
    <mergeCell ref="B300:I300"/>
    <mergeCell ref="B259:F259"/>
    <mergeCell ref="A205:A221"/>
    <mergeCell ref="D97:E116"/>
    <mergeCell ref="C65:C66"/>
    <mergeCell ref="D65:D66"/>
    <mergeCell ref="E65:E66"/>
    <mergeCell ref="A140:A149"/>
    <mergeCell ref="A133:A139"/>
    <mergeCell ref="G65:G66"/>
    <mergeCell ref="A188:A204"/>
    <mergeCell ref="B118:C118"/>
    <mergeCell ref="C130:O130"/>
    <mergeCell ref="A236:A245"/>
    <mergeCell ref="C185:O185"/>
    <mergeCell ref="C233:O233"/>
    <mergeCell ref="B177:N177"/>
    <mergeCell ref="B97:C97"/>
    <mergeCell ref="B41:N41"/>
    <mergeCell ref="B65:B66"/>
    <mergeCell ref="H65:H66"/>
    <mergeCell ref="J65:J66"/>
    <mergeCell ref="B223:N223"/>
    <mergeCell ref="I65:I66"/>
    <mergeCell ref="F65:F66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1:A293"/>
    <mergeCell ref="A269:A280"/>
    <mergeCell ref="H341:H342"/>
    <mergeCell ref="E341:E342"/>
    <mergeCell ref="F341:F342"/>
    <mergeCell ref="G341:G342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39" zoomScale="96" zoomScaleNormal="96" workbookViewId="0">
      <selection activeCell="E163" sqref="E163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216</v>
      </c>
      <c r="C2" s="167"/>
      <c r="D2" s="167"/>
      <c r="E2" s="167"/>
    </row>
    <row r="3" spans="1:5">
      <c r="B3" s="168" t="s">
        <v>217</v>
      </c>
      <c r="C3" s="168" t="s">
        <v>218</v>
      </c>
      <c r="D3" s="168"/>
      <c r="E3" s="168" t="s">
        <v>219</v>
      </c>
    </row>
    <row r="4" spans="1:5">
      <c r="A4" s="169"/>
      <c r="B4" s="168"/>
      <c r="C4" s="168" t="s">
        <v>220</v>
      </c>
      <c r="D4" s="168" t="s">
        <v>221</v>
      </c>
      <c r="E4" s="168"/>
    </row>
    <row r="5" spans="1:5">
      <c r="A5" s="169">
        <v>1</v>
      </c>
      <c r="B5" s="170">
        <f>DATE(YEAR(Dat_01!A$2),MONTH(Dat_01!A$2),Dat_01!A8)</f>
        <v>44105</v>
      </c>
      <c r="C5" s="171">
        <f>Dat_01!C8</f>
        <v>54.83</v>
      </c>
      <c r="D5" s="171">
        <f>Dat_01!B8</f>
        <v>29.75</v>
      </c>
      <c r="E5" s="172">
        <f>AVERAGE(Dat_01!E8:AC8)</f>
        <v>41.476666666666681</v>
      </c>
    </row>
    <row r="6" spans="1:5">
      <c r="A6" s="169">
        <v>2</v>
      </c>
      <c r="B6" s="170">
        <f>DATE(YEAR(Dat_01!A$2),MONTH(Dat_01!A$2),Dat_01!A9)</f>
        <v>44106</v>
      </c>
      <c r="C6" s="171">
        <f>Dat_01!C9</f>
        <v>40</v>
      </c>
      <c r="D6" s="171">
        <f>Dat_01!B9</f>
        <v>16.55</v>
      </c>
      <c r="E6" s="172">
        <f>AVERAGE(Dat_01!E9:AC9)</f>
        <v>24.795833333333331</v>
      </c>
    </row>
    <row r="7" spans="1:5">
      <c r="A7" s="169">
        <v>3</v>
      </c>
      <c r="B7" s="170">
        <f>DATE(YEAR(Dat_01!A$2),MONTH(Dat_01!A$2),Dat_01!A10)</f>
        <v>44107</v>
      </c>
      <c r="C7" s="171">
        <f>Dat_01!C10</f>
        <v>39.72</v>
      </c>
      <c r="D7" s="171">
        <f>Dat_01!B10</f>
        <v>11.3</v>
      </c>
      <c r="E7" s="172">
        <f>AVERAGE(Dat_01!E10:AC10)</f>
        <v>19.133333333333333</v>
      </c>
    </row>
    <row r="8" spans="1:5">
      <c r="A8" s="169">
        <v>4</v>
      </c>
      <c r="B8" s="170">
        <f>DATE(YEAR(Dat_01!A$2),MONTH(Dat_01!A$2),Dat_01!A11)</f>
        <v>44108</v>
      </c>
      <c r="C8" s="171">
        <f>Dat_01!C11</f>
        <v>36</v>
      </c>
      <c r="D8" s="171">
        <f>Dat_01!B11</f>
        <v>2.5</v>
      </c>
      <c r="E8" s="172">
        <f>AVERAGE(Dat_01!E11:AC11)</f>
        <v>14.399583333333332</v>
      </c>
    </row>
    <row r="9" spans="1:5">
      <c r="A9" s="169">
        <v>5</v>
      </c>
      <c r="B9" s="170">
        <f>DATE(YEAR(Dat_01!A$2),MONTH(Dat_01!A$2),Dat_01!A12)</f>
        <v>44109</v>
      </c>
      <c r="C9" s="171">
        <f>Dat_01!C12</f>
        <v>55.23</v>
      </c>
      <c r="D9" s="171">
        <f>Dat_01!B12</f>
        <v>14.2</v>
      </c>
      <c r="E9" s="172">
        <f>AVERAGE(Dat_01!E12:AC12)</f>
        <v>35.123750000000001</v>
      </c>
    </row>
    <row r="10" spans="1:5">
      <c r="A10" s="169">
        <v>6</v>
      </c>
      <c r="B10" s="170">
        <f>DATE(YEAR(Dat_01!A$2),MONTH(Dat_01!A$2),Dat_01!A13)</f>
        <v>44110</v>
      </c>
      <c r="C10" s="171">
        <f>Dat_01!C13</f>
        <v>52.99</v>
      </c>
      <c r="D10" s="171">
        <f>Dat_01!B13</f>
        <v>31.94</v>
      </c>
      <c r="E10" s="172">
        <f>AVERAGE(Dat_01!E13:AC13)</f>
        <v>40.998749999999994</v>
      </c>
    </row>
    <row r="11" spans="1:5">
      <c r="A11" s="169">
        <v>7</v>
      </c>
      <c r="B11" s="170">
        <f>DATE(YEAR(Dat_01!A$2),MONTH(Dat_01!A$2),Dat_01!A14)</f>
        <v>44111</v>
      </c>
      <c r="C11" s="171">
        <f>Dat_01!C14</f>
        <v>53</v>
      </c>
      <c r="D11" s="171">
        <f>Dat_01!B14</f>
        <v>34.21</v>
      </c>
      <c r="E11" s="172">
        <f>AVERAGE(Dat_01!E14:AC14)</f>
        <v>43.017916666666672</v>
      </c>
    </row>
    <row r="12" spans="1:5">
      <c r="A12" s="169">
        <v>8</v>
      </c>
      <c r="B12" s="170">
        <f>DATE(YEAR(Dat_01!A$2),MONTH(Dat_01!A$2),Dat_01!A15)</f>
        <v>44112</v>
      </c>
      <c r="C12" s="171">
        <f>Dat_01!C15</f>
        <v>52.39</v>
      </c>
      <c r="D12" s="171">
        <f>Dat_01!B15</f>
        <v>35.020000000000003</v>
      </c>
      <c r="E12" s="172">
        <f>AVERAGE(Dat_01!E15:AC15)</f>
        <v>43.95416666666668</v>
      </c>
    </row>
    <row r="13" spans="1:5">
      <c r="A13" s="169">
        <v>9</v>
      </c>
      <c r="B13" s="170">
        <f>DATE(YEAR(Dat_01!A$2),MONTH(Dat_01!A$2),Dat_01!A16)</f>
        <v>44113</v>
      </c>
      <c r="C13" s="171">
        <f>Dat_01!C16</f>
        <v>59.3</v>
      </c>
      <c r="D13" s="171">
        <f>Dat_01!B16</f>
        <v>33.54</v>
      </c>
      <c r="E13" s="172">
        <f>AVERAGE(Dat_01!E16:AC16)</f>
        <v>44.389166666666661</v>
      </c>
    </row>
    <row r="14" spans="1:5">
      <c r="A14" s="169">
        <v>10</v>
      </c>
      <c r="B14" s="170">
        <f>DATE(YEAR(Dat_01!A$2),MONTH(Dat_01!A$2),Dat_01!A17)</f>
        <v>44114</v>
      </c>
      <c r="C14" s="171">
        <f>Dat_01!C17</f>
        <v>43.06</v>
      </c>
      <c r="D14" s="171">
        <f>Dat_01!B17</f>
        <v>26.25</v>
      </c>
      <c r="E14" s="172">
        <f>AVERAGE(Dat_01!E17:AC17)</f>
        <v>32.489583333333336</v>
      </c>
    </row>
    <row r="15" spans="1:5">
      <c r="A15" s="169">
        <v>11</v>
      </c>
      <c r="B15" s="170">
        <f>DATE(YEAR(Dat_01!A$2),MONTH(Dat_01!A$2),Dat_01!A18)</f>
        <v>44115</v>
      </c>
      <c r="C15" s="171">
        <f>Dat_01!C18</f>
        <v>44.91</v>
      </c>
      <c r="D15" s="171">
        <f>Dat_01!B18</f>
        <v>20</v>
      </c>
      <c r="E15" s="172">
        <f>AVERAGE(Dat_01!E18:AC18)</f>
        <v>27.844166666666666</v>
      </c>
    </row>
    <row r="16" spans="1:5">
      <c r="A16" s="169">
        <v>12</v>
      </c>
      <c r="B16" s="170">
        <f>DATE(YEAR(Dat_01!A$2),MONTH(Dat_01!A$2),Dat_01!A19)</f>
        <v>44116</v>
      </c>
      <c r="C16" s="171">
        <f>Dat_01!C19</f>
        <v>53.49</v>
      </c>
      <c r="D16" s="171">
        <f>Dat_01!B19</f>
        <v>28.72</v>
      </c>
      <c r="E16" s="172">
        <f>AVERAGE(Dat_01!E19:AC19)</f>
        <v>38.375833333333333</v>
      </c>
    </row>
    <row r="17" spans="1:5">
      <c r="A17" s="169">
        <v>13</v>
      </c>
      <c r="B17" s="170">
        <f>DATE(YEAR(Dat_01!A$2),MONTH(Dat_01!A$2),Dat_01!A20)</f>
        <v>44117</v>
      </c>
      <c r="C17" s="171">
        <f>Dat_01!C20</f>
        <v>50.9</v>
      </c>
      <c r="D17" s="171">
        <f>Dat_01!B20</f>
        <v>31.58</v>
      </c>
      <c r="E17" s="172">
        <f>AVERAGE(Dat_01!E20:AC20)</f>
        <v>40.466666666666661</v>
      </c>
    </row>
    <row r="18" spans="1:5">
      <c r="A18" s="169">
        <v>14</v>
      </c>
      <c r="B18" s="170">
        <f>DATE(YEAR(Dat_01!A$2),MONTH(Dat_01!A$2),Dat_01!A21)</f>
        <v>44118</v>
      </c>
      <c r="C18" s="171">
        <f>Dat_01!C21</f>
        <v>51.69</v>
      </c>
      <c r="D18" s="171">
        <f>Dat_01!B21</f>
        <v>27.5</v>
      </c>
      <c r="E18" s="172">
        <f>AVERAGE(Dat_01!E21:AC21)</f>
        <v>36.734999999999999</v>
      </c>
    </row>
    <row r="19" spans="1:5">
      <c r="A19" s="169">
        <v>15</v>
      </c>
      <c r="B19" s="170">
        <f>DATE(YEAR(Dat_01!A$2),MONTH(Dat_01!A$2),Dat_01!A22)</f>
        <v>44119</v>
      </c>
      <c r="C19" s="171">
        <f>Dat_01!C22</f>
        <v>50.34</v>
      </c>
      <c r="D19" s="171">
        <f>Dat_01!B22</f>
        <v>29.78</v>
      </c>
      <c r="E19" s="172">
        <f>AVERAGE(Dat_01!E22:AC22)</f>
        <v>39.334166666666661</v>
      </c>
    </row>
    <row r="20" spans="1:5">
      <c r="A20" s="169">
        <v>16</v>
      </c>
      <c r="B20" s="170">
        <f>DATE(YEAR(Dat_01!A$2),MONTH(Dat_01!A$2),Dat_01!A23)</f>
        <v>44120</v>
      </c>
      <c r="C20" s="171">
        <f>Dat_01!C23</f>
        <v>54.08</v>
      </c>
      <c r="D20" s="171">
        <f>Dat_01!B23</f>
        <v>33.020000000000003</v>
      </c>
      <c r="E20" s="172">
        <f>AVERAGE(Dat_01!E23:AC23)</f>
        <v>43.325416666666662</v>
      </c>
    </row>
    <row r="21" spans="1:5">
      <c r="A21" s="169">
        <v>17</v>
      </c>
      <c r="B21" s="170">
        <f>DATE(YEAR(Dat_01!A$2),MONTH(Dat_01!A$2),Dat_01!A24)</f>
        <v>44121</v>
      </c>
      <c r="C21" s="171">
        <f>Dat_01!C24</f>
        <v>50.46</v>
      </c>
      <c r="D21" s="171">
        <f>Dat_01!B24</f>
        <v>36.1</v>
      </c>
      <c r="E21" s="172">
        <f>AVERAGE(Dat_01!E24:AC24)</f>
        <v>42.365833333333335</v>
      </c>
    </row>
    <row r="22" spans="1:5">
      <c r="A22" s="169">
        <v>18</v>
      </c>
      <c r="B22" s="170">
        <f>DATE(YEAR(Dat_01!A$2),MONTH(Dat_01!A$2),Dat_01!A25)</f>
        <v>44122</v>
      </c>
      <c r="C22" s="171">
        <f>Dat_01!C25</f>
        <v>49.6</v>
      </c>
      <c r="D22" s="171">
        <f>Dat_01!B25</f>
        <v>31.5</v>
      </c>
      <c r="E22" s="172">
        <f>AVERAGE(Dat_01!E25:AC25)</f>
        <v>40.256250000000001</v>
      </c>
    </row>
    <row r="23" spans="1:5">
      <c r="A23" s="169">
        <v>19</v>
      </c>
      <c r="B23" s="170">
        <f>DATE(YEAR(Dat_01!A$2),MONTH(Dat_01!A$2),Dat_01!A26)</f>
        <v>44123</v>
      </c>
      <c r="C23" s="171">
        <f>Dat_01!C26</f>
        <v>48.2</v>
      </c>
      <c r="D23" s="171">
        <f>Dat_01!B26</f>
        <v>21.64</v>
      </c>
      <c r="E23" s="172">
        <f>AVERAGE(Dat_01!E26:AC26)</f>
        <v>35.710833333333333</v>
      </c>
    </row>
    <row r="24" spans="1:5">
      <c r="A24" s="169">
        <v>20</v>
      </c>
      <c r="B24" s="170">
        <f>DATE(YEAR(Dat_01!A$2),MONTH(Dat_01!A$2),Dat_01!A27)</f>
        <v>44124</v>
      </c>
      <c r="C24" s="171">
        <f>Dat_01!C27</f>
        <v>45.67</v>
      </c>
      <c r="D24" s="171">
        <f>Dat_01!B27</f>
        <v>24.8</v>
      </c>
      <c r="E24" s="172">
        <f>AVERAGE(Dat_01!E27:AC27)</f>
        <v>36.033333333333339</v>
      </c>
    </row>
    <row r="25" spans="1:5">
      <c r="A25" s="169">
        <v>21</v>
      </c>
      <c r="B25" s="170">
        <f>DATE(YEAR(Dat_01!A$2),MONTH(Dat_01!A$2),Dat_01!A28)</f>
        <v>44125</v>
      </c>
      <c r="C25" s="171">
        <f>Dat_01!C28</f>
        <v>49.77</v>
      </c>
      <c r="D25" s="171">
        <f>Dat_01!B28</f>
        <v>22.2</v>
      </c>
      <c r="E25" s="172">
        <f>AVERAGE(Dat_01!E28:AC28)</f>
        <v>36.58</v>
      </c>
    </row>
    <row r="26" spans="1:5">
      <c r="A26" s="169">
        <v>22</v>
      </c>
      <c r="B26" s="170">
        <f>DATE(YEAR(Dat_01!A$2),MONTH(Dat_01!A$2),Dat_01!A29)</f>
        <v>44126</v>
      </c>
      <c r="C26" s="171">
        <f>Dat_01!C29</f>
        <v>56.63</v>
      </c>
      <c r="D26" s="171">
        <f>Dat_01!B29</f>
        <v>32.68</v>
      </c>
      <c r="E26" s="172">
        <f>AVERAGE(Dat_01!E29:AC29)</f>
        <v>45.221250000000005</v>
      </c>
    </row>
    <row r="27" spans="1:5">
      <c r="A27" s="169">
        <v>23</v>
      </c>
      <c r="B27" s="170">
        <f>DATE(YEAR(Dat_01!A$2),MONTH(Dat_01!A$2),Dat_01!A30)</f>
        <v>44127</v>
      </c>
      <c r="C27" s="171">
        <f>Dat_01!C30</f>
        <v>54.05</v>
      </c>
      <c r="D27" s="171">
        <f>Dat_01!B30</f>
        <v>34.35</v>
      </c>
      <c r="E27" s="172">
        <f>AVERAGE(Dat_01!E30:AC30)</f>
        <v>45.189999999999991</v>
      </c>
    </row>
    <row r="28" spans="1:5">
      <c r="A28" s="169">
        <v>24</v>
      </c>
      <c r="B28" s="170">
        <f>DATE(YEAR(Dat_01!A$2),MONTH(Dat_01!A$2),Dat_01!A31)</f>
        <v>44128</v>
      </c>
      <c r="C28" s="171">
        <f>Dat_01!C31</f>
        <v>41.33</v>
      </c>
      <c r="D28" s="171">
        <f>Dat_01!B31</f>
        <v>24.02</v>
      </c>
      <c r="E28" s="172">
        <f>AVERAGE(Dat_01!E31:AC31)</f>
        <v>32.254583333333329</v>
      </c>
    </row>
    <row r="29" spans="1:5">
      <c r="A29" s="169">
        <v>25</v>
      </c>
      <c r="B29" s="170">
        <f>DATE(YEAR(Dat_01!A$2),MONTH(Dat_01!A$2),Dat_01!A32)</f>
        <v>44129</v>
      </c>
      <c r="C29" s="171">
        <f>Dat_01!C32</f>
        <v>39.049999999999997</v>
      </c>
      <c r="D29" s="171">
        <f>Dat_01!B32</f>
        <v>1.95</v>
      </c>
      <c r="E29" s="172">
        <f>AVERAGE(Dat_01!E32:AC32)</f>
        <v>14.779199999999998</v>
      </c>
    </row>
    <row r="30" spans="1:5">
      <c r="A30" s="169">
        <v>26</v>
      </c>
      <c r="B30" s="170">
        <f>DATE(YEAR(Dat_01!A$2),MONTH(Dat_01!A$2),Dat_01!A33)</f>
        <v>44130</v>
      </c>
      <c r="C30" s="171">
        <f>Dat_01!C33</f>
        <v>49.5</v>
      </c>
      <c r="D30" s="171">
        <f>Dat_01!B33</f>
        <v>18.8</v>
      </c>
      <c r="E30" s="172">
        <f>AVERAGE(Dat_01!E33:AC33)</f>
        <v>34.430416666666666</v>
      </c>
    </row>
    <row r="31" spans="1:5">
      <c r="A31" s="169">
        <v>27</v>
      </c>
      <c r="B31" s="170">
        <f>DATE(YEAR(Dat_01!A$2),MONTH(Dat_01!A$2),Dat_01!A34)</f>
        <v>44131</v>
      </c>
      <c r="C31" s="171">
        <f>Dat_01!C34</f>
        <v>47.69</v>
      </c>
      <c r="D31" s="171">
        <f>Dat_01!B34</f>
        <v>28.04</v>
      </c>
      <c r="E31" s="172">
        <f>AVERAGE(Dat_01!E34:AC34)</f>
        <v>39.951666666666668</v>
      </c>
    </row>
    <row r="32" spans="1:5">
      <c r="A32" s="169">
        <v>28</v>
      </c>
      <c r="B32" s="170">
        <f>DATE(YEAR(Dat_01!A$2),MONTH(Dat_01!A$2),Dat_01!A35)</f>
        <v>44132</v>
      </c>
      <c r="C32" s="171">
        <f>Dat_01!C35</f>
        <v>52.61</v>
      </c>
      <c r="D32" s="171">
        <f>Dat_01!B35</f>
        <v>32.6</v>
      </c>
      <c r="E32" s="172">
        <f>AVERAGE(Dat_01!E35:AC35)</f>
        <v>43.361666666666672</v>
      </c>
    </row>
    <row r="33" spans="1:10">
      <c r="A33" s="169">
        <v>29</v>
      </c>
      <c r="B33" s="170">
        <f>DATE(YEAR(Dat_01!A$2),MONTH(Dat_01!A$2),Dat_01!A36)</f>
        <v>44133</v>
      </c>
      <c r="C33" s="171">
        <f>Dat_01!C36</f>
        <v>50.1</v>
      </c>
      <c r="D33" s="171">
        <f>Dat_01!B36</f>
        <v>39</v>
      </c>
      <c r="E33" s="172">
        <f>AVERAGE(Dat_01!E36:AC36)</f>
        <v>44.942500000000003</v>
      </c>
      <c r="H33" s="224"/>
      <c r="I33" s="224"/>
    </row>
    <row r="34" spans="1:10">
      <c r="A34" s="169">
        <v>30</v>
      </c>
      <c r="B34" s="170">
        <f>DATE(YEAR(Dat_01!A$2),MONTH(Dat_01!A$2),Dat_01!A37)</f>
        <v>44134</v>
      </c>
      <c r="C34" s="171">
        <f>Dat_01!C37</f>
        <v>49</v>
      </c>
      <c r="D34" s="171">
        <f>Dat_01!B37</f>
        <v>36.020000000000003</v>
      </c>
      <c r="E34" s="172">
        <f>AVERAGE(Dat_01!E37:AC37)</f>
        <v>41.58</v>
      </c>
    </row>
    <row r="35" spans="1:10">
      <c r="A35" s="169">
        <v>31</v>
      </c>
      <c r="B35" s="170">
        <f>DATE(YEAR(Dat_01!A$2),MONTH(Dat_01!A$2),Dat_01!A38)</f>
        <v>44135</v>
      </c>
      <c r="C35" s="171">
        <f>Dat_01!C38</f>
        <v>44.83</v>
      </c>
      <c r="D35" s="171">
        <f>Dat_01!B38</f>
        <v>28.8</v>
      </c>
      <c r="E35" s="172">
        <f>AVERAGE(Dat_01!E38:AC38)</f>
        <v>35.770416666666669</v>
      </c>
    </row>
    <row r="36" spans="1:10">
      <c r="A36" s="169"/>
      <c r="B36" s="168" t="s">
        <v>95</v>
      </c>
      <c r="C36" s="168" t="s">
        <v>96</v>
      </c>
      <c r="D36" s="168" t="s">
        <v>96</v>
      </c>
      <c r="E36" s="172">
        <f>AVERAGE(E5:E35)</f>
        <v>36.589933870967748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222</v>
      </c>
      <c r="E39" s="172">
        <f>AVERAGE(Dat_01!E8:AC38)</f>
        <v>36.560657718120851</v>
      </c>
      <c r="F39" s="223">
        <v>47.17</v>
      </c>
      <c r="G39" s="217">
        <f>(E39/F39-1)</f>
        <v>-0.22491715670721113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223</v>
      </c>
    </row>
    <row r="43" spans="1:10">
      <c r="A43" s="169"/>
      <c r="B43" s="16"/>
      <c r="C43" s="300" t="s">
        <v>21</v>
      </c>
      <c r="D43" s="300" t="s">
        <v>44</v>
      </c>
      <c r="E43" s="300" t="s">
        <v>45</v>
      </c>
      <c r="F43" s="300" t="s">
        <v>46</v>
      </c>
      <c r="G43" s="300" t="s">
        <v>25</v>
      </c>
      <c r="H43" s="300" t="s">
        <v>47</v>
      </c>
      <c r="I43" s="300" t="s">
        <v>48</v>
      </c>
      <c r="J43" s="300" t="s">
        <v>49</v>
      </c>
    </row>
    <row r="44" spans="1:10">
      <c r="A44" s="169"/>
      <c r="B44" s="17"/>
      <c r="C44" s="301"/>
      <c r="D44" s="301"/>
      <c r="E44" s="301"/>
      <c r="F44" s="301"/>
      <c r="G44" s="301"/>
      <c r="H44" s="301"/>
      <c r="I44" s="301"/>
      <c r="J44" s="301"/>
    </row>
    <row r="45" spans="1:10">
      <c r="A45" s="270" t="s">
        <v>11</v>
      </c>
      <c r="B45" s="247" t="str">
        <f>Dat_01!B343</f>
        <v>OCT-19</v>
      </c>
      <c r="C45" s="54">
        <f>Dat_01!C343</f>
        <v>34.791386271870792</v>
      </c>
      <c r="D45" s="54">
        <f>Dat_01!D343</f>
        <v>1.9515477792732168</v>
      </c>
      <c r="E45" s="54">
        <f>Dat_01!E343</f>
        <v>0</v>
      </c>
      <c r="F45" s="54">
        <f>Dat_01!F343</f>
        <v>0</v>
      </c>
      <c r="G45" s="54">
        <f>Dat_01!G343</f>
        <v>25.011215791834907</v>
      </c>
      <c r="H45" s="54">
        <f>Dat_01!H343</f>
        <v>12.24764468371467</v>
      </c>
      <c r="I45" s="54">
        <f>Dat_01!I343</f>
        <v>0</v>
      </c>
      <c r="J45" s="54">
        <f>Dat_01!J343</f>
        <v>25.998205473306417</v>
      </c>
    </row>
    <row r="46" spans="1:10">
      <c r="A46" s="270" t="s">
        <v>12</v>
      </c>
      <c r="B46" s="247" t="str">
        <f>Dat_01!B344</f>
        <v>NOV-19</v>
      </c>
      <c r="C46" s="54">
        <f>Dat_01!C344</f>
        <v>34.979137691237838</v>
      </c>
      <c r="D46" s="54">
        <f>Dat_01!D344</f>
        <v>4.9374130737134907</v>
      </c>
      <c r="E46" s="54">
        <f>Dat_01!E344</f>
        <v>0</v>
      </c>
      <c r="F46" s="54">
        <f>Dat_01!F344</f>
        <v>0</v>
      </c>
      <c r="G46" s="54">
        <f>Dat_01!G344</f>
        <v>22.021325915623549</v>
      </c>
      <c r="H46" s="54">
        <f>Dat_01!H344</f>
        <v>3.8247566063977745</v>
      </c>
      <c r="I46" s="54">
        <f>Dat_01!I344</f>
        <v>0</v>
      </c>
      <c r="J46" s="54">
        <f>Dat_01!J344</f>
        <v>34.237366713027356</v>
      </c>
    </row>
    <row r="47" spans="1:10">
      <c r="A47" s="270" t="s">
        <v>13</v>
      </c>
      <c r="B47" s="247" t="str">
        <f>Dat_01!B345</f>
        <v>DIC-19</v>
      </c>
      <c r="C47" s="54">
        <f>Dat_01!C345</f>
        <v>30.327501121579175</v>
      </c>
      <c r="D47" s="54">
        <f>Dat_01!D345</f>
        <v>11.372812920592194</v>
      </c>
      <c r="E47" s="54">
        <f>Dat_01!E345</f>
        <v>0</v>
      </c>
      <c r="F47" s="54">
        <f>Dat_01!F345</f>
        <v>0.26917900403768508</v>
      </c>
      <c r="G47" s="54">
        <f>Dat_01!G345</f>
        <v>16.778824585015702</v>
      </c>
      <c r="H47" s="54">
        <f>Dat_01!H345</f>
        <v>6.9986541049798108</v>
      </c>
      <c r="I47" s="54">
        <f>Dat_01!I345</f>
        <v>0</v>
      </c>
      <c r="J47" s="54">
        <f>Dat_01!J345</f>
        <v>34.253028263795429</v>
      </c>
    </row>
    <row r="48" spans="1:10">
      <c r="A48" s="270" t="s">
        <v>5</v>
      </c>
      <c r="B48" s="247" t="str">
        <f>Dat_01!B346</f>
        <v>ENE-20</v>
      </c>
      <c r="C48" s="54">
        <f>Dat_01!C346</f>
        <v>41.004934948407353</v>
      </c>
      <c r="D48" s="54">
        <f>Dat_01!D346</f>
        <v>7.2005383580080755</v>
      </c>
      <c r="E48" s="54">
        <f>Dat_01!E346</f>
        <v>0</v>
      </c>
      <c r="F48" s="54">
        <f>Dat_01!F346</f>
        <v>0.13458950201884254</v>
      </c>
      <c r="G48" s="54">
        <f>Dat_01!G346</f>
        <v>21.220278151637505</v>
      </c>
      <c r="H48" s="54">
        <f>Dat_01!H346</f>
        <v>4.419021982951997</v>
      </c>
      <c r="I48" s="54">
        <f>Dat_01!I346</f>
        <v>0</v>
      </c>
      <c r="J48" s="54">
        <f>Dat_01!J346</f>
        <v>26.020637056976227</v>
      </c>
    </row>
    <row r="49" spans="1:12">
      <c r="A49" s="270" t="s">
        <v>6</v>
      </c>
      <c r="B49" s="247" t="str">
        <f>Dat_01!B347</f>
        <v>FEB-20</v>
      </c>
      <c r="C49" s="54">
        <f>Dat_01!C347</f>
        <v>50.287769784172667</v>
      </c>
      <c r="D49" s="54">
        <f>Dat_01!D347</f>
        <v>5.7074340527577938</v>
      </c>
      <c r="E49" s="54">
        <f>Dat_01!E347</f>
        <v>0</v>
      </c>
      <c r="F49" s="54">
        <f>Dat_01!F347</f>
        <v>0</v>
      </c>
      <c r="G49" s="54">
        <f>Dat_01!G347</f>
        <v>19.784172661870503</v>
      </c>
      <c r="H49" s="54">
        <f>Dat_01!H347</f>
        <v>5.8273381294964031</v>
      </c>
      <c r="I49" s="54">
        <f>Dat_01!I347</f>
        <v>0</v>
      </c>
      <c r="J49" s="54">
        <f>Dat_01!J347</f>
        <v>18.393285371702635</v>
      </c>
    </row>
    <row r="50" spans="1:12">
      <c r="A50" s="270" t="s">
        <v>7</v>
      </c>
      <c r="B50" s="247" t="str">
        <f>Dat_01!B348</f>
        <v>MAR-20</v>
      </c>
      <c r="C50" s="54">
        <f>Dat_01!C348</f>
        <v>49.202605570530096</v>
      </c>
      <c r="D50" s="54">
        <f>Dat_01!D348</f>
        <v>6.7273135669362079</v>
      </c>
      <c r="E50" s="54">
        <f>Dat_01!E348</f>
        <v>0</v>
      </c>
      <c r="F50" s="54">
        <f>Dat_01!F348</f>
        <v>0</v>
      </c>
      <c r="G50" s="54">
        <f>Dat_01!G348</f>
        <v>11.983378256963164</v>
      </c>
      <c r="H50" s="54">
        <f>Dat_01!H348</f>
        <v>0.53908355795148255</v>
      </c>
      <c r="I50" s="54">
        <f>Dat_01!I348</f>
        <v>0</v>
      </c>
      <c r="J50" s="54">
        <f>Dat_01!J348</f>
        <v>31.547619047619047</v>
      </c>
    </row>
    <row r="51" spans="1:12">
      <c r="A51" s="270" t="s">
        <v>8</v>
      </c>
      <c r="B51" s="247" t="str">
        <f>Dat_01!B349</f>
        <v>ABR-20</v>
      </c>
      <c r="C51" s="54">
        <f>Dat_01!C349</f>
        <v>36.555401019935104</v>
      </c>
      <c r="D51" s="54">
        <f>Dat_01!D349</f>
        <v>9.8748261474269814</v>
      </c>
      <c r="E51" s="54">
        <f>Dat_01!E349</f>
        <v>0</v>
      </c>
      <c r="F51" s="54">
        <f>Dat_01!F349</f>
        <v>0</v>
      </c>
      <c r="G51" s="54">
        <f>Dat_01!G349</f>
        <v>8.1363004172461757</v>
      </c>
      <c r="H51" s="54">
        <f>Dat_01!H349</f>
        <v>2.8975428836346779</v>
      </c>
      <c r="I51" s="54">
        <f>Dat_01!I349</f>
        <v>0</v>
      </c>
      <c r="J51" s="54">
        <f>Dat_01!J349</f>
        <v>42.535929531757063</v>
      </c>
    </row>
    <row r="52" spans="1:12">
      <c r="A52" s="270" t="s">
        <v>7</v>
      </c>
      <c r="B52" s="247" t="str">
        <f>Dat_01!B350</f>
        <v>MAY-20</v>
      </c>
      <c r="C52" s="54">
        <f>Dat_01!C350</f>
        <v>49.282189322566175</v>
      </c>
      <c r="D52" s="54">
        <f>Dat_01!D350</f>
        <v>10.206370569762226</v>
      </c>
      <c r="E52" s="54">
        <f>Dat_01!E350</f>
        <v>0</v>
      </c>
      <c r="F52" s="54">
        <f>Dat_01!F350</f>
        <v>0</v>
      </c>
      <c r="G52" s="54">
        <f>Dat_01!G350</f>
        <v>11.081202332884702</v>
      </c>
      <c r="H52" s="54">
        <f>Dat_01!H350</f>
        <v>0.13458950201884254</v>
      </c>
      <c r="I52" s="54">
        <f>Dat_01!I350</f>
        <v>0</v>
      </c>
      <c r="J52" s="54">
        <f>Dat_01!J350</f>
        <v>29.295648272768055</v>
      </c>
    </row>
    <row r="53" spans="1:12">
      <c r="A53" s="270" t="s">
        <v>9</v>
      </c>
      <c r="B53" s="247" t="str">
        <f>Dat_01!B351</f>
        <v>JUN-20</v>
      </c>
      <c r="C53" s="54">
        <f>Dat_01!C351</f>
        <v>45.155308298562815</v>
      </c>
      <c r="D53" s="54">
        <f>Dat_01!D351</f>
        <v>5.8878071395456644</v>
      </c>
      <c r="E53" s="54">
        <f>Dat_01!E351</f>
        <v>0</v>
      </c>
      <c r="F53" s="54">
        <f>Dat_01!F351</f>
        <v>0</v>
      </c>
      <c r="G53" s="54">
        <f>Dat_01!G351</f>
        <v>26.402410755679185</v>
      </c>
      <c r="H53" s="54">
        <f>Dat_01!H351</f>
        <v>0</v>
      </c>
      <c r="I53" s="54">
        <f>Dat_01!I351</f>
        <v>0</v>
      </c>
      <c r="J53" s="54">
        <f>Dat_01!J351</f>
        <v>22.554473806212336</v>
      </c>
    </row>
    <row r="54" spans="1:12">
      <c r="A54" s="270" t="s">
        <v>9</v>
      </c>
      <c r="B54" s="247" t="str">
        <f>Dat_01!B352</f>
        <v>JUL-20</v>
      </c>
      <c r="C54" s="54">
        <f>Dat_01!C352</f>
        <v>33.804396590399278</v>
      </c>
      <c r="D54" s="54">
        <f>Dat_01!D352</f>
        <v>3.4768954688200986</v>
      </c>
      <c r="E54" s="54">
        <f>Dat_01!E352</f>
        <v>0</v>
      </c>
      <c r="F54" s="54">
        <f>Dat_01!F352</f>
        <v>0</v>
      </c>
      <c r="G54" s="54">
        <f>Dat_01!G352</f>
        <v>42.687303723642891</v>
      </c>
      <c r="H54" s="54">
        <f>Dat_01!H352</f>
        <v>1.6823687752355316</v>
      </c>
      <c r="I54" s="54">
        <f>Dat_01!I352</f>
        <v>0</v>
      </c>
      <c r="J54" s="54">
        <f>Dat_01!J352</f>
        <v>18.349035441902199</v>
      </c>
    </row>
    <row r="55" spans="1:12">
      <c r="A55" s="270" t="s">
        <v>8</v>
      </c>
      <c r="B55" s="247" t="str">
        <f>Dat_01!B353</f>
        <v>AGO-20</v>
      </c>
      <c r="C55" s="54">
        <f>Dat_01!C353</f>
        <v>34.656796769851951</v>
      </c>
      <c r="D55" s="54">
        <f>Dat_01!D353</f>
        <v>5.3835800807537009</v>
      </c>
      <c r="E55" s="54">
        <f>Dat_01!E353</f>
        <v>0</v>
      </c>
      <c r="F55" s="54">
        <f>Dat_01!F353</f>
        <v>0</v>
      </c>
      <c r="G55" s="54">
        <f>Dat_01!G353</f>
        <v>29.138627187079408</v>
      </c>
      <c r="H55" s="54">
        <f>Dat_01!H353</f>
        <v>4.9125168236877519</v>
      </c>
      <c r="I55" s="54">
        <f>Dat_01!I353</f>
        <v>0</v>
      </c>
      <c r="J55" s="54">
        <f>Dat_01!J353</f>
        <v>25.90847913862719</v>
      </c>
    </row>
    <row r="56" spans="1:12">
      <c r="A56" s="270" t="s">
        <v>10</v>
      </c>
      <c r="B56" s="247" t="str">
        <f>Dat_01!B354</f>
        <v>SEP-20</v>
      </c>
      <c r="C56" s="54">
        <f>Dat_01!C354</f>
        <v>36.833565136764022</v>
      </c>
      <c r="D56" s="54">
        <f>Dat_01!D354</f>
        <v>9.4112192860454336</v>
      </c>
      <c r="E56" s="54">
        <f>Dat_01!E354</f>
        <v>0</v>
      </c>
      <c r="F56" s="54">
        <f>Dat_01!F354</f>
        <v>0.41724617524339358</v>
      </c>
      <c r="G56" s="54">
        <f>Dat_01!G354</f>
        <v>25.19703291608716</v>
      </c>
      <c r="H56" s="54">
        <f>Dat_01!H354</f>
        <v>5.563282336578582</v>
      </c>
      <c r="I56" s="54">
        <f>Dat_01!I354</f>
        <v>0</v>
      </c>
      <c r="J56" s="54">
        <f>Dat_01!J354</f>
        <v>22.577654149281408</v>
      </c>
    </row>
    <row r="57" spans="1:12">
      <c r="A57" s="270" t="s">
        <v>11</v>
      </c>
      <c r="B57" s="56" t="str">
        <f>Dat_01!B355</f>
        <v>OCT-20</v>
      </c>
      <c r="C57" s="57">
        <f>Dat_01!C355</f>
        <v>37.449664429530202</v>
      </c>
      <c r="D57" s="57">
        <f>Dat_01!D355</f>
        <v>7.852348993288591</v>
      </c>
      <c r="E57" s="57">
        <f>Dat_01!E355</f>
        <v>0</v>
      </c>
      <c r="F57" s="57">
        <f>Dat_01!F355</f>
        <v>0</v>
      </c>
      <c r="G57" s="57">
        <f>Dat_01!G355</f>
        <v>19.105145413870243</v>
      </c>
      <c r="H57" s="57">
        <f>Dat_01!H355</f>
        <v>1.319910514541387</v>
      </c>
      <c r="I57" s="57">
        <f>Dat_01!I355</f>
        <v>0</v>
      </c>
      <c r="J57" s="57">
        <f>Dat_01!J355</f>
        <v>34.272930648769581</v>
      </c>
    </row>
    <row r="58" spans="1:12">
      <c r="A58" s="259"/>
    </row>
    <row r="59" spans="1:12">
      <c r="A59" s="259"/>
      <c r="B59" s="126" t="s">
        <v>85</v>
      </c>
    </row>
    <row r="60" spans="1:12">
      <c r="B60" s="16"/>
      <c r="C60" s="306" t="s">
        <v>1</v>
      </c>
      <c r="D60" s="306" t="s">
        <v>2</v>
      </c>
      <c r="E60" s="306" t="s">
        <v>224</v>
      </c>
      <c r="F60" s="306" t="s">
        <v>18</v>
      </c>
      <c r="G60" s="306" t="s">
        <v>19</v>
      </c>
      <c r="H60" s="306" t="s">
        <v>28</v>
      </c>
      <c r="I60" s="306" t="s">
        <v>30</v>
      </c>
      <c r="J60" s="306" t="s">
        <v>34</v>
      </c>
      <c r="K60" s="174"/>
      <c r="L60" s="174"/>
    </row>
    <row r="61" spans="1:12">
      <c r="B61" s="17"/>
      <c r="C61" s="307"/>
      <c r="D61" s="307"/>
      <c r="E61" s="307"/>
      <c r="F61" s="307"/>
      <c r="G61" s="307"/>
      <c r="H61" s="307"/>
      <c r="I61" s="307"/>
      <c r="J61" s="307"/>
      <c r="K61" s="174"/>
      <c r="L61" s="174"/>
    </row>
    <row r="62" spans="1:12">
      <c r="B62" s="18" t="str">
        <f>Dat_01!B343</f>
        <v>OCT-19</v>
      </c>
      <c r="C62" s="125">
        <f>Dat_01!B67</f>
        <v>47.74</v>
      </c>
      <c r="D62" s="125">
        <f>Dat_01!C67</f>
        <v>-0.02</v>
      </c>
      <c r="E62" s="125">
        <f>Dat_01!D67</f>
        <v>47.72</v>
      </c>
      <c r="F62" s="125">
        <f>Dat_01!E67</f>
        <v>1.3900000000000001</v>
      </c>
      <c r="G62" s="125">
        <f>Dat_01!F67</f>
        <v>2.34</v>
      </c>
      <c r="H62" s="125">
        <f>Dat_01!G67</f>
        <v>0.77</v>
      </c>
      <c r="I62" s="125">
        <f>Dat_01!H67</f>
        <v>52.220000000000006</v>
      </c>
      <c r="J62" s="278">
        <f>Dat_01!I67</f>
        <v>20151.139859000003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NOV-19</v>
      </c>
      <c r="C63" s="125">
        <f>Dat_01!B68</f>
        <v>43.6</v>
      </c>
      <c r="D63" s="125">
        <f>Dat_01!C68</f>
        <v>-0.03</v>
      </c>
      <c r="E63" s="125">
        <f>Dat_01!D68</f>
        <v>43.57</v>
      </c>
      <c r="F63" s="125">
        <f>Dat_01!E68</f>
        <v>1.5499999999999998</v>
      </c>
      <c r="G63" s="125">
        <f>Dat_01!F68</f>
        <v>2.44</v>
      </c>
      <c r="H63" s="125">
        <f>Dat_01!G68</f>
        <v>0.75</v>
      </c>
      <c r="I63" s="125">
        <f>Dat_01!H68</f>
        <v>48.309999999999995</v>
      </c>
      <c r="J63" s="278">
        <f>Dat_01!I68</f>
        <v>20817.466447999999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DIC-19</v>
      </c>
      <c r="C64" s="125">
        <f>Dat_01!B69</f>
        <v>35.35</v>
      </c>
      <c r="D64" s="125">
        <f>Dat_01!C69</f>
        <v>-0.02</v>
      </c>
      <c r="E64" s="125">
        <f>Dat_01!D69</f>
        <v>35.33</v>
      </c>
      <c r="F64" s="125">
        <f>Dat_01!E69</f>
        <v>2.0700000000000007</v>
      </c>
      <c r="G64" s="125">
        <f>Dat_01!F69</f>
        <v>3</v>
      </c>
      <c r="H64" s="125">
        <f>Dat_01!G69</f>
        <v>0.74</v>
      </c>
      <c r="I64" s="125">
        <f>Dat_01!H69</f>
        <v>41.14</v>
      </c>
      <c r="J64" s="278">
        <f>Dat_01!I69</f>
        <v>20807.832398999999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ENE-20</v>
      </c>
      <c r="C65" s="125">
        <f>Dat_01!B70</f>
        <v>42.06</v>
      </c>
      <c r="D65" s="125">
        <f>Dat_01!C70</f>
        <v>-0.02</v>
      </c>
      <c r="E65" s="125">
        <f>Dat_01!D70</f>
        <v>42.04</v>
      </c>
      <c r="F65" s="125">
        <f>Dat_01!E70</f>
        <v>1.7899999999999998</v>
      </c>
      <c r="G65" s="125">
        <f>Dat_01!F70</f>
        <v>3.11</v>
      </c>
      <c r="H65" s="125">
        <f>Dat_01!G70</f>
        <v>0.03</v>
      </c>
      <c r="I65" s="125">
        <f>Dat_01!H70</f>
        <v>46.97</v>
      </c>
      <c r="J65" s="278">
        <f>Dat_01!I70</f>
        <v>22598.052840999997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FEB-20</v>
      </c>
      <c r="C66" s="125">
        <f>Dat_01!B71</f>
        <v>36.54</v>
      </c>
      <c r="D66" s="125">
        <f>Dat_01!C71</f>
        <v>-0.03</v>
      </c>
      <c r="E66" s="125">
        <f>Dat_01!D71</f>
        <v>36.51</v>
      </c>
      <c r="F66" s="125">
        <f>Dat_01!E71</f>
        <v>1.8800000000000001</v>
      </c>
      <c r="G66" s="125">
        <f>Dat_01!F71</f>
        <v>2.98</v>
      </c>
      <c r="H66" s="125">
        <f>Dat_01!G71</f>
        <v>0.03</v>
      </c>
      <c r="I66" s="125">
        <f>Dat_01!H71</f>
        <v>41.4</v>
      </c>
      <c r="J66" s="278">
        <f>Dat_01!I71</f>
        <v>19843.256881000001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MAR-20</v>
      </c>
      <c r="C67" s="125">
        <f>Dat_01!B72</f>
        <v>28.28</v>
      </c>
      <c r="D67" s="125">
        <f>Dat_01!C72</f>
        <v>-0.01</v>
      </c>
      <c r="E67" s="125">
        <f>Dat_01!D72</f>
        <v>28.27</v>
      </c>
      <c r="F67" s="125">
        <f>Dat_01!E72</f>
        <v>2.56</v>
      </c>
      <c r="G67" s="125">
        <f>Dat_01!F72</f>
        <v>2.39</v>
      </c>
      <c r="H67" s="125">
        <f>Dat_01!G72</f>
        <v>0.03</v>
      </c>
      <c r="I67" s="125">
        <f>Dat_01!H72</f>
        <v>33.25</v>
      </c>
      <c r="J67" s="278">
        <f>Dat_01!I72</f>
        <v>19774.940124000001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ABR-20</v>
      </c>
      <c r="C68" s="125">
        <f>Dat_01!B73</f>
        <v>17.809999999999999</v>
      </c>
      <c r="D68" s="125">
        <f>Dat_01!C73</f>
        <v>-0.02</v>
      </c>
      <c r="E68" s="125">
        <f>Dat_01!D73</f>
        <v>17.79</v>
      </c>
      <c r="F68" s="125">
        <f>Dat_01!E73</f>
        <v>5.0500000000000007</v>
      </c>
      <c r="G68" s="125">
        <f>Dat_01!F73</f>
        <v>2.41</v>
      </c>
      <c r="H68" s="125">
        <f>Dat_01!G73</f>
        <v>0.04</v>
      </c>
      <c r="I68" s="125">
        <f>Dat_01!H73</f>
        <v>25.29</v>
      </c>
      <c r="J68" s="278">
        <f>Dat_01!I73</f>
        <v>16135.855265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MAY-20</v>
      </c>
      <c r="C69" s="125">
        <f>Dat_01!B74</f>
        <v>21.7</v>
      </c>
      <c r="D69" s="125">
        <f>Dat_01!C74</f>
        <v>-0.01</v>
      </c>
      <c r="E69" s="125">
        <f>Dat_01!D74</f>
        <v>21.689999999999998</v>
      </c>
      <c r="F69" s="125">
        <f>Dat_01!E74</f>
        <v>3.37</v>
      </c>
      <c r="G69" s="125">
        <f>Dat_01!F74</f>
        <v>2.2400000000000002</v>
      </c>
      <c r="H69" s="125">
        <f>Dat_01!G74</f>
        <v>0.04</v>
      </c>
      <c r="I69" s="125">
        <f>Dat_01!H74</f>
        <v>27.339999999999996</v>
      </c>
      <c r="J69" s="278">
        <f>Dat_01!I74</f>
        <v>17306.409142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JUN-20</v>
      </c>
      <c r="C70" s="125">
        <f>Dat_01!B75</f>
        <v>31</v>
      </c>
      <c r="D70" s="125">
        <f>Dat_01!C75</f>
        <v>-0.01</v>
      </c>
      <c r="E70" s="125">
        <f>Dat_01!D75</f>
        <v>30.99</v>
      </c>
      <c r="F70" s="125">
        <f>Dat_01!E75</f>
        <v>2.2400000000000002</v>
      </c>
      <c r="G70" s="125">
        <f>Dat_01!F75</f>
        <v>2.76</v>
      </c>
      <c r="H70" s="125">
        <f>Dat_01!G75</f>
        <v>0.04</v>
      </c>
      <c r="I70" s="125">
        <f>Dat_01!H75</f>
        <v>36.029999999999994</v>
      </c>
      <c r="J70" s="278">
        <f>Dat_01!I75</f>
        <v>18258.792905999999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JUL-20</v>
      </c>
      <c r="C71" s="125">
        <f>Dat_01!B76</f>
        <v>35.200000000000003</v>
      </c>
      <c r="D71" s="125">
        <f>Dat_01!C76</f>
        <v>-0.01</v>
      </c>
      <c r="E71" s="125">
        <f>Dat_01!D76</f>
        <v>35.190000000000005</v>
      </c>
      <c r="F71" s="125">
        <f>Dat_01!E76</f>
        <v>1.59</v>
      </c>
      <c r="G71" s="125">
        <f>Dat_01!F76</f>
        <v>3.25</v>
      </c>
      <c r="H71" s="125">
        <f>Dat_01!G76</f>
        <v>0</v>
      </c>
      <c r="I71" s="125">
        <f>Dat_01!H76</f>
        <v>40.030000000000008</v>
      </c>
      <c r="J71" s="278">
        <f>Dat_01!I76</f>
        <v>21843.711487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AGO-20</v>
      </c>
      <c r="C72" s="125">
        <f>Dat_01!B77</f>
        <v>36.75</v>
      </c>
      <c r="D72" s="125">
        <f>Dat_01!C77</f>
        <v>-0.01</v>
      </c>
      <c r="E72" s="125">
        <f>Dat_01!D77</f>
        <v>36.74</v>
      </c>
      <c r="F72" s="125">
        <f>Dat_01!E77</f>
        <v>2.19</v>
      </c>
      <c r="G72" s="125">
        <f>Dat_01!F77</f>
        <v>2.0699999999999998</v>
      </c>
      <c r="H72" s="125">
        <f>Dat_01!G77</f>
        <v>0</v>
      </c>
      <c r="I72" s="125">
        <f>Dat_01!H77</f>
        <v>41</v>
      </c>
      <c r="J72" s="278">
        <f>Dat_01!I77</f>
        <v>20643.80025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SEP-20</v>
      </c>
      <c r="C73" s="125">
        <f>Dat_01!B78</f>
        <v>42.75</v>
      </c>
      <c r="D73" s="125">
        <f>Dat_01!C78</f>
        <v>-0.02</v>
      </c>
      <c r="E73" s="125">
        <f>Dat_01!D78</f>
        <v>42.73</v>
      </c>
      <c r="F73" s="125">
        <f>Dat_01!E78</f>
        <v>2.3200000000000003</v>
      </c>
      <c r="G73" s="125">
        <f>Dat_01!F78</f>
        <v>2.35</v>
      </c>
      <c r="H73" s="125">
        <f>Dat_01!G78</f>
        <v>0</v>
      </c>
      <c r="I73" s="125">
        <f>Dat_01!H78</f>
        <v>47.4</v>
      </c>
      <c r="J73" s="278">
        <f>Dat_01!I78</f>
        <v>19311.275227999999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OCT-20</v>
      </c>
      <c r="C74" s="176">
        <f>Dat_01!B79</f>
        <v>37.49</v>
      </c>
      <c r="D74" s="176">
        <f>Dat_01!C79</f>
        <v>-0.04</v>
      </c>
      <c r="E74" s="176">
        <f>Dat_01!D79</f>
        <v>37.450000000000003</v>
      </c>
      <c r="F74" s="176">
        <f>Dat_01!E79</f>
        <v>2.9400000000000004</v>
      </c>
      <c r="G74" s="176">
        <f>Dat_01!F79</f>
        <v>2.2599999999999998</v>
      </c>
      <c r="H74" s="176">
        <f>Dat_01!G79</f>
        <v>0</v>
      </c>
      <c r="I74" s="176">
        <f>Dat_01!H79</f>
        <v>42.65</v>
      </c>
      <c r="J74" s="279">
        <f>Dat_01!I79</f>
        <v>19524.205278999998</v>
      </c>
      <c r="K74" s="175">
        <f>E74+F74+G74+H74-VLOOKUP("Coste medio final (€/MWh)",'Data 1'!Q86:AE102,14,FALSE)</f>
        <v>0</v>
      </c>
      <c r="L74" s="177">
        <f>(I74/I73-1)*100</f>
        <v>-10.021097046413507</v>
      </c>
      <c r="M74" s="177">
        <f>(I74/I62-1)*100</f>
        <v>-18.326311757947156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37.49</v>
      </c>
      <c r="D78" s="124">
        <f>VLOOKUP("Mercado Intradiario",'Data 1'!Q86:AE102,14,FALSE)</f>
        <v>-0.04</v>
      </c>
      <c r="E78" s="124">
        <f>SUM(C78:D78)</f>
        <v>37.450000000000003</v>
      </c>
      <c r="F78" s="124">
        <f>VLOOKUP("Pago capacidad",'Data 1'!Q86:AE102,14,FALSE)</f>
        <v>2.2599999999999998</v>
      </c>
      <c r="G78" s="124">
        <f>VLOOKUP("Servicio interrumpibilidad",'Data 1'!Q86:AE102,14,FALSE)</f>
        <v>0</v>
      </c>
      <c r="H78" s="124">
        <f>SUM(I78,J78:K78)</f>
        <v>2.94</v>
      </c>
      <c r="I78" s="124">
        <f>VLOOKUP("Restricciones PBF",'Data 1'!Q86:AE102,14,FALSE)</f>
        <v>1.76</v>
      </c>
      <c r="J78" s="124">
        <f>VLOOKUP("Banda secundaria",'Data 1'!Q86:AE102,14,FALSE)</f>
        <v>0.53</v>
      </c>
      <c r="K78" s="124">
        <f>'Data 1'!O83+'Data 1'!O86+'Data 1'!O87+'Data 1'!O88+O84</f>
        <v>0.64999999999999991</v>
      </c>
      <c r="L78" s="124">
        <f>'Data 1'!AD102</f>
        <v>42.65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O</v>
      </c>
      <c r="S80" s="174" t="str">
        <f t="shared" ref="S80:AD80" si="0">MID(S83,6,1)</f>
        <v>N</v>
      </c>
      <c r="T80" s="174" t="str">
        <f t="shared" si="0"/>
        <v>D</v>
      </c>
      <c r="U80" s="174" t="str">
        <f t="shared" si="0"/>
        <v>E</v>
      </c>
      <c r="V80" s="174" t="str">
        <f t="shared" si="0"/>
        <v>F</v>
      </c>
      <c r="W80" s="174" t="str">
        <f t="shared" si="0"/>
        <v>M</v>
      </c>
      <c r="X80" s="174" t="str">
        <f t="shared" si="0"/>
        <v>A</v>
      </c>
      <c r="Y80" s="174" t="str">
        <f t="shared" si="0"/>
        <v>M</v>
      </c>
      <c r="Z80" s="174" t="str">
        <f t="shared" si="0"/>
        <v>J</v>
      </c>
      <c r="AA80" s="174" t="str">
        <f t="shared" si="0"/>
        <v>J</v>
      </c>
      <c r="AB80" s="174" t="str">
        <f t="shared" si="0"/>
        <v>A</v>
      </c>
      <c r="AC80" s="174" t="str">
        <f t="shared" si="0"/>
        <v>S</v>
      </c>
      <c r="AD80" s="174" t="str">
        <f t="shared" si="0"/>
        <v>O</v>
      </c>
      <c r="AE80" s="174"/>
      <c r="AF80" s="174"/>
    </row>
    <row r="81" spans="2:32">
      <c r="B81" s="101"/>
      <c r="C81" s="106" t="str">
        <f>MID(R83,6,1)</f>
        <v>O</v>
      </c>
      <c r="D81" s="106" t="str">
        <f t="shared" ref="D81:O81" si="1">MID(S83,6,1)</f>
        <v>N</v>
      </c>
      <c r="E81" s="106" t="str">
        <f t="shared" si="1"/>
        <v>D</v>
      </c>
      <c r="F81" s="106" t="str">
        <f t="shared" si="1"/>
        <v>E</v>
      </c>
      <c r="G81" s="106" t="str">
        <f t="shared" si="1"/>
        <v>F</v>
      </c>
      <c r="H81" s="106" t="str">
        <f t="shared" si="1"/>
        <v>M</v>
      </c>
      <c r="I81" s="106" t="str">
        <f t="shared" si="1"/>
        <v>A</v>
      </c>
      <c r="J81" s="106" t="str">
        <f t="shared" si="1"/>
        <v>M</v>
      </c>
      <c r="K81" s="106" t="str">
        <f t="shared" si="1"/>
        <v>J</v>
      </c>
      <c r="L81" s="106" t="str">
        <f t="shared" si="1"/>
        <v>J</v>
      </c>
      <c r="M81" s="106" t="str">
        <f t="shared" si="1"/>
        <v>A</v>
      </c>
      <c r="N81" s="106" t="str">
        <f t="shared" si="1"/>
        <v>S</v>
      </c>
      <c r="O81" s="106" t="str">
        <f t="shared" si="1"/>
        <v>O</v>
      </c>
      <c r="P81" s="174"/>
      <c r="Q81" s="102" t="s">
        <v>31</v>
      </c>
      <c r="R81" s="102" t="s">
        <v>64</v>
      </c>
      <c r="S81" s="102" t="s">
        <v>64</v>
      </c>
      <c r="T81" s="102" t="s">
        <v>64</v>
      </c>
      <c r="U81" s="102" t="s">
        <v>64</v>
      </c>
      <c r="V81" s="102" t="s">
        <v>64</v>
      </c>
      <c r="W81" s="102" t="s">
        <v>64</v>
      </c>
      <c r="X81" s="102" t="s">
        <v>64</v>
      </c>
      <c r="Y81" s="102" t="s">
        <v>64</v>
      </c>
      <c r="Z81" s="102" t="s">
        <v>64</v>
      </c>
      <c r="AA81" s="102" t="s">
        <v>64</v>
      </c>
      <c r="AB81" s="102" t="s">
        <v>64</v>
      </c>
      <c r="AC81" s="102" t="s">
        <v>64</v>
      </c>
      <c r="AD81" s="102" t="s">
        <v>64</v>
      </c>
      <c r="AE81" s="178"/>
      <c r="AF81" s="174"/>
    </row>
    <row r="82" spans="2:32">
      <c r="B82" s="102" t="s">
        <v>22</v>
      </c>
      <c r="C82" s="107">
        <f>VLOOKUP("Restricciones PBF",$Q$86:$AE$102,2,FALSE)</f>
        <v>0.98</v>
      </c>
      <c r="D82" s="107">
        <f>VLOOKUP("Restricciones PBF",$Q$86:$AE$102,3,FALSE)</f>
        <v>1.1000000000000001</v>
      </c>
      <c r="E82" s="107">
        <f>VLOOKUP("Restricciones PBF",$Q$86:$AE$102,4,FALSE)</f>
        <v>1.37</v>
      </c>
      <c r="F82" s="107">
        <f>VLOOKUP("Restricciones PBF",$Q$86:$AE$102,5,FALSE)</f>
        <v>1.32</v>
      </c>
      <c r="G82" s="107">
        <f>VLOOKUP("Restricciones PBF",$Q$86:$AE$102,6,FALSE)</f>
        <v>1.44</v>
      </c>
      <c r="H82" s="107">
        <f>VLOOKUP("Restricciones PBF",$Q$86:$AE$102,7,FALSE)</f>
        <v>2.0299999999999998</v>
      </c>
      <c r="I82" s="107">
        <f>VLOOKUP("Restricciones PBF",$Q$86:$AE$102,8,FALSE)</f>
        <v>4.54</v>
      </c>
      <c r="J82" s="107">
        <f>VLOOKUP("Restricciones PBF",$Q$86:$AE$102,9,FALSE)</f>
        <v>2.96</v>
      </c>
      <c r="K82" s="107">
        <f>VLOOKUP("Restricciones PBF",$Q$86:$AE$102,10,FALSE)</f>
        <v>1.68</v>
      </c>
      <c r="L82" s="107">
        <f>VLOOKUP("Restricciones PBF",$Q$86:$AE$102,11,FALSE)</f>
        <v>1.07</v>
      </c>
      <c r="M82" s="107">
        <f>VLOOKUP("Restricciones PBF",$Q$86:$AE$102,12,FALSE)</f>
        <v>1.29</v>
      </c>
      <c r="N82" s="107">
        <f>VLOOKUP("Restricciones PBF",$Q$86:$AE$102,13,FALSE)</f>
        <v>1.05</v>
      </c>
      <c r="O82" s="107">
        <f>VLOOKUP("Restricciones PBF",$Q$86:$AE$102,14,FALSE)</f>
        <v>1.76</v>
      </c>
      <c r="P82" s="174"/>
      <c r="Q82" s="102" t="s">
        <v>225</v>
      </c>
      <c r="R82" s="102">
        <f>Dat_01!B42</f>
        <v>201910</v>
      </c>
      <c r="S82" s="102">
        <f>Dat_01!C42</f>
        <v>201911</v>
      </c>
      <c r="T82" s="102">
        <f>Dat_01!D42</f>
        <v>201912</v>
      </c>
      <c r="U82" s="102">
        <f>Dat_01!E42</f>
        <v>202001</v>
      </c>
      <c r="V82" s="102">
        <f>Dat_01!F42</f>
        <v>202002</v>
      </c>
      <c r="W82" s="102">
        <f>Dat_01!G42</f>
        <v>202003</v>
      </c>
      <c r="X82" s="102">
        <f>Dat_01!H42</f>
        <v>202004</v>
      </c>
      <c r="Y82" s="102">
        <f>Dat_01!I42</f>
        <v>202005</v>
      </c>
      <c r="Z82" s="102">
        <f>Dat_01!J42</f>
        <v>202006</v>
      </c>
      <c r="AA82" s="102">
        <f>Dat_01!K42</f>
        <v>202007</v>
      </c>
      <c r="AB82" s="102">
        <f>Dat_01!L42</f>
        <v>202008</v>
      </c>
      <c r="AC82" s="102">
        <f>Dat_01!M42</f>
        <v>202009</v>
      </c>
      <c r="AD82" s="102">
        <f>Dat_01!N42</f>
        <v>202010</v>
      </c>
      <c r="AE82" s="178"/>
      <c r="AF82" s="174"/>
    </row>
    <row r="83" spans="2:32">
      <c r="B83" s="102" t="s">
        <v>27</v>
      </c>
      <c r="C83" s="107">
        <f>VLOOKUP("Restricciones TR",$Q$86:$AE$102,2,FALSE)</f>
        <v>7.0000000000000007E-2</v>
      </c>
      <c r="D83" s="107">
        <f>VLOOKUP("Restricciones TR",$Q$86:$AE$102,3,FALSE)</f>
        <v>0.05</v>
      </c>
      <c r="E83" s="107">
        <f>VLOOKUP("Restricciones TR",$Q$86:$AE$102,4,FALSE)</f>
        <v>0.09</v>
      </c>
      <c r="F83" s="107">
        <f>VLOOKUP("Restricciones TR",$Q$86:$AE$102,5,FALSE)</f>
        <v>0.18</v>
      </c>
      <c r="G83" s="107">
        <f>VLOOKUP("Restricciones TR",$Q$86:$AE$102,6,FALSE)</f>
        <v>7.0000000000000007E-2</v>
      </c>
      <c r="H83" s="107">
        <f>VLOOKUP("Restricciones TR",$Q$86:$AE$102,7,FALSE)</f>
        <v>0.12</v>
      </c>
      <c r="I83" s="107">
        <f>VLOOKUP("Restricciones TR",$Q$86:$AE$102,8,FALSE)</f>
        <v>7.0000000000000007E-2</v>
      </c>
      <c r="J83" s="107">
        <f>VLOOKUP("Restricciones TR",$Q$86:$AE$102,9,FALSE)</f>
        <v>0.08</v>
      </c>
      <c r="K83" s="107">
        <f>VLOOKUP("Restricciones TR",$Q$86:$AE$102,10,FALSE)</f>
        <v>0.15</v>
      </c>
      <c r="L83" s="107">
        <f>VLOOKUP("Restricciones TR",$Q$86:$AE$102,11,FALSE)</f>
        <v>0.16</v>
      </c>
      <c r="M83" s="107">
        <f>VLOOKUP("Restricciones TR",$Q$86:$AE$102,12,FALSE)</f>
        <v>0.49</v>
      </c>
      <c r="N83" s="107">
        <f>VLOOKUP("Restricciones TR",$Q$86:$AE$102,13,FALSE)</f>
        <v>0.84</v>
      </c>
      <c r="O83" s="107">
        <f>VLOOKUP("Restricciones TR",$Q$86:$AE$102,14,FALSE)</f>
        <v>0.62</v>
      </c>
      <c r="P83" s="174"/>
      <c r="Q83" s="102" t="s">
        <v>226</v>
      </c>
      <c r="R83" s="102" t="str">
        <f>Dat_01!B43</f>
        <v>2019 Octubre</v>
      </c>
      <c r="S83" s="102" t="str">
        <f>Dat_01!C43</f>
        <v>2019 Noviembre</v>
      </c>
      <c r="T83" s="102" t="str">
        <f>Dat_01!D43</f>
        <v>2019 Diciembre</v>
      </c>
      <c r="U83" s="102" t="str">
        <f>Dat_01!E43</f>
        <v>2020 Enero</v>
      </c>
      <c r="V83" s="102" t="str">
        <f>Dat_01!F43</f>
        <v>2020 Febrero</v>
      </c>
      <c r="W83" s="102" t="str">
        <f>Dat_01!G43</f>
        <v>2020 Marzo</v>
      </c>
      <c r="X83" s="102" t="str">
        <f>Dat_01!H43</f>
        <v>2020 Abril</v>
      </c>
      <c r="Y83" s="102" t="str">
        <f>Dat_01!I43</f>
        <v>2020 Mayo</v>
      </c>
      <c r="Z83" s="102" t="str">
        <f>Dat_01!J43</f>
        <v>2020 Junio</v>
      </c>
      <c r="AA83" s="102" t="str">
        <f>Dat_01!K43</f>
        <v>2020 Julio</v>
      </c>
      <c r="AB83" s="102" t="str">
        <f>Dat_01!L43</f>
        <v>2020 Agosto</v>
      </c>
      <c r="AC83" s="102" t="str">
        <f>Dat_01!M43</f>
        <v>2020 Septiembre</v>
      </c>
      <c r="AD83" s="102" t="str">
        <f>Dat_01!N43</f>
        <v>2020 Octubre</v>
      </c>
      <c r="AE83" s="178"/>
      <c r="AF83" s="174"/>
    </row>
    <row r="84" spans="2:32">
      <c r="B84" s="102" t="s">
        <v>26</v>
      </c>
      <c r="C84" s="107">
        <f>VLOOKUP("Reserva subir",$Q$86:$AE$102,2,FALSE)</f>
        <v>0.03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227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0.32</v>
      </c>
      <c r="D85" s="107">
        <f>VLOOKUP("Banda Secundaria",$Q$86:$AE$102,3,FALSE)</f>
        <v>0.44</v>
      </c>
      <c r="E85" s="107">
        <f>VLOOKUP("Banda Secundaria",$Q$86:$AE$102,4,FALSE)</f>
        <v>0.63</v>
      </c>
      <c r="F85" s="107">
        <f>VLOOKUP("Banda Secundaria",$Q$86:$AE$102,5,FALSE)</f>
        <v>0.3</v>
      </c>
      <c r="G85" s="107">
        <f>VLOOKUP("Banda Secundaria",$Q$86:$AE$102,6,FALSE)</f>
        <v>0.33</v>
      </c>
      <c r="H85" s="107">
        <f>VLOOKUP("Banda Secundaria",$Q$86:$AE$102,7,FALSE)</f>
        <v>0.35</v>
      </c>
      <c r="I85" s="107">
        <f>VLOOKUP("Banda Secundaria",$Q$86:$AE$102,8,FALSE)</f>
        <v>0.45</v>
      </c>
      <c r="J85" s="107">
        <f>VLOOKUP("Banda Secundaria",$Q$86:$AE$102,9,FALSE)</f>
        <v>0.38</v>
      </c>
      <c r="K85" s="107">
        <f>VLOOKUP("Banda Secundaria",$Q$86:$AE$102,10,FALSE)</f>
        <v>0.39</v>
      </c>
      <c r="L85" s="107">
        <f>VLOOKUP("Banda Secundaria",$Q$86:$AE$102,11,FALSE)</f>
        <v>0.33</v>
      </c>
      <c r="M85" s="107">
        <f>VLOOKUP("Banda Secundaria",$Q$86:$AE$102,12,FALSE)</f>
        <v>0.35</v>
      </c>
      <c r="N85" s="107">
        <f>VLOOKUP("Banda Secundaria",$Q$86:$AE$102,13,FALSE)</f>
        <v>0.41</v>
      </c>
      <c r="O85" s="107">
        <f>VLOOKUP("Banda Secundaria",$Q$86:$AE$102,14,FALSE)</f>
        <v>0.53</v>
      </c>
      <c r="P85" s="174"/>
      <c r="Q85" s="102" t="s">
        <v>65</v>
      </c>
      <c r="R85" s="194">
        <f>Dat_01!B45</f>
        <v>20151139.859000001</v>
      </c>
      <c r="S85" s="194">
        <f>Dat_01!C45</f>
        <v>20817466.447999999</v>
      </c>
      <c r="T85" s="194">
        <f>Dat_01!D45</f>
        <v>20807832.399</v>
      </c>
      <c r="U85" s="194">
        <f>Dat_01!E45</f>
        <v>22598052.840999998</v>
      </c>
      <c r="V85" s="194">
        <f>Dat_01!F45</f>
        <v>19843256.881000001</v>
      </c>
      <c r="W85" s="194">
        <f>Dat_01!G45</f>
        <v>19774940.124000002</v>
      </c>
      <c r="X85" s="194">
        <f>Dat_01!H45</f>
        <v>16135855.265000001</v>
      </c>
      <c r="Y85" s="194">
        <f>Dat_01!I45</f>
        <v>17306409.142000001</v>
      </c>
      <c r="Z85" s="194">
        <f>Dat_01!J45</f>
        <v>18258792.905999999</v>
      </c>
      <c r="AA85" s="194">
        <f>Dat_01!K45</f>
        <v>21843711.487</v>
      </c>
      <c r="AB85" s="194">
        <f>Dat_01!L45</f>
        <v>20643800.25</v>
      </c>
      <c r="AC85" s="194">
        <f>Dat_01!M45</f>
        <v>19311275.228</v>
      </c>
      <c r="AD85" s="194">
        <f>Dat_01!N45</f>
        <v>19524205.278999999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0.13</v>
      </c>
      <c r="D86" s="107">
        <f>VLOOKUP("Coste desvíos",$Q$86:$AE$102,3,FALSE)+VLOOKUP("Saldo PO 14.6",$Q$86:$AE$102,3,FALSE)</f>
        <v>0.16</v>
      </c>
      <c r="E86" s="107">
        <f>VLOOKUP("Coste desvíos",$Q$86:$AE$102,4,FALSE)+VLOOKUP("Saldo PO 14.6",$Q$86:$AE$102,4,FALSE)</f>
        <v>0.22</v>
      </c>
      <c r="F86" s="107">
        <f>VLOOKUP("Coste desvíos",$Q$86:$AE$102,5,FALSE)+VLOOKUP("Saldo PO 14.6",$Q$86:$AE$102,5,FALSE)</f>
        <v>0.15</v>
      </c>
      <c r="G86" s="107">
        <f>VLOOKUP("Coste desvíos",$Q$86:$AE$102,6,FALSE)+VLOOKUP("Saldo PO 14.6",$Q$86:$AE$102,6,FALSE)</f>
        <v>0.17</v>
      </c>
      <c r="H86" s="107">
        <f>VLOOKUP("Coste desvíos",$Q$86:$AE$102,7,FALSE)+VLOOKUP("Saldo PO 14.6",$Q$86:$AE$102,7,FALSE)</f>
        <v>0.23</v>
      </c>
      <c r="I86" s="107">
        <f>VLOOKUP("Coste desvíos",$Q$86:$AE$102,8,FALSE)+VLOOKUP("Saldo PO 14.6",$Q$86:$AE$102,8,FALSE)</f>
        <v>0.17</v>
      </c>
      <c r="J86" s="107">
        <f>VLOOKUP("Coste desvíos",$Q$86:$AE$102,9,FALSE)+VLOOKUP("Saldo PO 14.6",$Q$86:$AE$102,9,FALSE)</f>
        <v>0.11</v>
      </c>
      <c r="K86" s="107">
        <f>VLOOKUP("Coste desvíos",$Q$86:$AE$102,10,FALSE)+VLOOKUP("Saldo PO 14.6",$Q$86:$AE$102,10,FALSE)</f>
        <v>0.16</v>
      </c>
      <c r="L86" s="107">
        <f>VLOOKUP("Coste desvíos",$Q$86:$AE$102,11,FALSE)+VLOOKUP("Saldo PO 14.6",$Q$86:$AE$102,11,FALSE)</f>
        <v>0.1</v>
      </c>
      <c r="M86" s="107">
        <f>VLOOKUP("Coste desvíos",$Q$86:$AE$102,12,FALSE)+VLOOKUP("Saldo PO 14.6",$Q$86:$AE$102,12,FALSE)</f>
        <v>0.15000000000000002</v>
      </c>
      <c r="N86" s="107">
        <f>VLOOKUP("Coste desvíos",$Q$86:$AE$102,13,FALSE)+VLOOKUP("Saldo PO 14.6",$Q$86:$AE$102,13,FALSE)</f>
        <v>9.0000000000000011E-2</v>
      </c>
      <c r="O86" s="107">
        <f>VLOOKUP("Coste desvíos",$Q$86:$AE$102,14,FALSE)+VLOOKUP("Saldo PO 14.6",$Q$86:$AE$102,14,FALSE)</f>
        <v>9.9999999999999992E-2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-0.08</v>
      </c>
      <c r="D87" s="107">
        <f>VLOOKUP("Saldo desvíos",$Q$86:$AE$102,3,FALSE)+VLOOKUP("Incumplimiento energía balance",$Q$86:$AE$102,3,FALSE)</f>
        <v>-0.11</v>
      </c>
      <c r="E87" s="107">
        <f>VLOOKUP("Saldo desvíos",$Q$86:$AE$102,4,FALSE)+VLOOKUP("Incumplimiento energía balance",$Q$86:$AE$102,4,FALSE)</f>
        <v>-0.17</v>
      </c>
      <c r="F87" s="107">
        <f>VLOOKUP("Saldo desvíos",$Q$86:$AE$102,5,FALSE)+VLOOKUP("Incumplimiento energía balance",$Q$86:$AE$102,5,FALSE)</f>
        <v>-0.1</v>
      </c>
      <c r="G87" s="107">
        <f>VLOOKUP("Saldo desvíos",$Q$86:$AE$102,6,FALSE)+VLOOKUP("Incumplimiento energía balance",$Q$86:$AE$102,6,FALSE)</f>
        <v>-6.9999999999999993E-2</v>
      </c>
      <c r="H87" s="107">
        <f>VLOOKUP("Saldo desvíos",$Q$86:$AE$102,7,FALSE)+VLOOKUP("Incumplimiento energía balance",$Q$86:$AE$102,7,FALSE)</f>
        <v>-9.9999999999999992E-2</v>
      </c>
      <c r="I87" s="107">
        <f>VLOOKUP("Saldo desvíos",$Q$86:$AE$102,8,FALSE)+VLOOKUP("Incumplimiento energía balance",$Q$86:$AE$102,8,FALSE)</f>
        <v>-0.08</v>
      </c>
      <c r="J87" s="107">
        <f>VLOOKUP("Saldo desvíos",$Q$86:$AE$102,9,FALSE)+VLOOKUP("Incumplimiento energía balance",$Q$86:$AE$102,9,FALSE)</f>
        <v>-6.9999999999999993E-2</v>
      </c>
      <c r="K87" s="107">
        <f>VLOOKUP("Saldo desvíos",$Q$86:$AE$102,10,FALSE)+VLOOKUP("Incumplimiento energía balance",$Q$86:$AE$102,10,FALSE)</f>
        <v>-7.0000000000000007E-2</v>
      </c>
      <c r="L87" s="107">
        <f>VLOOKUP("Saldo desvíos",$Q$86:$AE$102,11,FALSE)+VLOOKUP("Incumplimiento energía balance",$Q$86:$AE$102,11,FALSE)</f>
        <v>-0.01</v>
      </c>
      <c r="M87" s="107">
        <f>VLOOKUP("Saldo desvíos",$Q$86:$AE$102,12,FALSE)+VLOOKUP("Incumplimiento energía balance",$Q$86:$AE$102,12,FALSE)</f>
        <v>-0.03</v>
      </c>
      <c r="N87" s="107">
        <f>VLOOKUP("Saldo desvíos",$Q$86:$AE$102,13,FALSE)+VLOOKUP("Incumplimiento energía balance",$Q$86:$AE$102,13,FALSE)</f>
        <v>-0.01</v>
      </c>
      <c r="O87" s="107">
        <f>VLOOKUP("Saldo desvíos",$Q$86:$AE$102,14,FALSE)+VLOOKUP("Incumplimiento energía balance",$Q$86:$AE$102,14,FALSE)</f>
        <v>0</v>
      </c>
      <c r="P87" s="174"/>
      <c r="Q87" s="102" t="str">
        <f>Dat_01!A47</f>
        <v>Mercado Diario</v>
      </c>
      <c r="R87" s="107">
        <f>Dat_01!B47</f>
        <v>47.74</v>
      </c>
      <c r="S87" s="107">
        <f>Dat_01!C47</f>
        <v>43.6</v>
      </c>
      <c r="T87" s="107">
        <f>Dat_01!D47</f>
        <v>35.35</v>
      </c>
      <c r="U87" s="107">
        <f>Dat_01!E47</f>
        <v>42.06</v>
      </c>
      <c r="V87" s="107">
        <f>Dat_01!F47</f>
        <v>36.54</v>
      </c>
      <c r="W87" s="107">
        <f>Dat_01!G47</f>
        <v>28.28</v>
      </c>
      <c r="X87" s="107">
        <f>Dat_01!H47</f>
        <v>17.809999999999999</v>
      </c>
      <c r="Y87" s="107">
        <f>Dat_01!I47</f>
        <v>21.7</v>
      </c>
      <c r="Z87" s="107">
        <f>Dat_01!J47</f>
        <v>31</v>
      </c>
      <c r="AA87" s="107">
        <f>Dat_01!K47</f>
        <v>35.200000000000003</v>
      </c>
      <c r="AB87" s="107">
        <f>Dat_01!L47</f>
        <v>36.75</v>
      </c>
      <c r="AC87" s="107">
        <f>Dat_01!M47</f>
        <v>42.75</v>
      </c>
      <c r="AD87" s="107">
        <f>Dat_01!N47</f>
        <v>37.49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-0.06</v>
      </c>
      <c r="D88" s="108">
        <f>VLOOKUP("Control del factor de potencia",$Q$86:$AE$102,3,FALSE)</f>
        <v>-0.09</v>
      </c>
      <c r="E88" s="108">
        <f>VLOOKUP("Control del factor de potencia",$Q$86:$AE$102,4,FALSE)</f>
        <v>-7.0000000000000007E-2</v>
      </c>
      <c r="F88" s="108">
        <f>VLOOKUP("Control del factor de potencia",$Q$86:$AE$102,5,FALSE)</f>
        <v>-0.06</v>
      </c>
      <c r="G88" s="108">
        <f>VLOOKUP("Control del factor de potencia",$Q$86:$AE$102,6,FALSE)</f>
        <v>-0.06</v>
      </c>
      <c r="H88" s="108">
        <f>VLOOKUP("Control del factor de potencia",$Q$86:$AE$102,7,FALSE)</f>
        <v>-7.0000000000000007E-2</v>
      </c>
      <c r="I88" s="108">
        <f>VLOOKUP("Control del factor de potencia",$Q$86:$AE$102,8,FALSE)</f>
        <v>-0.1</v>
      </c>
      <c r="J88" s="108">
        <f>VLOOKUP("Control del factor de potencia",$Q$86:$AE$102,9,FALSE)</f>
        <v>-0.09</v>
      </c>
      <c r="K88" s="108">
        <f>VLOOKUP("Control del factor de potencia",$Q$86:$AE$102,10,FALSE)</f>
        <v>-7.0000000000000007E-2</v>
      </c>
      <c r="L88" s="108">
        <f>VLOOKUP("Control del factor de potencia",$Q$86:$AE$102,11,FALSE)</f>
        <v>-0.06</v>
      </c>
      <c r="M88" s="108">
        <f>VLOOKUP("Control del factor de potencia",$Q$86:$AE$102,12,FALSE)</f>
        <v>-0.06</v>
      </c>
      <c r="N88" s="108">
        <f>VLOOKUP("Control del factor de potencia",$Q$86:$AE$102,13,FALSE)</f>
        <v>-0.06</v>
      </c>
      <c r="O88" s="108">
        <f>VLOOKUP("Control del factor de potencia",$Q$86:$AE$102,14,FALSE)</f>
        <v>-7.0000000000000007E-2</v>
      </c>
      <c r="P88" s="174"/>
      <c r="Q88" s="102" t="str">
        <f>Dat_01!A48</f>
        <v>Restricciones PBF</v>
      </c>
      <c r="R88" s="107">
        <f>Dat_01!B48</f>
        <v>0.98</v>
      </c>
      <c r="S88" s="107">
        <f>Dat_01!C48</f>
        <v>1.1000000000000001</v>
      </c>
      <c r="T88" s="107">
        <f>Dat_01!D48</f>
        <v>1.37</v>
      </c>
      <c r="U88" s="107">
        <f>Dat_01!E48</f>
        <v>1.32</v>
      </c>
      <c r="V88" s="107">
        <f>Dat_01!F48</f>
        <v>1.44</v>
      </c>
      <c r="W88" s="107">
        <f>Dat_01!G48</f>
        <v>2.0299999999999998</v>
      </c>
      <c r="X88" s="107">
        <f>Dat_01!H48</f>
        <v>4.54</v>
      </c>
      <c r="Y88" s="107">
        <f>Dat_01!I48</f>
        <v>2.96</v>
      </c>
      <c r="Z88" s="107">
        <f>Dat_01!J48</f>
        <v>1.68</v>
      </c>
      <c r="AA88" s="107">
        <f>Dat_01!K48</f>
        <v>1.07</v>
      </c>
      <c r="AB88" s="107">
        <f>Dat_01!L48</f>
        <v>1.29</v>
      </c>
      <c r="AC88" s="107">
        <f>Dat_01!M48</f>
        <v>1.05</v>
      </c>
      <c r="AD88" s="107">
        <f>Dat_01!N48</f>
        <v>1.76</v>
      </c>
      <c r="AE88" s="181"/>
      <c r="AF88" s="174"/>
    </row>
    <row r="89" spans="2:32">
      <c r="B89" s="174"/>
      <c r="C89" s="182">
        <f t="shared" ref="C89:O89" si="2">SUM(C82:C88)</f>
        <v>1.3900000000000001</v>
      </c>
      <c r="D89" s="182">
        <f t="shared" si="2"/>
        <v>1.5499999999999998</v>
      </c>
      <c r="E89" s="182">
        <f t="shared" si="2"/>
        <v>2.0700000000000007</v>
      </c>
      <c r="F89" s="182">
        <f t="shared" si="2"/>
        <v>1.7899999999999998</v>
      </c>
      <c r="G89" s="182">
        <f t="shared" si="2"/>
        <v>1.8800000000000001</v>
      </c>
      <c r="H89" s="182">
        <f t="shared" si="2"/>
        <v>2.56</v>
      </c>
      <c r="I89" s="182">
        <f t="shared" si="2"/>
        <v>5.0500000000000007</v>
      </c>
      <c r="J89" s="182">
        <f t="shared" si="2"/>
        <v>3.37</v>
      </c>
      <c r="K89" s="182">
        <f t="shared" si="2"/>
        <v>2.2400000000000002</v>
      </c>
      <c r="L89" s="182">
        <f t="shared" si="2"/>
        <v>1.59</v>
      </c>
      <c r="M89" s="182">
        <f t="shared" si="2"/>
        <v>2.19</v>
      </c>
      <c r="N89" s="182">
        <f t="shared" si="2"/>
        <v>2.3200000000000003</v>
      </c>
      <c r="O89" s="182">
        <f t="shared" si="2"/>
        <v>2.9400000000000004</v>
      </c>
      <c r="P89" s="174"/>
      <c r="Q89" s="102" t="str">
        <f>Dat_01!A49</f>
        <v>Restricciones TR</v>
      </c>
      <c r="R89" s="107">
        <f>Dat_01!B49</f>
        <v>7.0000000000000007E-2</v>
      </c>
      <c r="S89" s="107">
        <f>Dat_01!C49</f>
        <v>0.05</v>
      </c>
      <c r="T89" s="107">
        <f>Dat_01!D49</f>
        <v>0.09</v>
      </c>
      <c r="U89" s="107">
        <f>Dat_01!E49</f>
        <v>0.18</v>
      </c>
      <c r="V89" s="107">
        <f>Dat_01!F49</f>
        <v>7.0000000000000007E-2</v>
      </c>
      <c r="W89" s="107">
        <f>Dat_01!G49</f>
        <v>0.12</v>
      </c>
      <c r="X89" s="107">
        <f>Dat_01!H49</f>
        <v>7.0000000000000007E-2</v>
      </c>
      <c r="Y89" s="107">
        <f>Dat_01!I49</f>
        <v>0.08</v>
      </c>
      <c r="Z89" s="107">
        <f>Dat_01!J49</f>
        <v>0.15</v>
      </c>
      <c r="AA89" s="107">
        <f>Dat_01!K49</f>
        <v>0.16</v>
      </c>
      <c r="AB89" s="107">
        <f>Dat_01!L49</f>
        <v>0.49</v>
      </c>
      <c r="AC89" s="107">
        <f>Dat_01!M49</f>
        <v>0.84</v>
      </c>
      <c r="AD89" s="107">
        <f>Dat_01!N49</f>
        <v>0.62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-0.02</v>
      </c>
      <c r="S90" s="107">
        <f>Dat_01!C50</f>
        <v>-0.03</v>
      </c>
      <c r="T90" s="107">
        <f>Dat_01!D50</f>
        <v>-0.02</v>
      </c>
      <c r="U90" s="107">
        <f>Dat_01!E50</f>
        <v>-0.02</v>
      </c>
      <c r="V90" s="107">
        <f>Dat_01!F50</f>
        <v>-0.03</v>
      </c>
      <c r="W90" s="107">
        <f>Dat_01!G50</f>
        <v>-0.01</v>
      </c>
      <c r="X90" s="107">
        <f>Dat_01!H50</f>
        <v>-0.02</v>
      </c>
      <c r="Y90" s="107">
        <f>Dat_01!I50</f>
        <v>-0.01</v>
      </c>
      <c r="Z90" s="107">
        <f>Dat_01!J50</f>
        <v>-0.01</v>
      </c>
      <c r="AA90" s="107">
        <f>Dat_01!K50</f>
        <v>-0.01</v>
      </c>
      <c r="AB90" s="107">
        <f>Dat_01!L50</f>
        <v>-0.01</v>
      </c>
      <c r="AC90" s="107">
        <f>Dat_01!M50</f>
        <v>-0.02</v>
      </c>
      <c r="AD90" s="107">
        <f>Dat_01!N50</f>
        <v>-0.04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228</v>
      </c>
      <c r="N91" s="102"/>
      <c r="O91" s="184">
        <f>(O89-C89)/C89</f>
        <v>1.1151079136690649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229</v>
      </c>
      <c r="N92" s="102"/>
      <c r="O92" s="185"/>
      <c r="P92" s="174"/>
      <c r="Q92" s="102" t="str">
        <f>Dat_01!A52</f>
        <v>Reserva subir</v>
      </c>
      <c r="R92" s="107">
        <f>Dat_01!B52</f>
        <v>0.03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0.32</v>
      </c>
      <c r="S93" s="107">
        <f>Dat_01!C53</f>
        <v>0.44</v>
      </c>
      <c r="T93" s="107">
        <f>Dat_01!D53</f>
        <v>0.63</v>
      </c>
      <c r="U93" s="107">
        <f>Dat_01!E53</f>
        <v>0.3</v>
      </c>
      <c r="V93" s="107">
        <f>Dat_01!F53</f>
        <v>0.33</v>
      </c>
      <c r="W93" s="107">
        <f>Dat_01!G53</f>
        <v>0.35</v>
      </c>
      <c r="X93" s="107">
        <f>Dat_01!H53</f>
        <v>0.45</v>
      </c>
      <c r="Y93" s="107">
        <f>Dat_01!I53</f>
        <v>0.38</v>
      </c>
      <c r="Z93" s="107">
        <f>Dat_01!J53</f>
        <v>0.39</v>
      </c>
      <c r="AA93" s="107">
        <f>Dat_01!K53</f>
        <v>0.33</v>
      </c>
      <c r="AB93" s="107">
        <f>Dat_01!L53</f>
        <v>0.35</v>
      </c>
      <c r="AC93" s="107">
        <f>Dat_01!M53</f>
        <v>0.41</v>
      </c>
      <c r="AD93" s="107">
        <f>Dat_01!N53</f>
        <v>0.53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-0.03</v>
      </c>
      <c r="S94" s="107">
        <f>Dat_01!C54</f>
        <v>-0.03</v>
      </c>
      <c r="T94" s="107">
        <f>Dat_01!D54</f>
        <v>-0.03</v>
      </c>
      <c r="U94" s="107">
        <f>Dat_01!E54</f>
        <v>-0.02</v>
      </c>
      <c r="V94" s="107">
        <f>Dat_01!F54</f>
        <v>-0.01</v>
      </c>
      <c r="W94" s="107">
        <f>Dat_01!G54</f>
        <v>-0.01</v>
      </c>
      <c r="X94" s="107">
        <f>Dat_01!H54</f>
        <v>-0.01</v>
      </c>
      <c r="Y94" s="107">
        <f>Dat_01!I54</f>
        <v>-0.01</v>
      </c>
      <c r="Z94" s="107">
        <f>Dat_01!J54</f>
        <v>-0.02</v>
      </c>
      <c r="AA94" s="107">
        <f>Dat_01!K54</f>
        <v>-0.02</v>
      </c>
      <c r="AB94" s="107">
        <f>Dat_01!L54</f>
        <v>-0.02</v>
      </c>
      <c r="AC94" s="107">
        <f>Dat_01!M54</f>
        <v>-0.02</v>
      </c>
      <c r="AD94" s="107">
        <f>Dat_01!N54</f>
        <v>-0.02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0.13</v>
      </c>
      <c r="S95" s="107">
        <f>Dat_01!C55</f>
        <v>0.15</v>
      </c>
      <c r="T95" s="107">
        <f>Dat_01!D55</f>
        <v>0.22</v>
      </c>
      <c r="U95" s="107">
        <f>Dat_01!E55</f>
        <v>0.16</v>
      </c>
      <c r="V95" s="107">
        <f>Dat_01!F55</f>
        <v>0.14000000000000001</v>
      </c>
      <c r="W95" s="107">
        <f>Dat_01!G55</f>
        <v>0.22</v>
      </c>
      <c r="X95" s="107">
        <f>Dat_01!H55</f>
        <v>0.16</v>
      </c>
      <c r="Y95" s="107">
        <f>Dat_01!I55</f>
        <v>0.1</v>
      </c>
      <c r="Z95" s="107">
        <f>Dat_01!J55</f>
        <v>0.15</v>
      </c>
      <c r="AA95" s="107">
        <f>Dat_01!K55</f>
        <v>0.1</v>
      </c>
      <c r="AB95" s="107">
        <f>Dat_01!L55</f>
        <v>0.14000000000000001</v>
      </c>
      <c r="AC95" s="107">
        <f>Dat_01!M55</f>
        <v>0.1</v>
      </c>
      <c r="AD95" s="107">
        <f>Dat_01!N55</f>
        <v>0.09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-0.05</v>
      </c>
      <c r="S96" s="107">
        <f>Dat_01!C56</f>
        <v>-0.08</v>
      </c>
      <c r="T96" s="107">
        <f>Dat_01!D56</f>
        <v>-0.14000000000000001</v>
      </c>
      <c r="U96" s="107">
        <f>Dat_01!E56</f>
        <v>-0.08</v>
      </c>
      <c r="V96" s="107">
        <f>Dat_01!F56</f>
        <v>-0.06</v>
      </c>
      <c r="W96" s="107">
        <f>Dat_01!G56</f>
        <v>-0.09</v>
      </c>
      <c r="X96" s="107">
        <f>Dat_01!H56</f>
        <v>-7.0000000000000007E-2</v>
      </c>
      <c r="Y96" s="107">
        <f>Dat_01!I56</f>
        <v>-0.06</v>
      </c>
      <c r="Z96" s="107">
        <f>Dat_01!J56</f>
        <v>-0.05</v>
      </c>
      <c r="AA96" s="107">
        <f>Dat_01!K56</f>
        <v>0.01</v>
      </c>
      <c r="AB96" s="107">
        <f>Dat_01!L56</f>
        <v>-0.01</v>
      </c>
      <c r="AC96" s="107">
        <f>Dat_01!M56</f>
        <v>0.01</v>
      </c>
      <c r="AD96" s="107">
        <f>Dat_01!N56</f>
        <v>0.02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-0.06</v>
      </c>
      <c r="S97" s="107">
        <f>Dat_01!C57</f>
        <v>-0.09</v>
      </c>
      <c r="T97" s="107">
        <f>Dat_01!D57</f>
        <v>-7.0000000000000007E-2</v>
      </c>
      <c r="U97" s="107">
        <f>Dat_01!E57</f>
        <v>-0.06</v>
      </c>
      <c r="V97" s="107">
        <f>Dat_01!F57</f>
        <v>-0.06</v>
      </c>
      <c r="W97" s="107">
        <f>Dat_01!G57</f>
        <v>-7.0000000000000007E-2</v>
      </c>
      <c r="X97" s="107">
        <f>Dat_01!H57</f>
        <v>-0.1</v>
      </c>
      <c r="Y97" s="107">
        <f>Dat_01!I57</f>
        <v>-0.09</v>
      </c>
      <c r="Z97" s="107">
        <f>Dat_01!J57</f>
        <v>-7.0000000000000007E-2</v>
      </c>
      <c r="AA97" s="107">
        <f>Dat_01!K57</f>
        <v>-0.06</v>
      </c>
      <c r="AB97" s="107">
        <f>Dat_01!L57</f>
        <v>-0.06</v>
      </c>
      <c r="AC97" s="107">
        <f>Dat_01!M57</f>
        <v>-0.06</v>
      </c>
      <c r="AD97" s="107">
        <f>Dat_01!N57</f>
        <v>-7.0000000000000007E-2</v>
      </c>
      <c r="AE97" s="181"/>
      <c r="AF97" s="174"/>
    </row>
    <row r="98" spans="2:32">
      <c r="Q98" s="102" t="str">
        <f>Dat_01!A58</f>
        <v>Pago capacidad</v>
      </c>
      <c r="R98" s="107">
        <f>Dat_01!B58</f>
        <v>2.34</v>
      </c>
      <c r="S98" s="107">
        <f>Dat_01!C58</f>
        <v>2.44</v>
      </c>
      <c r="T98" s="107">
        <f>Dat_01!D58</f>
        <v>3</v>
      </c>
      <c r="U98" s="107">
        <f>Dat_01!E58</f>
        <v>3.11</v>
      </c>
      <c r="V98" s="107">
        <f>Dat_01!F58</f>
        <v>2.98</v>
      </c>
      <c r="W98" s="107">
        <f>Dat_01!G58</f>
        <v>2.39</v>
      </c>
      <c r="X98" s="107">
        <f>Dat_01!H58</f>
        <v>2.41</v>
      </c>
      <c r="Y98" s="107">
        <f>Dat_01!I58</f>
        <v>2.2400000000000002</v>
      </c>
      <c r="Z98" s="107">
        <f>Dat_01!J58</f>
        <v>2.76</v>
      </c>
      <c r="AA98" s="107">
        <f>Dat_01!K58</f>
        <v>3.25</v>
      </c>
      <c r="AB98" s="107">
        <f>Dat_01!L58</f>
        <v>2.0699999999999998</v>
      </c>
      <c r="AC98" s="107">
        <f>Dat_01!M58</f>
        <v>2.35</v>
      </c>
      <c r="AD98" s="107">
        <f>Dat_01!N58</f>
        <v>2.2599999999999998</v>
      </c>
      <c r="AE98" s="181"/>
    </row>
    <row r="99" spans="2:32">
      <c r="Q99" s="102" t="str">
        <f>Dat_01!A59</f>
        <v>Servicio interrumpibilidad</v>
      </c>
      <c r="R99" s="107">
        <f>Dat_01!B59</f>
        <v>0.77</v>
      </c>
      <c r="S99" s="107">
        <f>Dat_01!C59</f>
        <v>0.75</v>
      </c>
      <c r="T99" s="107">
        <f>Dat_01!D59</f>
        <v>0.74</v>
      </c>
      <c r="U99" s="107">
        <f>Dat_01!E59</f>
        <v>0.03</v>
      </c>
      <c r="V99" s="107">
        <f>Dat_01!F59</f>
        <v>0.03</v>
      </c>
      <c r="W99" s="107">
        <f>Dat_01!G59</f>
        <v>0.03</v>
      </c>
      <c r="X99" s="107">
        <f>Dat_01!H59</f>
        <v>0.04</v>
      </c>
      <c r="Y99" s="107">
        <f>Dat_01!I59</f>
        <v>0.04</v>
      </c>
      <c r="Z99" s="107">
        <f>Dat_01!J59</f>
        <v>0.04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</v>
      </c>
      <c r="S100" s="107">
        <f>Dat_01!C60</f>
        <v>0.01</v>
      </c>
      <c r="T100" s="107">
        <f>Dat_01!D60</f>
        <v>0</v>
      </c>
      <c r="U100" s="107">
        <f>Dat_01!E60</f>
        <v>-0.01</v>
      </c>
      <c r="V100" s="107">
        <f>Dat_01!F60</f>
        <v>0.03</v>
      </c>
      <c r="W100" s="107">
        <f>Dat_01!G60</f>
        <v>0.01</v>
      </c>
      <c r="X100" s="107">
        <f>Dat_01!H60</f>
        <v>0.01</v>
      </c>
      <c r="Y100" s="107">
        <f>Dat_01!I60</f>
        <v>0.01</v>
      </c>
      <c r="Z100" s="107">
        <f>Dat_01!J60</f>
        <v>0.01</v>
      </c>
      <c r="AA100" s="107">
        <f>Dat_01!K60</f>
        <v>0</v>
      </c>
      <c r="AB100" s="107">
        <f>Dat_01!L60</f>
        <v>0.01</v>
      </c>
      <c r="AC100" s="107">
        <f>Dat_01!M60</f>
        <v>-0.01</v>
      </c>
      <c r="AD100" s="107">
        <f>Dat_01!N60</f>
        <v>0.01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52.22</v>
      </c>
      <c r="S102" s="107">
        <f>Dat_01!C62</f>
        <v>48.31</v>
      </c>
      <c r="T102" s="107">
        <f>Dat_01!D62</f>
        <v>41.14</v>
      </c>
      <c r="U102" s="107">
        <f>Dat_01!E62</f>
        <v>46.97</v>
      </c>
      <c r="V102" s="107">
        <f>Dat_01!F62</f>
        <v>41.4</v>
      </c>
      <c r="W102" s="107">
        <f>Dat_01!G62</f>
        <v>33.25</v>
      </c>
      <c r="X102" s="107">
        <f>Dat_01!H62</f>
        <v>25.29</v>
      </c>
      <c r="Y102" s="107">
        <f>Dat_01!I62</f>
        <v>27.34</v>
      </c>
      <c r="Z102" s="107">
        <f>Dat_01!J62</f>
        <v>36.03</v>
      </c>
      <c r="AA102" s="107">
        <f>Dat_01!K62</f>
        <v>40.03</v>
      </c>
      <c r="AB102" s="107">
        <f>Dat_01!L62</f>
        <v>41</v>
      </c>
      <c r="AC102" s="107">
        <f>Dat_01!M62</f>
        <v>47.4</v>
      </c>
      <c r="AD102" s="107">
        <f>Dat_01!N62</f>
        <v>42.65</v>
      </c>
    </row>
    <row r="104" spans="2:32">
      <c r="B104" s="99" t="s">
        <v>230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231</v>
      </c>
      <c r="C105" s="101"/>
      <c r="D105" s="101" t="str">
        <f>AD83</f>
        <v>2020 Octubre</v>
      </c>
      <c r="E105" s="101"/>
      <c r="F105" s="101" t="s">
        <v>231</v>
      </c>
      <c r="G105" s="101"/>
      <c r="H105" s="101" t="str">
        <f>R83</f>
        <v>2019 Octubre</v>
      </c>
      <c r="I105" s="105"/>
    </row>
    <row r="106" spans="2:32">
      <c r="B106" s="101" t="s">
        <v>31</v>
      </c>
      <c r="C106" s="101"/>
      <c r="D106" s="101" t="s">
        <v>81</v>
      </c>
      <c r="E106" s="101"/>
      <c r="F106" s="101" t="s">
        <v>31</v>
      </c>
      <c r="G106" s="101" t="s">
        <v>232</v>
      </c>
      <c r="H106" s="101" t="s">
        <v>81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68</v>
      </c>
      <c r="C108" s="107"/>
      <c r="D108" s="107">
        <f>IF(VLOOKUP(B108,Dat_01!$A$45:$N$61,14,FALSE)=0,"-",VLOOKUP(B108,Dat_01!$A$45:$N$61,14,FALSE)*Dat_01!$N$45)</f>
        <v>34362601.291039996</v>
      </c>
      <c r="E108" s="107"/>
      <c r="F108" s="192" t="s">
        <v>68</v>
      </c>
      <c r="G108" s="107"/>
      <c r="H108" s="107">
        <f>IF(VLOOKUP(F108,Dat_01!$A$45:$N$61,2,FALSE)=0,"-",VLOOKUP(F108,Dat_01!$A$45:$N$61,2,FALSE)*Dat_01!$B$45)</f>
        <v>19748117.06182</v>
      </c>
      <c r="I108" s="105"/>
    </row>
    <row r="109" spans="2:32">
      <c r="B109" s="192" t="s">
        <v>69</v>
      </c>
      <c r="C109" s="107"/>
      <c r="D109" s="107">
        <f>IF(VLOOKUP(B109,Dat_01!$A$45:$N$61,14,FALSE)=0,"-",VLOOKUP(B109,Dat_01!$A$45:$N$61,14,FALSE)*Dat_01!$N$45)</f>
        <v>12105007.272979999</v>
      </c>
      <c r="E109" s="107"/>
      <c r="F109" s="192" t="s">
        <v>69</v>
      </c>
      <c r="G109" s="107"/>
      <c r="H109" s="107">
        <f>IF(VLOOKUP(F109,Dat_01!$A$45:$N$61,2,FALSE)=0,"-",VLOOKUP(F109,Dat_01!$A$45:$N$61,2,FALSE)*Dat_01!$B$45)</f>
        <v>1410579.7901300001</v>
      </c>
      <c r="I109" s="105"/>
    </row>
    <row r="110" spans="2:32">
      <c r="B110" s="192" t="s">
        <v>72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72</v>
      </c>
      <c r="G110" s="107"/>
      <c r="H110" s="107">
        <f>IF(VLOOKUP(F110,Dat_01!$A$45:$N$61,2,FALSE)=0,"-",VLOOKUP(F110,Dat_01!$A$45:$N$61,2,FALSE)*Dat_01!$B$45)</f>
        <v>604534.19576999999</v>
      </c>
      <c r="I110" s="105"/>
    </row>
    <row r="111" spans="2:32">
      <c r="B111" s="192" t="s">
        <v>73</v>
      </c>
      <c r="C111" s="107"/>
      <c r="D111" s="107">
        <f>IF(VLOOKUP(B111,Dat_01!$A$45:$N$61,14,FALSE)=0,"-",VLOOKUP(B111,Dat_01!$A$45:$N$61,14,FALSE)*Dat_01!$N$45)</f>
        <v>10347828.797870001</v>
      </c>
      <c r="E111" s="107"/>
      <c r="F111" s="192" t="s">
        <v>73</v>
      </c>
      <c r="G111" s="107"/>
      <c r="H111" s="107">
        <f>IF(VLOOKUP(F111,Dat_01!$A$45:$N$61,2,FALSE)=0,"-",VLOOKUP(F111,Dat_01!$A$45:$N$61,2,FALSE)*Dat_01!$B$45)</f>
        <v>6448364.7548800008</v>
      </c>
      <c r="I111" s="105"/>
    </row>
    <row r="112" spans="2:32">
      <c r="B112" s="192" t="s">
        <v>75</v>
      </c>
      <c r="C112" s="107"/>
      <c r="D112" s="107">
        <f>IF(VLOOKUP(B112,Dat_01!$A$45:$N$61,14,FALSE)=0,"-",VLOOKUP(B112,Dat_01!$A$45:$N$61,14,FALSE)*Dat_01!$N$45)</f>
        <v>1757178.4751099998</v>
      </c>
      <c r="E112" s="107"/>
      <c r="F112" s="192" t="s">
        <v>75</v>
      </c>
      <c r="G112" s="107"/>
      <c r="H112" s="107">
        <f>IF(VLOOKUP(F112,Dat_01!$A$45:$N$61,2,FALSE)=0,"-",VLOOKUP(F112,Dat_01!$A$45:$N$61,2,FALSE)*Dat_01!$B$45)</f>
        <v>2619648.1816700003</v>
      </c>
      <c r="I112" s="105"/>
    </row>
    <row r="113" spans="2:9">
      <c r="B113" s="192" t="s">
        <v>74</v>
      </c>
      <c r="C113" s="107"/>
      <c r="D113" s="107">
        <f>IF(VLOOKUP(B113,Dat_01!$A$45:$N$61,14,FALSE)=0,"-",VLOOKUP(B113,Dat_01!$A$45:$N$61,14,FALSE)*Dat_01!$N$45)</f>
        <v>-390484.10557999997</v>
      </c>
      <c r="E113" s="107"/>
      <c r="F113" s="192" t="s">
        <v>74</v>
      </c>
      <c r="G113" s="107"/>
      <c r="H113" s="107">
        <f>IF(VLOOKUP(F113,Dat_01!$A$45:$N$61,2,FALSE)=0,"-",VLOOKUP(F113,Dat_01!$A$45:$N$61,2,FALSE)*Dat_01!$B$45)</f>
        <v>-604534.19576999999</v>
      </c>
      <c r="I113" s="105"/>
    </row>
    <row r="114" spans="2:9">
      <c r="B114" s="192" t="s">
        <v>76</v>
      </c>
      <c r="C114" s="107"/>
      <c r="D114" s="107">
        <f>IF(VLOOKUP(B114,Dat_01!$A$45:$N$61,14,FALSE)=0,"-",VLOOKUP(B114,Dat_01!$A$45:$N$61,14,FALSE)*Dat_01!$N$45)</f>
        <v>390484.10557999997</v>
      </c>
      <c r="E114" s="107"/>
      <c r="F114" s="192" t="s">
        <v>76</v>
      </c>
      <c r="G114" s="107"/>
      <c r="H114" s="107">
        <f>IF(VLOOKUP(F114,Dat_01!$A$45:$N$61,2,FALSE)=0,"-",VLOOKUP(F114,Dat_01!$A$45:$N$61,2,FALSE)*Dat_01!$B$45)</f>
        <v>-1007556.9929500001</v>
      </c>
      <c r="I114" s="105"/>
    </row>
    <row r="115" spans="2:9">
      <c r="B115" s="192" t="s">
        <v>78</v>
      </c>
      <c r="C115" s="107"/>
      <c r="D115" s="107">
        <f>IF(VLOOKUP(B115,Dat_01!$A$45:$N$61,14,FALSE)=0,"-",VLOOKUP(B115,Dat_01!$A$45:$N$61,14,FALSE)*Dat_01!$N$45)</f>
        <v>195242.05278999999</v>
      </c>
      <c r="E115" s="107"/>
      <c r="F115" s="192" t="s">
        <v>78</v>
      </c>
      <c r="G115" s="107"/>
      <c r="H115" s="107" t="str">
        <f>IF(VLOOKUP(F115,Dat_01!$A$45:$N$61,2,FALSE)=0,"-",VLOOKUP(F115,Dat_01!$A$45:$N$61,2,FALSE)*Dat_01!$B$45)</f>
        <v>-</v>
      </c>
      <c r="I115" s="105"/>
    </row>
    <row r="116" spans="2:9">
      <c r="B116" s="192" t="s">
        <v>79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79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-1366694.36953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-1209068.39154</v>
      </c>
      <c r="I117" s="105"/>
    </row>
    <row r="118" spans="2:9">
      <c r="I118" s="105"/>
    </row>
    <row r="119" spans="2:9">
      <c r="D119" s="267">
        <f>O89*Dat_01!N45/1000000</f>
        <v>57.401163520260006</v>
      </c>
      <c r="H119" s="267">
        <f>'Data 1'!C89*Dat_01!B45/1000000</f>
        <v>28.010084404010005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2019</v>
      </c>
      <c r="D127" s="213">
        <f>YEAR(B5)</f>
        <v>2020</v>
      </c>
    </row>
    <row r="128" spans="2:9">
      <c r="B128" s="101"/>
      <c r="C128" s="213" t="str">
        <f>MID(H105,6,10)</f>
        <v>Octubre</v>
      </c>
      <c r="D128" s="213" t="str">
        <f>MID(D105,6,10)</f>
        <v>Octubre</v>
      </c>
    </row>
    <row r="129" spans="2:16">
      <c r="B129" s="192" t="str">
        <f>Dat_01!A121</f>
        <v>Restricciones Técnicas al PBF</v>
      </c>
      <c r="C129" s="107">
        <f>Dat_01!B121</f>
        <v>452.6268</v>
      </c>
      <c r="D129" s="107">
        <f>Dat_01!C121</f>
        <v>885.47029999999995</v>
      </c>
    </row>
    <row r="130" spans="2:16">
      <c r="B130" s="192" t="str">
        <f>Dat_01!A122</f>
        <v>Regulación secundaria</v>
      </c>
      <c r="C130" s="107">
        <f>Dat_01!B122</f>
        <v>230.09051400000001</v>
      </c>
      <c r="D130" s="107">
        <f>Dat_01!C122</f>
        <v>243.53391300000001</v>
      </c>
    </row>
    <row r="131" spans="2:16">
      <c r="B131" s="192" t="str">
        <f>Dat_01!A123</f>
        <v>Regulación terciaria</v>
      </c>
      <c r="C131" s="107">
        <f>Dat_01!B123</f>
        <v>149.8305</v>
      </c>
      <c r="D131" s="107">
        <f>Dat_01!C123</f>
        <v>233.84719999999999</v>
      </c>
    </row>
    <row r="132" spans="2:16">
      <c r="B132" s="192" t="s">
        <v>301</v>
      </c>
      <c r="C132" s="107">
        <f>Dat_01!B124</f>
        <v>261.71429999999998</v>
      </c>
      <c r="D132" s="107" t="str">
        <f>Dat_01!C124</f>
        <v>-</v>
      </c>
    </row>
    <row r="133" spans="2:16">
      <c r="B133" s="103" t="str">
        <f>Dat_01!A125</f>
        <v>Restric. en Tiempo Real</v>
      </c>
      <c r="C133" s="193">
        <f>Dat_01!B125</f>
        <v>38.3018</v>
      </c>
      <c r="D133" s="193">
        <f>Dat_01!C125</f>
        <v>185.12620000000001</v>
      </c>
    </row>
    <row r="135" spans="2:16">
      <c r="B135" s="99" t="s">
        <v>233</v>
      </c>
    </row>
    <row r="136" spans="2:16">
      <c r="B136" s="191"/>
      <c r="C136" s="191" t="s">
        <v>31</v>
      </c>
      <c r="D136" s="191" t="s">
        <v>234</v>
      </c>
      <c r="E136" s="191" t="s">
        <v>234</v>
      </c>
      <c r="F136" s="191" t="s">
        <v>234</v>
      </c>
      <c r="G136" s="191" t="s">
        <v>234</v>
      </c>
      <c r="H136" s="191" t="s">
        <v>234</v>
      </c>
      <c r="I136" s="191" t="s">
        <v>234</v>
      </c>
      <c r="J136" s="191" t="s">
        <v>234</v>
      </c>
      <c r="K136" s="191" t="s">
        <v>234</v>
      </c>
      <c r="L136" s="191" t="s">
        <v>234</v>
      </c>
      <c r="M136" s="191" t="s">
        <v>234</v>
      </c>
      <c r="N136" s="191" t="s">
        <v>234</v>
      </c>
      <c r="O136" s="191" t="s">
        <v>234</v>
      </c>
      <c r="P136" s="99" t="s">
        <v>234</v>
      </c>
    </row>
    <row r="137" spans="2:16">
      <c r="B137" s="191"/>
      <c r="C137" s="191" t="s">
        <v>231</v>
      </c>
      <c r="D137" s="213" t="str">
        <f>Dat_01!C131</f>
        <v>2019 Octubre</v>
      </c>
      <c r="E137" s="213" t="str">
        <f>Dat_01!D131</f>
        <v>2019 Noviembre</v>
      </c>
      <c r="F137" s="213" t="str">
        <f>Dat_01!E131</f>
        <v>2019 Diciembre</v>
      </c>
      <c r="G137" s="213" t="str">
        <f>Dat_01!F131</f>
        <v>2020 Enero</v>
      </c>
      <c r="H137" s="213" t="str">
        <f>Dat_01!G131</f>
        <v>2020 Febrero</v>
      </c>
      <c r="I137" s="213" t="str">
        <f>Dat_01!H131</f>
        <v>2020 Marzo</v>
      </c>
      <c r="J137" s="213" t="str">
        <f>Dat_01!I131</f>
        <v>2020 Abril</v>
      </c>
      <c r="K137" s="213" t="str">
        <f>Dat_01!J131</f>
        <v>2020 Mayo</v>
      </c>
      <c r="L137" s="213" t="str">
        <f>Dat_01!K131</f>
        <v>2020 Junio</v>
      </c>
      <c r="M137" s="213" t="str">
        <f>Dat_01!L131</f>
        <v>2020 Julio</v>
      </c>
      <c r="N137" s="213" t="str">
        <f>Dat_01!M131</f>
        <v>2020 Agosto</v>
      </c>
      <c r="O137" s="213" t="str">
        <f>Dat_01!N131</f>
        <v>2020 Septiembre</v>
      </c>
      <c r="P137" s="213" t="str">
        <f>Dat_01!O131</f>
        <v>2020 Octubre</v>
      </c>
    </row>
    <row r="138" spans="2:16">
      <c r="B138" s="191" t="s">
        <v>235</v>
      </c>
      <c r="C138" s="191" t="s">
        <v>236</v>
      </c>
      <c r="D138" s="213" t="str">
        <f>MID(D137,6,1)</f>
        <v>O</v>
      </c>
      <c r="E138" s="213" t="str">
        <f t="shared" ref="E138:P138" si="3">MID(E137,6,1)</f>
        <v>N</v>
      </c>
      <c r="F138" s="213" t="str">
        <f t="shared" si="3"/>
        <v>D</v>
      </c>
      <c r="G138" s="213" t="str">
        <f t="shared" si="3"/>
        <v>E</v>
      </c>
      <c r="H138" s="213" t="str">
        <f t="shared" si="3"/>
        <v>F</v>
      </c>
      <c r="I138" s="213" t="str">
        <f t="shared" si="3"/>
        <v>M</v>
      </c>
      <c r="J138" s="213" t="str">
        <f t="shared" si="3"/>
        <v>A</v>
      </c>
      <c r="K138" s="213" t="str">
        <f t="shared" si="3"/>
        <v>M</v>
      </c>
      <c r="L138" s="213" t="str">
        <f t="shared" si="3"/>
        <v>J</v>
      </c>
      <c r="M138" s="213" t="str">
        <f t="shared" si="3"/>
        <v>J</v>
      </c>
      <c r="N138" s="213" t="str">
        <f t="shared" si="3"/>
        <v>A</v>
      </c>
      <c r="O138" s="213" t="str">
        <f t="shared" si="3"/>
        <v>S</v>
      </c>
      <c r="P138" s="213" t="str">
        <f t="shared" si="3"/>
        <v>O</v>
      </c>
    </row>
    <row r="139" spans="2:16">
      <c r="B139" s="102" t="s">
        <v>107</v>
      </c>
      <c r="C139" s="102" t="str">
        <f>Dat_01!B133</f>
        <v>Hidráulica</v>
      </c>
      <c r="D139" s="194">
        <f>Dat_01!C133</f>
        <v>5517.1</v>
      </c>
      <c r="E139" s="194">
        <f>Dat_01!D133</f>
        <v>0</v>
      </c>
      <c r="F139" s="194">
        <f>Dat_01!E133</f>
        <v>0</v>
      </c>
      <c r="G139" s="194">
        <f>Dat_01!F133</f>
        <v>0</v>
      </c>
      <c r="H139" s="194">
        <f>Dat_01!G133</f>
        <v>0</v>
      </c>
      <c r="I139" s="194">
        <f>Dat_01!H133</f>
        <v>0</v>
      </c>
      <c r="J139" s="194">
        <f>Dat_01!I133</f>
        <v>0</v>
      </c>
      <c r="K139" s="194">
        <f>Dat_01!J133</f>
        <v>630</v>
      </c>
      <c r="L139" s="194">
        <f>Dat_01!K133</f>
        <v>680</v>
      </c>
      <c r="M139" s="194">
        <f>Dat_01!L133</f>
        <v>1020</v>
      </c>
      <c r="N139" s="194">
        <f>Dat_01!M133</f>
        <v>2161.8000000000002</v>
      </c>
      <c r="O139" s="194">
        <f>Dat_01!N133</f>
        <v>33.4</v>
      </c>
      <c r="P139" s="194">
        <f>Dat_01!O133</f>
        <v>0</v>
      </c>
    </row>
    <row r="140" spans="2:16">
      <c r="B140" s="102" t="s">
        <v>107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5000</v>
      </c>
      <c r="K140" s="194">
        <f>Dat_01!J134</f>
        <v>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107</v>
      </c>
      <c r="C141" s="102" t="str">
        <f>Dat_01!B135</f>
        <v>Carbón</v>
      </c>
      <c r="D141" s="194">
        <f>Dat_01!C135</f>
        <v>166180</v>
      </c>
      <c r="E141" s="194">
        <f>Dat_01!D135</f>
        <v>161365</v>
      </c>
      <c r="F141" s="194">
        <f>Dat_01!E135</f>
        <v>122168</v>
      </c>
      <c r="G141" s="194">
        <f>Dat_01!F135</f>
        <v>202940</v>
      </c>
      <c r="H141" s="194">
        <f>Dat_01!G135</f>
        <v>247227</v>
      </c>
      <c r="I141" s="194">
        <f>Dat_01!H135</f>
        <v>355297</v>
      </c>
      <c r="J141" s="194">
        <f>Dat_01!I135</f>
        <v>220571</v>
      </c>
      <c r="K141" s="194">
        <f>Dat_01!J135</f>
        <v>207721</v>
      </c>
      <c r="L141" s="194">
        <f>Dat_01!K135</f>
        <v>281442</v>
      </c>
      <c r="M141" s="194">
        <f>Dat_01!L135</f>
        <v>268136</v>
      </c>
      <c r="N141" s="194">
        <f>Dat_01!M135</f>
        <v>300478</v>
      </c>
      <c r="O141" s="194">
        <f>Dat_01!N135</f>
        <v>250957</v>
      </c>
      <c r="P141" s="194">
        <f>Dat_01!O135</f>
        <v>189825</v>
      </c>
    </row>
    <row r="142" spans="2:16">
      <c r="B142" s="102" t="s">
        <v>107</v>
      </c>
      <c r="C142" s="102" t="str">
        <f>Dat_01!B136</f>
        <v>Ciclo Combinado</v>
      </c>
      <c r="D142" s="194">
        <f>Dat_01!C136</f>
        <v>234526.2</v>
      </c>
      <c r="E142" s="194">
        <f>Dat_01!D136</f>
        <v>421030.7</v>
      </c>
      <c r="F142" s="194">
        <f>Dat_01!E136</f>
        <v>612250.1</v>
      </c>
      <c r="G142" s="194">
        <f>Dat_01!F136</f>
        <v>498564</v>
      </c>
      <c r="H142" s="194">
        <f>Dat_01!G136</f>
        <v>479450.3</v>
      </c>
      <c r="I142" s="194">
        <f>Dat_01!H136</f>
        <v>601360.30000000005</v>
      </c>
      <c r="J142" s="194">
        <f>Dat_01!I136</f>
        <v>1152051.3999999999</v>
      </c>
      <c r="K142" s="194">
        <f>Dat_01!J136</f>
        <v>900435.9</v>
      </c>
      <c r="L142" s="194">
        <f>Dat_01!K136</f>
        <v>429259.5</v>
      </c>
      <c r="M142" s="194">
        <f>Dat_01!L136</f>
        <v>174851.8</v>
      </c>
      <c r="N142" s="194">
        <f>Dat_01!M136</f>
        <v>246096.4</v>
      </c>
      <c r="O142" s="194">
        <f>Dat_01!N136</f>
        <v>289538.3</v>
      </c>
      <c r="P142" s="194">
        <f>Dat_01!O136</f>
        <v>653476.1</v>
      </c>
    </row>
    <row r="143" spans="2:16">
      <c r="B143" s="102" t="s">
        <v>107</v>
      </c>
      <c r="C143" s="102" t="str">
        <f>Dat_01!B137</f>
        <v>Otras Renovables</v>
      </c>
      <c r="D143" s="194">
        <f>Dat_01!C137</f>
        <v>0</v>
      </c>
      <c r="E143" s="194">
        <f>Dat_01!D137</f>
        <v>1775.2</v>
      </c>
      <c r="F143" s="194">
        <f>Dat_01!E137</f>
        <v>164.2</v>
      </c>
      <c r="G143" s="194">
        <f>Dat_01!F137</f>
        <v>0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0</v>
      </c>
    </row>
    <row r="144" spans="2:16">
      <c r="B144" s="102" t="s">
        <v>107</v>
      </c>
      <c r="C144" s="102" t="str">
        <f>Dat_01!B138</f>
        <v>Consumo Bombeo</v>
      </c>
      <c r="D144" s="194">
        <f>Dat_01!C138</f>
        <v>0</v>
      </c>
      <c r="E144" s="194">
        <f>Dat_01!D138</f>
        <v>0</v>
      </c>
      <c r="F144" s="194">
        <f>Dat_01!E138</f>
        <v>0</v>
      </c>
      <c r="G144" s="194">
        <f>Dat_01!F138</f>
        <v>0</v>
      </c>
      <c r="H144" s="194">
        <f>Dat_01!G138</f>
        <v>0</v>
      </c>
      <c r="I144" s="194">
        <f>Dat_01!H138</f>
        <v>3495.6</v>
      </c>
      <c r="J144" s="194">
        <f>Dat_01!I138</f>
        <v>585</v>
      </c>
      <c r="K144" s="194">
        <f>Dat_01!J138</f>
        <v>185</v>
      </c>
      <c r="L144" s="194">
        <f>Dat_01!K138</f>
        <v>370</v>
      </c>
      <c r="M144" s="194">
        <f>Dat_01!L138</f>
        <v>11.5</v>
      </c>
      <c r="N144" s="194">
        <f>Dat_01!M138</f>
        <v>0</v>
      </c>
      <c r="O144" s="194">
        <f>Dat_01!N138</f>
        <v>0</v>
      </c>
      <c r="P144" s="194">
        <f>Dat_01!O138</f>
        <v>10686</v>
      </c>
    </row>
    <row r="145" spans="2:16">
      <c r="B145" s="102" t="s">
        <v>111</v>
      </c>
      <c r="C145" s="195" t="str">
        <f>Dat_01!B139</f>
        <v>Total</v>
      </c>
      <c r="D145" s="196">
        <f>Dat_01!C139</f>
        <v>406223.3</v>
      </c>
      <c r="E145" s="196">
        <f>Dat_01!D139</f>
        <v>584170.9</v>
      </c>
      <c r="F145" s="196">
        <f>Dat_01!E139</f>
        <v>734582.3</v>
      </c>
      <c r="G145" s="196">
        <f>Dat_01!F139</f>
        <v>701504</v>
      </c>
      <c r="H145" s="196">
        <f>Dat_01!G139</f>
        <v>726677.3</v>
      </c>
      <c r="I145" s="196">
        <f>Dat_01!H139</f>
        <v>960152.9</v>
      </c>
      <c r="J145" s="196">
        <f>Dat_01!I139</f>
        <v>1378207.4</v>
      </c>
      <c r="K145" s="196">
        <f>Dat_01!J139</f>
        <v>1108971.8999999999</v>
      </c>
      <c r="L145" s="196">
        <f>Dat_01!K139</f>
        <v>711751.5</v>
      </c>
      <c r="M145" s="196">
        <f>Dat_01!L139</f>
        <v>444019.3</v>
      </c>
      <c r="N145" s="196">
        <f>Dat_01!M139</f>
        <v>548736.19999999995</v>
      </c>
      <c r="O145" s="196">
        <f>Dat_01!N139</f>
        <v>540528.69999999995</v>
      </c>
      <c r="P145" s="196">
        <f>Dat_01!O139</f>
        <v>853987.1</v>
      </c>
    </row>
    <row r="146" spans="2:16">
      <c r="B146" s="102" t="s">
        <v>111</v>
      </c>
      <c r="C146" s="102" t="str">
        <f>Dat_01!B140</f>
        <v>Hidráulica</v>
      </c>
      <c r="D146" s="194">
        <f>Dat_01!C140</f>
        <v>120</v>
      </c>
      <c r="E146" s="194">
        <f>Dat_01!D140</f>
        <v>1173</v>
      </c>
      <c r="F146" s="194">
        <f>Dat_01!E140</f>
        <v>0</v>
      </c>
      <c r="G146" s="194">
        <f>Dat_01!F140</f>
        <v>0</v>
      </c>
      <c r="H146" s="194">
        <f>Dat_01!G140</f>
        <v>0</v>
      </c>
      <c r="I146" s="194">
        <f>Dat_01!H140</f>
        <v>1910.2</v>
      </c>
      <c r="J146" s="194">
        <f>Dat_01!I140</f>
        <v>0</v>
      </c>
      <c r="K146" s="194">
        <f>Dat_01!J140</f>
        <v>946.5</v>
      </c>
      <c r="L146" s="194">
        <f>Dat_01!K140</f>
        <v>2850.8</v>
      </c>
      <c r="M146" s="194">
        <f>Dat_01!L140</f>
        <v>740.7</v>
      </c>
      <c r="N146" s="194">
        <f>Dat_01!M140</f>
        <v>710</v>
      </c>
      <c r="O146" s="194">
        <f>Dat_01!N140</f>
        <v>8686.7999999999993</v>
      </c>
      <c r="P146" s="194">
        <f>Dat_01!O140</f>
        <v>2939</v>
      </c>
    </row>
    <row r="147" spans="2:16">
      <c r="B147" s="102" t="s">
        <v>111</v>
      </c>
      <c r="C147" s="102" t="str">
        <f>Dat_01!B141</f>
        <v>Turbinación bombeo</v>
      </c>
      <c r="D147" s="194">
        <f>Dat_01!C141</f>
        <v>400</v>
      </c>
      <c r="E147" s="194">
        <f>Dat_01!D141</f>
        <v>0</v>
      </c>
      <c r="F147" s="194">
        <f>Dat_01!E141</f>
        <v>0</v>
      </c>
      <c r="G147" s="194">
        <f>Dat_01!F141</f>
        <v>0</v>
      </c>
      <c r="H147" s="194">
        <f>Dat_01!G141</f>
        <v>4657.8999999999996</v>
      </c>
      <c r="I147" s="194">
        <f>Dat_01!H141</f>
        <v>100</v>
      </c>
      <c r="J147" s="194">
        <f>Dat_01!I141</f>
        <v>0</v>
      </c>
      <c r="K147" s="194">
        <f>Dat_01!J141</f>
        <v>0</v>
      </c>
      <c r="L147" s="194">
        <f>Dat_01!K141</f>
        <v>0</v>
      </c>
      <c r="M147" s="194">
        <f>Dat_01!L141</f>
        <v>640</v>
      </c>
      <c r="N147" s="194">
        <f>Dat_01!M141</f>
        <v>0</v>
      </c>
      <c r="O147" s="194">
        <f>Dat_01!N141</f>
        <v>1087</v>
      </c>
      <c r="P147" s="194">
        <f>Dat_01!O141</f>
        <v>5519</v>
      </c>
    </row>
    <row r="148" spans="2:16">
      <c r="B148" s="102" t="s">
        <v>111</v>
      </c>
      <c r="C148" s="102" t="str">
        <f>Dat_01!B142</f>
        <v>Carbón</v>
      </c>
      <c r="D148" s="194">
        <f>Dat_01!C142</f>
        <v>1161</v>
      </c>
      <c r="E148" s="194">
        <f>Dat_01!D142</f>
        <v>846</v>
      </c>
      <c r="F148" s="194">
        <f>Dat_01!E142</f>
        <v>0</v>
      </c>
      <c r="G148" s="194">
        <f>Dat_01!F142</f>
        <v>0</v>
      </c>
      <c r="H148" s="194">
        <f>Dat_01!G142</f>
        <v>0</v>
      </c>
      <c r="I148" s="194">
        <f>Dat_01!H142</f>
        <v>0</v>
      </c>
      <c r="J148" s="194">
        <f>Dat_01!I142</f>
        <v>0</v>
      </c>
      <c r="K148" s="194">
        <f>Dat_01!J142</f>
        <v>0</v>
      </c>
      <c r="L148" s="194">
        <f>Dat_01!K142</f>
        <v>0</v>
      </c>
      <c r="M148" s="194">
        <f>Dat_01!L142</f>
        <v>0</v>
      </c>
      <c r="N148" s="194">
        <f>Dat_01!M142</f>
        <v>0</v>
      </c>
      <c r="O148" s="194">
        <f>Dat_01!N142</f>
        <v>0</v>
      </c>
      <c r="P148" s="194">
        <f>Dat_01!O142</f>
        <v>0</v>
      </c>
    </row>
    <row r="149" spans="2:16">
      <c r="B149" s="102" t="s">
        <v>111</v>
      </c>
      <c r="C149" s="102" t="str">
        <f>Dat_01!B143</f>
        <v>Ciclo Combinado</v>
      </c>
      <c r="D149" s="194">
        <f>Dat_01!C143</f>
        <v>34847</v>
      </c>
      <c r="E149" s="194">
        <f>Dat_01!D143</f>
        <v>1898.8</v>
      </c>
      <c r="F149" s="194">
        <f>Dat_01!E143</f>
        <v>0</v>
      </c>
      <c r="G149" s="194">
        <f>Dat_01!F143</f>
        <v>0</v>
      </c>
      <c r="H149" s="194">
        <f>Dat_01!G143</f>
        <v>0</v>
      </c>
      <c r="I149" s="194">
        <f>Dat_01!H143</f>
        <v>0</v>
      </c>
      <c r="J149" s="194">
        <f>Dat_01!I143</f>
        <v>0</v>
      </c>
      <c r="K149" s="194">
        <f>Dat_01!J143</f>
        <v>0</v>
      </c>
      <c r="L149" s="194">
        <f>Dat_01!K143</f>
        <v>73835.8</v>
      </c>
      <c r="M149" s="194">
        <f>Dat_01!L143</f>
        <v>239981.7</v>
      </c>
      <c r="N149" s="194">
        <f>Dat_01!M143</f>
        <v>103567.5</v>
      </c>
      <c r="O149" s="194">
        <f>Dat_01!N143</f>
        <v>30277.5</v>
      </c>
      <c r="P149" s="194">
        <f>Dat_01!O143</f>
        <v>9485.2999999999993</v>
      </c>
    </row>
    <row r="150" spans="2:16">
      <c r="B150" s="102" t="s">
        <v>111</v>
      </c>
      <c r="C150" s="102" t="str">
        <f>Dat_01!B144</f>
        <v>Eólica</v>
      </c>
      <c r="D150" s="194">
        <f>Dat_01!C144</f>
        <v>9473.4</v>
      </c>
      <c r="E150" s="194">
        <f>Dat_01!D144</f>
        <v>12932.4</v>
      </c>
      <c r="F150" s="194">
        <f>Dat_01!E144</f>
        <v>464.6</v>
      </c>
      <c r="G150" s="194">
        <f>Dat_01!F144</f>
        <v>3444.7</v>
      </c>
      <c r="H150" s="194">
        <f>Dat_01!G144</f>
        <v>0</v>
      </c>
      <c r="I150" s="194">
        <f>Dat_01!H144</f>
        <v>1293.5999999999999</v>
      </c>
      <c r="J150" s="194">
        <f>Dat_01!I144</f>
        <v>227.5</v>
      </c>
      <c r="K150" s="194">
        <f>Dat_01!J144</f>
        <v>0</v>
      </c>
      <c r="L150" s="194">
        <f>Dat_01!K144</f>
        <v>5567.4</v>
      </c>
      <c r="M150" s="194">
        <f>Dat_01!L144</f>
        <v>5593.5</v>
      </c>
      <c r="N150" s="194">
        <f>Dat_01!M144</f>
        <v>2385.4</v>
      </c>
      <c r="O150" s="194">
        <f>Dat_01!N144</f>
        <v>15007.3</v>
      </c>
      <c r="P150" s="194">
        <f>Dat_01!O144</f>
        <v>12915.2</v>
      </c>
    </row>
    <row r="151" spans="2:16">
      <c r="B151" s="102" t="s">
        <v>111</v>
      </c>
      <c r="C151" s="102" t="str">
        <f>Dat_01!B145</f>
        <v>Solar fotovoltaica</v>
      </c>
      <c r="D151" s="194">
        <f>Dat_01!C145</f>
        <v>21.4</v>
      </c>
      <c r="E151" s="194">
        <f>Dat_01!D145</f>
        <v>33</v>
      </c>
      <c r="F151" s="194">
        <f>Dat_01!E145</f>
        <v>0</v>
      </c>
      <c r="G151" s="194">
        <f>Dat_01!F145</f>
        <v>0</v>
      </c>
      <c r="H151" s="194">
        <f>Dat_01!G145</f>
        <v>0</v>
      </c>
      <c r="I151" s="194">
        <f>Dat_01!H145</f>
        <v>0</v>
      </c>
      <c r="J151" s="194">
        <f>Dat_01!I145</f>
        <v>0</v>
      </c>
      <c r="K151" s="194">
        <f>Dat_01!J145</f>
        <v>61.6</v>
      </c>
      <c r="L151" s="194">
        <f>Dat_01!K145</f>
        <v>0</v>
      </c>
      <c r="M151" s="194">
        <f>Dat_01!L145</f>
        <v>320.39999999999998</v>
      </c>
      <c r="N151" s="194">
        <f>Dat_01!M145</f>
        <v>170.6</v>
      </c>
      <c r="O151" s="194">
        <f>Dat_01!N145</f>
        <v>0</v>
      </c>
      <c r="P151" s="194">
        <f>Dat_01!O145</f>
        <v>195.7</v>
      </c>
    </row>
    <row r="152" spans="2:16">
      <c r="B152" s="102" t="s">
        <v>111</v>
      </c>
      <c r="C152" s="102" t="str">
        <f>Dat_01!B146</f>
        <v>Solar térmica</v>
      </c>
      <c r="D152" s="194">
        <f>Dat_01!C146</f>
        <v>39.799999999999997</v>
      </c>
      <c r="E152" s="194">
        <f>Dat_01!D146</f>
        <v>0</v>
      </c>
      <c r="F152" s="194">
        <f>Dat_01!E146</f>
        <v>0</v>
      </c>
      <c r="G152" s="194">
        <f>Dat_01!F146</f>
        <v>0</v>
      </c>
      <c r="H152" s="194">
        <f>Dat_01!G146</f>
        <v>0</v>
      </c>
      <c r="I152" s="194">
        <f>Dat_01!H146</f>
        <v>0</v>
      </c>
      <c r="J152" s="194">
        <f>Dat_01!I146</f>
        <v>0</v>
      </c>
      <c r="K152" s="194">
        <f>Dat_01!J146</f>
        <v>516</v>
      </c>
      <c r="L152" s="194">
        <f>Dat_01!K146</f>
        <v>0</v>
      </c>
      <c r="M152" s="194">
        <f>Dat_01!L146</f>
        <v>0</v>
      </c>
      <c r="N152" s="194">
        <f>Dat_01!M146</f>
        <v>366.5</v>
      </c>
      <c r="O152" s="194">
        <f>Dat_01!N146</f>
        <v>0</v>
      </c>
      <c r="P152" s="194">
        <f>Dat_01!O146</f>
        <v>0</v>
      </c>
    </row>
    <row r="153" spans="2:16">
      <c r="B153" s="102" t="s">
        <v>111</v>
      </c>
      <c r="C153" s="102" t="str">
        <f>Dat_01!B147</f>
        <v>Cogeneración</v>
      </c>
      <c r="D153" s="194">
        <f>Dat_01!C147</f>
        <v>340.9</v>
      </c>
      <c r="E153" s="194">
        <f>Dat_01!D147</f>
        <v>0</v>
      </c>
      <c r="F153" s="194">
        <f>Dat_01!E147</f>
        <v>0</v>
      </c>
      <c r="G153" s="194">
        <f>Dat_01!F147</f>
        <v>0</v>
      </c>
      <c r="H153" s="194">
        <f>Dat_01!G147</f>
        <v>0</v>
      </c>
      <c r="I153" s="194">
        <f>Dat_01!H147</f>
        <v>0</v>
      </c>
      <c r="J153" s="194">
        <f>Dat_01!I147</f>
        <v>0</v>
      </c>
      <c r="K153" s="194">
        <f>Dat_01!J147</f>
        <v>0</v>
      </c>
      <c r="L153" s="194">
        <f>Dat_01!K147</f>
        <v>271.39999999999998</v>
      </c>
      <c r="M153" s="194">
        <f>Dat_01!L147</f>
        <v>135.5</v>
      </c>
      <c r="N153" s="194">
        <f>Dat_01!M147</f>
        <v>0</v>
      </c>
      <c r="O153" s="194">
        <f>Dat_01!N147</f>
        <v>252.2</v>
      </c>
      <c r="P153" s="194">
        <f>Dat_01!O147</f>
        <v>0</v>
      </c>
    </row>
    <row r="154" spans="2:16">
      <c r="B154" s="102" t="s">
        <v>111</v>
      </c>
      <c r="C154" s="102" t="str">
        <f>Dat_01!B148</f>
        <v>Otras Renovables</v>
      </c>
      <c r="D154" s="194">
        <f>Dat_01!C148</f>
        <v>0</v>
      </c>
      <c r="E154" s="194">
        <f>Dat_01!D148</f>
        <v>80</v>
      </c>
      <c r="F154" s="194">
        <f>Dat_01!E148</f>
        <v>0</v>
      </c>
      <c r="G154" s="194">
        <f>Dat_01!F148</f>
        <v>0</v>
      </c>
      <c r="H154" s="194">
        <f>Dat_01!G148</f>
        <v>0</v>
      </c>
      <c r="I154" s="194">
        <f>Dat_01!H148</f>
        <v>0</v>
      </c>
      <c r="J154" s="194">
        <f>Dat_01!I148</f>
        <v>0</v>
      </c>
      <c r="K154" s="194">
        <f>Dat_01!J148</f>
        <v>0</v>
      </c>
      <c r="L154" s="194">
        <f>Dat_01!K148</f>
        <v>0</v>
      </c>
      <c r="M154" s="194">
        <f>Dat_01!L148</f>
        <v>0</v>
      </c>
      <c r="N154" s="194">
        <f>Dat_01!M148</f>
        <v>0</v>
      </c>
      <c r="O154" s="194">
        <f>Dat_01!N148</f>
        <v>0</v>
      </c>
      <c r="P154" s="194">
        <f>Dat_01!O148</f>
        <v>429</v>
      </c>
    </row>
    <row r="155" spans="2:16">
      <c r="B155" s="102" t="s">
        <v>111</v>
      </c>
      <c r="C155" s="195" t="str">
        <f>Dat_01!B149</f>
        <v>Total</v>
      </c>
      <c r="D155" s="196">
        <f>Dat_01!C149</f>
        <v>46403.5</v>
      </c>
      <c r="E155" s="196">
        <f>Dat_01!D149</f>
        <v>16963.2</v>
      </c>
      <c r="F155" s="196">
        <f>Dat_01!E149</f>
        <v>464.6</v>
      </c>
      <c r="G155" s="196">
        <f>Dat_01!F149</f>
        <v>3444.7</v>
      </c>
      <c r="H155" s="196">
        <f>Dat_01!G149</f>
        <v>4657.8999999999996</v>
      </c>
      <c r="I155" s="196">
        <f>Dat_01!H149</f>
        <v>3303.8</v>
      </c>
      <c r="J155" s="196">
        <f>Dat_01!I149</f>
        <v>227.5</v>
      </c>
      <c r="K155" s="196">
        <f>Dat_01!J149</f>
        <v>1524.1</v>
      </c>
      <c r="L155" s="196">
        <f>Dat_01!K149</f>
        <v>82525.399999999994</v>
      </c>
      <c r="M155" s="196">
        <f>Dat_01!L149</f>
        <v>247411.8</v>
      </c>
      <c r="N155" s="196">
        <f>Dat_01!M149</f>
        <v>107200</v>
      </c>
      <c r="O155" s="196">
        <f>Dat_01!N149</f>
        <v>55310.8</v>
      </c>
      <c r="P155" s="196">
        <f>Dat_01!O149</f>
        <v>31483.200000000001</v>
      </c>
    </row>
    <row r="156" spans="2:16">
      <c r="B156" s="102"/>
      <c r="C156" s="102"/>
      <c r="D156" s="107">
        <f>Dat_01!C363</f>
        <v>94.939291769700006</v>
      </c>
      <c r="E156" s="107">
        <f>Dat_01!D363</f>
        <v>79.583340354699999</v>
      </c>
      <c r="F156" s="107">
        <f>Dat_01!E363</f>
        <v>70.783519491299998</v>
      </c>
      <c r="G156" s="107">
        <f>Dat_01!F363</f>
        <v>82.571699077999995</v>
      </c>
      <c r="H156" s="107">
        <f>Dat_01!G363</f>
        <v>74.016771199499999</v>
      </c>
      <c r="I156" s="107">
        <f>Dat_01!H363</f>
        <v>69.328448760599997</v>
      </c>
      <c r="J156" s="107">
        <f>Dat_01!I363</f>
        <v>70.477766133000003</v>
      </c>
      <c r="K156" s="107">
        <f>Dat_01!J363</f>
        <v>66.470122552199996</v>
      </c>
      <c r="L156" s="107">
        <f>Dat_01!K363</f>
        <v>72.682289687999997</v>
      </c>
      <c r="M156" s="107">
        <f>Dat_01!L363</f>
        <v>77.2642985313</v>
      </c>
      <c r="N156" s="107">
        <f>Dat_01!M363</f>
        <v>83.621371904900002</v>
      </c>
      <c r="O156" s="107">
        <f>Dat_01!N363</f>
        <v>76.806715394700007</v>
      </c>
      <c r="P156" s="107">
        <f>Dat_01!O363</f>
        <v>75.506191159099998</v>
      </c>
    </row>
    <row r="157" spans="2:16">
      <c r="B157" s="103"/>
      <c r="C157" s="103"/>
      <c r="D157" s="193">
        <f>Dat_01!C372</f>
        <v>46.569191081</v>
      </c>
      <c r="E157" s="193">
        <f>Dat_01!D372</f>
        <v>40.029961334900001</v>
      </c>
      <c r="F157" s="193">
        <f>Dat_01!E372</f>
        <v>31.518503603999999</v>
      </c>
      <c r="G157" s="193">
        <f>Dat_01!F372</f>
        <v>40.145056849299998</v>
      </c>
      <c r="H157" s="193">
        <f>Dat_01!G372</f>
        <v>34.889660995299998</v>
      </c>
      <c r="I157" s="193">
        <f>Dat_01!H372</f>
        <v>26.4821392405</v>
      </c>
      <c r="J157" s="193">
        <f>Dat_01!I372</f>
        <v>16.942672728400002</v>
      </c>
      <c r="K157" s="193">
        <f>Dat_01!J372</f>
        <v>20.098804550400001</v>
      </c>
      <c r="L157" s="193">
        <f>Dat_01!K372</f>
        <v>29.1310690022</v>
      </c>
      <c r="M157" s="193">
        <f>Dat_01!L372</f>
        <v>34.5802106971</v>
      </c>
      <c r="N157" s="193">
        <f>Dat_01!M372</f>
        <v>35.661521116099998</v>
      </c>
      <c r="O157" s="193">
        <f>Dat_01!N372</f>
        <v>40.431379108199998</v>
      </c>
      <c r="P157" s="193">
        <f>Dat_01!O372</f>
        <v>35.116271838300001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237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311</v>
      </c>
      <c r="D160" s="102"/>
      <c r="E160" s="184">
        <f>(P145-D145)/D145</f>
        <v>1.102260259320428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312</v>
      </c>
      <c r="D161" s="102"/>
      <c r="E161" s="184">
        <f>(P155-D155)/D155</f>
        <v>-0.32153393601775726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238</v>
      </c>
      <c r="D162" s="102"/>
      <c r="E162" s="184">
        <f>((P145+ABS(P155))-(D145+ABS(D155)))/(D145+ABS(D155))</f>
        <v>0.95629224782977928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239</v>
      </c>
      <c r="D163" s="102"/>
      <c r="E163" s="184">
        <f>(P156-D156)/D156</f>
        <v>-0.20468975751093718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240</v>
      </c>
      <c r="D164" s="102"/>
      <c r="E164" s="184">
        <f>(P157-D157)/D157</f>
        <v>-0.24593339452212931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D71" zoomScale="106" zoomScaleNormal="106" workbookViewId="0">
      <selection activeCell="N109" sqref="N109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241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O</v>
      </c>
      <c r="D3" s="101" t="str">
        <f t="shared" ref="D3:O3" si="0">MID(D4,6,1)</f>
        <v>N</v>
      </c>
      <c r="E3" s="101" t="str">
        <f t="shared" si="0"/>
        <v>D</v>
      </c>
      <c r="F3" s="101" t="str">
        <f t="shared" si="0"/>
        <v>E</v>
      </c>
      <c r="G3" s="101" t="str">
        <f t="shared" si="0"/>
        <v>F</v>
      </c>
      <c r="H3" s="101" t="str">
        <f t="shared" si="0"/>
        <v>M</v>
      </c>
      <c r="I3" s="101" t="str">
        <f t="shared" si="0"/>
        <v>A</v>
      </c>
      <c r="J3" s="101" t="str">
        <f t="shared" si="0"/>
        <v>M</v>
      </c>
      <c r="K3" s="101" t="str">
        <f t="shared" si="0"/>
        <v>J</v>
      </c>
      <c r="L3" s="101" t="str">
        <f t="shared" si="0"/>
        <v>J</v>
      </c>
      <c r="M3" s="101" t="str">
        <f t="shared" si="0"/>
        <v>A</v>
      </c>
      <c r="N3" s="101" t="str">
        <f t="shared" si="0"/>
        <v>S</v>
      </c>
      <c r="O3" s="101" t="str">
        <f t="shared" si="0"/>
        <v>O</v>
      </c>
    </row>
    <row r="4" spans="2:15">
      <c r="B4" s="99" t="s">
        <v>231</v>
      </c>
      <c r="C4" s="99" t="str">
        <f>Dat_01!B166</f>
        <v>2019 Octubre</v>
      </c>
      <c r="D4" s="99" t="str">
        <f>Dat_01!C166</f>
        <v>2019 Noviembre</v>
      </c>
      <c r="E4" s="99" t="str">
        <f>Dat_01!D166</f>
        <v>2019 Diciembre</v>
      </c>
      <c r="F4" s="99" t="str">
        <f>Dat_01!E166</f>
        <v>2020 Enero</v>
      </c>
      <c r="G4" s="99" t="str">
        <f>Dat_01!F166</f>
        <v>2020 Febrero</v>
      </c>
      <c r="H4" s="99" t="str">
        <f>Dat_01!G166</f>
        <v>2020 Marzo</v>
      </c>
      <c r="I4" s="99" t="str">
        <f>Dat_01!H166</f>
        <v>2020 Abril</v>
      </c>
      <c r="J4" s="99" t="str">
        <f>Dat_01!I166</f>
        <v>2020 Mayo</v>
      </c>
      <c r="K4" s="99" t="str">
        <f>Dat_01!J166</f>
        <v>2020 Junio</v>
      </c>
      <c r="L4" s="99" t="str">
        <f>Dat_01!K166</f>
        <v>2020 Julio</v>
      </c>
      <c r="M4" s="99" t="str">
        <f>Dat_01!L166</f>
        <v>2020 Agosto</v>
      </c>
      <c r="N4" s="99" t="str">
        <f>Dat_01!M166</f>
        <v>2020 Septiembre</v>
      </c>
      <c r="O4" s="99" t="str">
        <f>Dat_01!N166</f>
        <v>2020 Octubre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270</v>
      </c>
      <c r="C6" s="194">
        <f>Dat_01!B168</f>
        <v>589.34899328860001</v>
      </c>
      <c r="D6" s="194">
        <f>Dat_01!C168</f>
        <v>605.42222222220005</v>
      </c>
      <c r="E6" s="194">
        <f>Dat_01!D168</f>
        <v>596.99865591399998</v>
      </c>
      <c r="F6" s="194">
        <f>Dat_01!E168</f>
        <v>597.48790322579998</v>
      </c>
      <c r="G6" s="194">
        <f>Dat_01!F168</f>
        <v>605.632183908</v>
      </c>
      <c r="H6" s="194">
        <f>Dat_01!G168</f>
        <v>611.35127860030002</v>
      </c>
      <c r="I6" s="194">
        <f>Dat_01!H168</f>
        <v>610.48333333330004</v>
      </c>
      <c r="J6" s="194">
        <f>Dat_01!I168</f>
        <v>582.7446236559</v>
      </c>
      <c r="K6" s="194">
        <f>Dat_01!J168</f>
        <v>571.89722222219996</v>
      </c>
      <c r="L6" s="194">
        <f>Dat_01!K168</f>
        <v>590.05779569890001</v>
      </c>
      <c r="M6" s="194">
        <f>Dat_01!L168</f>
        <v>589.66129032260005</v>
      </c>
      <c r="N6" s="194">
        <f>Dat_01!M168</f>
        <v>587.73749999999995</v>
      </c>
      <c r="O6" s="194">
        <f>Dat_01!N168</f>
        <v>590.79597315440003</v>
      </c>
    </row>
    <row r="7" spans="2:15">
      <c r="B7" s="102" t="s">
        <v>271</v>
      </c>
      <c r="C7" s="194">
        <f>Dat_01!B169</f>
        <v>498.52885906040001</v>
      </c>
      <c r="D7" s="194">
        <f>Dat_01!C169</f>
        <v>503.2638888889</v>
      </c>
      <c r="E7" s="194">
        <f>Dat_01!D169</f>
        <v>498.48790322579998</v>
      </c>
      <c r="F7" s="194">
        <f>Dat_01!E169</f>
        <v>495.1720430108</v>
      </c>
      <c r="G7" s="194">
        <f>Dat_01!F169</f>
        <v>496.26436781609999</v>
      </c>
      <c r="H7" s="194">
        <f>Dat_01!G169</f>
        <v>496.17631224759998</v>
      </c>
      <c r="I7" s="194">
        <f>Dat_01!H169</f>
        <v>490.24861111109999</v>
      </c>
      <c r="J7" s="194">
        <f>Dat_01!I169</f>
        <v>488.13844086019998</v>
      </c>
      <c r="K7" s="194">
        <f>Dat_01!J169</f>
        <v>485.04722222219999</v>
      </c>
      <c r="L7" s="194">
        <f>Dat_01!K169</f>
        <v>485.73118279570002</v>
      </c>
      <c r="M7" s="194">
        <f>Dat_01!L169</f>
        <v>489.15725806450001</v>
      </c>
      <c r="N7" s="194">
        <f>Dat_01!M169</f>
        <v>487.00972222220003</v>
      </c>
      <c r="O7" s="194">
        <f>Dat_01!N169</f>
        <v>490.332885906</v>
      </c>
    </row>
    <row r="8" spans="2:15">
      <c r="B8" s="103" t="s">
        <v>269</v>
      </c>
      <c r="C8" s="198">
        <f>Dat_01!B170</f>
        <v>7.1356989842000003</v>
      </c>
      <c r="D8" s="198">
        <f>Dat_01!C170</f>
        <v>10.1362816848</v>
      </c>
      <c r="E8" s="198">
        <f>Dat_01!D170</f>
        <v>14.1765375159</v>
      </c>
      <c r="F8" s="198">
        <f>Dat_01!E170</f>
        <v>7.221390092</v>
      </c>
      <c r="G8" s="198">
        <f>Dat_01!F170</f>
        <v>7.5081212252</v>
      </c>
      <c r="H8" s="198">
        <f>Dat_01!G170</f>
        <v>7.6719758948000001</v>
      </c>
      <c r="I8" s="198">
        <f>Dat_01!H170</f>
        <v>8.2256635420999995</v>
      </c>
      <c r="J8" s="198">
        <f>Dat_01!I170</f>
        <v>7.2676989898000004</v>
      </c>
      <c r="K8" s="198">
        <f>Dat_01!J170</f>
        <v>8.1676430223000001</v>
      </c>
      <c r="L8" s="198">
        <f>Dat_01!K170</f>
        <v>7.8235343278</v>
      </c>
      <c r="M8" s="198">
        <f>Dat_01!L170</f>
        <v>7.5882339302000004</v>
      </c>
      <c r="N8" s="198">
        <f>Dat_01!M170</f>
        <v>8.9271791816999997</v>
      </c>
      <c r="O8" s="198">
        <f>Dat_01!N170</f>
        <v>11.37429957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242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243</v>
      </c>
      <c r="C12" s="184">
        <f>(O6-C6)/C6</f>
        <v>2.4552173368886055E-3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219</v>
      </c>
      <c r="C13" s="184">
        <f>(O8-C8)/C8</f>
        <v>0.59399935383838209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244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245</v>
      </c>
      <c r="C16" s="101" t="str">
        <f>MID(C17,1,4)</f>
        <v>2019</v>
      </c>
      <c r="D16" s="101" t="str">
        <f t="shared" ref="D16:O16" si="1">MID(D17,1,4)</f>
        <v>2019</v>
      </c>
      <c r="E16" s="101" t="str">
        <f t="shared" si="1"/>
        <v>2019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231</v>
      </c>
      <c r="C17" s="99" t="str">
        <f>Dat_01!B172</f>
        <v>2019 Octubre</v>
      </c>
      <c r="D17" s="99" t="str">
        <f>Dat_01!C172</f>
        <v>2019 Noviembre</v>
      </c>
      <c r="E17" s="99" t="str">
        <f>Dat_01!D172</f>
        <v>2019 Diciembre</v>
      </c>
      <c r="F17" s="99" t="str">
        <f>Dat_01!E172</f>
        <v>2020 Enero</v>
      </c>
      <c r="G17" s="99" t="str">
        <f>Dat_01!F172</f>
        <v>2020 Febrero</v>
      </c>
      <c r="H17" s="99" t="str">
        <f>Dat_01!G172</f>
        <v>2020 Marzo</v>
      </c>
      <c r="I17" s="99" t="str">
        <f>Dat_01!H172</f>
        <v>2020 Abril</v>
      </c>
      <c r="J17" s="99" t="str">
        <f>Dat_01!I172</f>
        <v>2020 Mayo</v>
      </c>
      <c r="K17" s="99" t="str">
        <f>Dat_01!J172</f>
        <v>2020 Junio</v>
      </c>
      <c r="L17" s="99" t="str">
        <f>Dat_01!K172</f>
        <v>2020 Julio</v>
      </c>
      <c r="M17" s="99" t="str">
        <f>Dat_01!L172</f>
        <v>2020 Agosto</v>
      </c>
      <c r="N17" s="99" t="str">
        <f>Dat_01!M172</f>
        <v>2020 Septiembre</v>
      </c>
      <c r="O17" s="99" t="str">
        <f>Dat_01!N172</f>
        <v>2020 Octubre</v>
      </c>
    </row>
    <row r="18" spans="2:20">
      <c r="B18" s="101" t="s">
        <v>31</v>
      </c>
      <c r="C18" s="101" t="str">
        <f>MID(C17,6,1)</f>
        <v>O</v>
      </c>
      <c r="D18" s="101" t="str">
        <f t="shared" ref="D18:O18" si="2">MID(D17,6,1)</f>
        <v>N</v>
      </c>
      <c r="E18" s="101" t="str">
        <f t="shared" si="2"/>
        <v>D</v>
      </c>
      <c r="F18" s="101" t="str">
        <f t="shared" si="2"/>
        <v>E</v>
      </c>
      <c r="G18" s="101" t="str">
        <f t="shared" si="2"/>
        <v>F</v>
      </c>
      <c r="H18" s="101" t="str">
        <f t="shared" si="2"/>
        <v>M</v>
      </c>
      <c r="I18" s="101" t="str">
        <f t="shared" si="2"/>
        <v>A</v>
      </c>
      <c r="J18" s="101" t="str">
        <f t="shared" si="2"/>
        <v>M</v>
      </c>
      <c r="K18" s="101" t="str">
        <f t="shared" si="2"/>
        <v>J</v>
      </c>
      <c r="L18" s="101" t="str">
        <f t="shared" si="2"/>
        <v>J</v>
      </c>
      <c r="M18" s="101" t="str">
        <f t="shared" si="2"/>
        <v>A</v>
      </c>
      <c r="N18" s="101" t="str">
        <f t="shared" si="2"/>
        <v>S</v>
      </c>
      <c r="O18" s="101" t="str">
        <f t="shared" si="2"/>
        <v>O</v>
      </c>
    </row>
    <row r="19" spans="2:20">
      <c r="B19" s="102" t="s">
        <v>246</v>
      </c>
      <c r="C19" s="194">
        <f>Dat_01!B175*1000</f>
        <v>76272.752999999997</v>
      </c>
      <c r="D19" s="194">
        <f>Dat_01!C175*1000</f>
        <v>79309.334000000003</v>
      </c>
      <c r="E19" s="194">
        <f>Dat_01!D175*1000</f>
        <v>114384.942</v>
      </c>
      <c r="F19" s="194">
        <f>Dat_01!E175*1000</f>
        <v>78584.89</v>
      </c>
      <c r="G19" s="194">
        <f>Dat_01!F175*1000</f>
        <v>104664.981</v>
      </c>
      <c r="H19" s="194">
        <f>Dat_01!G175*1000</f>
        <v>123158.113</v>
      </c>
      <c r="I19" s="194">
        <f>Dat_01!H175*1000</f>
        <v>144862.315</v>
      </c>
      <c r="J19" s="194">
        <f>Dat_01!I175*1000</f>
        <v>120893.86399999999</v>
      </c>
      <c r="K19" s="194">
        <f>Dat_01!J175*1000</f>
        <v>102756.19500000001</v>
      </c>
      <c r="L19" s="194">
        <f>Dat_01!K175*1000</f>
        <v>75578.515999999989</v>
      </c>
      <c r="M19" s="194">
        <f>Dat_01!L175*1000</f>
        <v>89481.482999999993</v>
      </c>
      <c r="N19" s="194">
        <f>Dat_01!M175*1000</f>
        <v>86928.172999999995</v>
      </c>
      <c r="O19" s="194">
        <f>Dat_01!N175*1000</f>
        <v>102214.06299999999</v>
      </c>
    </row>
    <row r="20" spans="2:20">
      <c r="B20" s="103" t="s">
        <v>247</v>
      </c>
      <c r="C20" s="201">
        <f>Dat_01!B174*1000</f>
        <v>153817.761</v>
      </c>
      <c r="D20" s="201">
        <f>Dat_01!C174*1000</f>
        <v>149517.09099999999</v>
      </c>
      <c r="E20" s="201">
        <f>Dat_01!D174*1000</f>
        <v>128775.04999999999</v>
      </c>
      <c r="F20" s="201">
        <f>Dat_01!E174*1000</f>
        <v>156614.95199999999</v>
      </c>
      <c r="G20" s="201">
        <f>Dat_01!F174*1000</f>
        <v>110919.667</v>
      </c>
      <c r="H20" s="201">
        <f>Dat_01!G174*1000</f>
        <v>115195.569</v>
      </c>
      <c r="I20" s="201">
        <f>Dat_01!H174*1000</f>
        <v>85375.322</v>
      </c>
      <c r="J20" s="201">
        <f>Dat_01!I174*1000</f>
        <v>101922.67200000001</v>
      </c>
      <c r="K20" s="201">
        <f>Dat_01!J174*1000</f>
        <v>123137.03099999999</v>
      </c>
      <c r="L20" s="201">
        <f>Dat_01!K174*1000</f>
        <v>178974.554</v>
      </c>
      <c r="M20" s="201">
        <f>Dat_01!L174*1000</f>
        <v>167320.82800000001</v>
      </c>
      <c r="N20" s="201">
        <f>Dat_01!M174*1000</f>
        <v>170789.204</v>
      </c>
      <c r="O20" s="201">
        <f>Dat_01!N174*1000</f>
        <v>141319.85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248</v>
      </c>
      <c r="C23" s="203">
        <f>Dat_01!B180</f>
        <v>50.179593491299997</v>
      </c>
      <c r="D23" s="203">
        <f>Dat_01!C180</f>
        <v>46.350588822200002</v>
      </c>
      <c r="E23" s="203">
        <f>Dat_01!D180</f>
        <v>35.809814197400001</v>
      </c>
      <c r="F23" s="203">
        <f>Dat_01!E180</f>
        <v>44.908773556900002</v>
      </c>
      <c r="G23" s="203">
        <f>Dat_01!F180</f>
        <v>38.5221324408</v>
      </c>
      <c r="H23" s="203">
        <f>Dat_01!G180</f>
        <v>32.614345674500001</v>
      </c>
      <c r="I23" s="203">
        <f>Dat_01!H180</f>
        <v>22.2030908453</v>
      </c>
      <c r="J23" s="203">
        <f>Dat_01!I180</f>
        <v>23.175307143800001</v>
      </c>
      <c r="K23" s="203">
        <f>Dat_01!J180</f>
        <v>34.681040398599997</v>
      </c>
      <c r="L23" s="203">
        <f>Dat_01!K180</f>
        <v>38.7775060309</v>
      </c>
      <c r="M23" s="203">
        <f>Dat_01!L180</f>
        <v>38.595920901299998</v>
      </c>
      <c r="N23" s="203">
        <f>Dat_01!M180</f>
        <v>42.414120448600002</v>
      </c>
      <c r="O23" s="203">
        <f>Dat_01!N180</f>
        <v>39.1541967175</v>
      </c>
    </row>
    <row r="24" spans="2:20">
      <c r="B24" s="103" t="s">
        <v>249</v>
      </c>
      <c r="C24" s="204">
        <f>Dat_01!B181</f>
        <v>37.896432389200001</v>
      </c>
      <c r="D24" s="204">
        <f>Dat_01!C181</f>
        <v>35.808596891400001</v>
      </c>
      <c r="E24" s="204">
        <f>Dat_01!D181</f>
        <v>29.499786643499998</v>
      </c>
      <c r="F24" s="204">
        <f>Dat_01!E181</f>
        <v>36.986360982999997</v>
      </c>
      <c r="G24" s="204">
        <f>Dat_01!F181</f>
        <v>27.985248008399999</v>
      </c>
      <c r="H24" s="204">
        <f>Dat_01!G181</f>
        <v>21.560182145500001</v>
      </c>
      <c r="I24" s="204">
        <f>Dat_01!H181</f>
        <v>11.765537587100001</v>
      </c>
      <c r="J24" s="204">
        <f>Dat_01!I181</f>
        <v>17.574793466999999</v>
      </c>
      <c r="K24" s="204">
        <f>Dat_01!J181</f>
        <v>25.900861049700001</v>
      </c>
      <c r="L24" s="204">
        <f>Dat_01!K181</f>
        <v>28.7260205157</v>
      </c>
      <c r="M24" s="204">
        <f>Dat_01!L181</f>
        <v>29.100856350099999</v>
      </c>
      <c r="N24" s="204">
        <f>Dat_01!M181</f>
        <v>34.666283473</v>
      </c>
      <c r="O24" s="204">
        <f>Dat_01!N181</f>
        <v>28.510194993799999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237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250</v>
      </c>
      <c r="N26" s="102"/>
      <c r="O26" s="184">
        <f>(O19-C19)/C19</f>
        <v>0.34011241209557491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251</v>
      </c>
      <c r="N27" s="102"/>
      <c r="O27" s="184">
        <f>(O20-C20)/C20</f>
        <v>-8.125141673333805E-2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252</v>
      </c>
      <c r="N28" s="102"/>
      <c r="O28" s="184">
        <f>((O19+O20)-(C19+C20))/(C19+C20)</f>
        <v>5.842656772890692E-2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248</v>
      </c>
      <c r="N29" s="102"/>
      <c r="O29" s="184">
        <f>(O23-C23)/C23</f>
        <v>-0.21971873438376002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249</v>
      </c>
      <c r="N30" s="102"/>
      <c r="O30" s="184">
        <f>(O24-C24)/C24</f>
        <v>-0.24768129355825483</v>
      </c>
    </row>
    <row r="32" spans="2:20">
      <c r="B32" s="99" t="s">
        <v>253</v>
      </c>
    </row>
    <row r="33" spans="2:16">
      <c r="B33" s="101"/>
      <c r="C33" s="101" t="s">
        <v>31</v>
      </c>
      <c r="D33" s="101" t="s">
        <v>254</v>
      </c>
      <c r="E33" s="101" t="s">
        <v>254</v>
      </c>
      <c r="F33" s="101" t="s">
        <v>254</v>
      </c>
      <c r="G33" s="101" t="s">
        <v>254</v>
      </c>
      <c r="H33" s="101" t="s">
        <v>254</v>
      </c>
      <c r="I33" s="101" t="s">
        <v>254</v>
      </c>
      <c r="J33" s="101" t="s">
        <v>254</v>
      </c>
      <c r="K33" s="101" t="s">
        <v>254</v>
      </c>
      <c r="L33" s="101" t="s">
        <v>254</v>
      </c>
      <c r="M33" s="101" t="s">
        <v>254</v>
      </c>
      <c r="N33" s="101" t="s">
        <v>254</v>
      </c>
      <c r="O33" s="101" t="s">
        <v>254</v>
      </c>
      <c r="P33" s="101" t="s">
        <v>254</v>
      </c>
    </row>
    <row r="34" spans="2:16">
      <c r="B34" s="101"/>
      <c r="C34" s="101" t="s">
        <v>231</v>
      </c>
      <c r="D34" s="101" t="str">
        <f>Dat_01!C186</f>
        <v>2019 Octubre</v>
      </c>
      <c r="E34" s="101" t="str">
        <f>Dat_01!D186</f>
        <v>2019 Noviembre</v>
      </c>
      <c r="F34" s="101" t="str">
        <f>Dat_01!E186</f>
        <v>2019 Diciembre</v>
      </c>
      <c r="G34" s="101" t="str">
        <f>Dat_01!F186</f>
        <v>2020 Enero</v>
      </c>
      <c r="H34" s="101" t="str">
        <f>Dat_01!G186</f>
        <v>2020 Febrero</v>
      </c>
      <c r="I34" s="101" t="str">
        <f>Dat_01!H186</f>
        <v>2020 Marzo</v>
      </c>
      <c r="J34" s="101" t="str">
        <f>Dat_01!I186</f>
        <v>2020 Abril</v>
      </c>
      <c r="K34" s="101" t="str">
        <f>Dat_01!J186</f>
        <v>2020 Mayo</v>
      </c>
      <c r="L34" s="101" t="str">
        <f>Dat_01!K186</f>
        <v>2020 Junio</v>
      </c>
      <c r="M34" s="101" t="str">
        <f>Dat_01!L186</f>
        <v>2020 Julio</v>
      </c>
      <c r="N34" s="101" t="str">
        <f>Dat_01!M186</f>
        <v>2020 Agosto</v>
      </c>
      <c r="O34" s="101" t="str">
        <f>Dat_01!N186</f>
        <v>2020 Septiembre</v>
      </c>
      <c r="P34" s="101" t="str">
        <f>Dat_01!O186</f>
        <v>2020 Octubre</v>
      </c>
    </row>
    <row r="35" spans="2:16">
      <c r="B35" s="101" t="s">
        <v>235</v>
      </c>
      <c r="C35" s="101" t="s">
        <v>236</v>
      </c>
      <c r="D35" s="101" t="str">
        <f>MID(D34,6,1)</f>
        <v>O</v>
      </c>
      <c r="E35" s="101" t="str">
        <f t="shared" ref="E35" si="3">MID(E34,6,1)</f>
        <v>N</v>
      </c>
      <c r="F35" s="101" t="str">
        <f t="shared" ref="F35" si="4">MID(F34,6,1)</f>
        <v>D</v>
      </c>
      <c r="G35" s="101" t="str">
        <f t="shared" ref="G35" si="5">MID(G34,6,1)</f>
        <v>E</v>
      </c>
      <c r="H35" s="101" t="str">
        <f t="shared" ref="H35" si="6">MID(H34,6,1)</f>
        <v>F</v>
      </c>
      <c r="I35" s="101" t="str">
        <f t="shared" ref="I35" si="7">MID(I34,6,1)</f>
        <v>M</v>
      </c>
      <c r="J35" s="101" t="str">
        <f t="shared" ref="J35" si="8">MID(J34,6,1)</f>
        <v>A</v>
      </c>
      <c r="K35" s="101" t="str">
        <f t="shared" ref="K35" si="9">MID(K34,6,1)</f>
        <v>M</v>
      </c>
      <c r="L35" s="101" t="str">
        <f t="shared" ref="L35" si="10">MID(L34,6,1)</f>
        <v>J</v>
      </c>
      <c r="M35" s="101" t="str">
        <f t="shared" ref="M35" si="11">MID(M34,6,1)</f>
        <v>J</v>
      </c>
      <c r="N35" s="101" t="str">
        <f t="shared" ref="N35" si="12">MID(N34,6,1)</f>
        <v>A</v>
      </c>
      <c r="O35" s="101" t="str">
        <f t="shared" ref="O35" si="13">MID(O34,6,1)</f>
        <v>S</v>
      </c>
      <c r="P35" s="101" t="str">
        <f t="shared" ref="P35" si="14">MID(P34,6,1)</f>
        <v>O</v>
      </c>
    </row>
    <row r="36" spans="2:16">
      <c r="B36" s="102" t="s">
        <v>107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107</v>
      </c>
      <c r="C37" s="102" t="str">
        <f>Dat_01!B189</f>
        <v>Carbón</v>
      </c>
      <c r="D37" s="207">
        <f>Dat_01!C189</f>
        <v>1718.2</v>
      </c>
      <c r="E37" s="207">
        <f>Dat_01!D189</f>
        <v>1857.3</v>
      </c>
      <c r="F37" s="207">
        <f>Dat_01!E189</f>
        <v>554</v>
      </c>
      <c r="G37" s="207">
        <f>Dat_01!F189</f>
        <v>1376.4</v>
      </c>
      <c r="H37" s="207">
        <f>Dat_01!G189</f>
        <v>1350.5</v>
      </c>
      <c r="I37" s="207">
        <f>Dat_01!H189</f>
        <v>2245.9</v>
      </c>
      <c r="J37" s="207">
        <f>Dat_01!I189</f>
        <v>0</v>
      </c>
      <c r="K37" s="207">
        <f>Dat_01!J189</f>
        <v>0</v>
      </c>
      <c r="L37" s="207">
        <f>Dat_01!K189</f>
        <v>82.3</v>
      </c>
      <c r="M37" s="207">
        <f>Dat_01!L189</f>
        <v>41</v>
      </c>
      <c r="N37" s="207">
        <f>Dat_01!M189</f>
        <v>6.7</v>
      </c>
      <c r="O37" s="207">
        <f>Dat_01!N189</f>
        <v>54.7</v>
      </c>
      <c r="P37" s="207">
        <f>Dat_01!O189</f>
        <v>27.3</v>
      </c>
    </row>
    <row r="38" spans="2:16">
      <c r="B38" s="102" t="s">
        <v>107</v>
      </c>
      <c r="C38" s="102" t="str">
        <f>Dat_01!B190</f>
        <v>Ciclo Combinado</v>
      </c>
      <c r="D38" s="207">
        <f>Dat_01!C190</f>
        <v>35506.1</v>
      </c>
      <c r="E38" s="207">
        <f>Dat_01!D190</f>
        <v>40203.9</v>
      </c>
      <c r="F38" s="207">
        <f>Dat_01!E190</f>
        <v>31978.799999999999</v>
      </c>
      <c r="G38" s="207">
        <f>Dat_01!F190</f>
        <v>38547.199999999997</v>
      </c>
      <c r="H38" s="207">
        <f>Dat_01!G190</f>
        <v>27202.400000000001</v>
      </c>
      <c r="I38" s="207">
        <f>Dat_01!H190</f>
        <v>47824.7</v>
      </c>
      <c r="J38" s="207">
        <f>Dat_01!I190</f>
        <v>14386.3</v>
      </c>
      <c r="K38" s="207">
        <f>Dat_01!J190</f>
        <v>31710.799999999999</v>
      </c>
      <c r="L38" s="207">
        <f>Dat_01!K190</f>
        <v>46358.8</v>
      </c>
      <c r="M38" s="207">
        <f>Dat_01!L190</f>
        <v>51366.400000000001</v>
      </c>
      <c r="N38" s="207">
        <f>Dat_01!M190</f>
        <v>48088.1</v>
      </c>
      <c r="O38" s="207">
        <f>Dat_01!N190</f>
        <v>60777.7</v>
      </c>
      <c r="P38" s="207">
        <f>Dat_01!O190</f>
        <v>65427.4</v>
      </c>
    </row>
    <row r="39" spans="2:16">
      <c r="B39" s="102" t="s">
        <v>107</v>
      </c>
      <c r="C39" s="102" t="str">
        <f>Dat_01!B191</f>
        <v>Cogeneración</v>
      </c>
      <c r="D39" s="207">
        <f>Dat_01!C191</f>
        <v>18</v>
      </c>
      <c r="E39" s="207">
        <f>Dat_01!D191</f>
        <v>0</v>
      </c>
      <c r="F39" s="207">
        <f>Dat_01!E191</f>
        <v>44.6</v>
      </c>
      <c r="G39" s="207">
        <f>Dat_01!F191</f>
        <v>103.6</v>
      </c>
      <c r="H39" s="207">
        <f>Dat_01!G191</f>
        <v>33.6</v>
      </c>
      <c r="I39" s="207">
        <f>Dat_01!H191</f>
        <v>73.5</v>
      </c>
      <c r="J39" s="207">
        <f>Dat_01!I191</f>
        <v>255.3</v>
      </c>
      <c r="K39" s="207">
        <f>Dat_01!J191</f>
        <v>991.1</v>
      </c>
      <c r="L39" s="207">
        <f>Dat_01!K191</f>
        <v>1092.0999999999999</v>
      </c>
      <c r="M39" s="207">
        <f>Dat_01!L191</f>
        <v>1567</v>
      </c>
      <c r="N39" s="207">
        <f>Dat_01!M191</f>
        <v>1369.2</v>
      </c>
      <c r="O39" s="207">
        <f>Dat_01!N191</f>
        <v>1507.9</v>
      </c>
      <c r="P39" s="207">
        <f>Dat_01!O191</f>
        <v>840.9</v>
      </c>
    </row>
    <row r="40" spans="2:16">
      <c r="B40" s="102" t="s">
        <v>107</v>
      </c>
      <c r="C40" s="102" t="str">
        <f>Dat_01!B192</f>
        <v>Consumo Bombeo</v>
      </c>
      <c r="D40" s="207">
        <f>Dat_01!C192</f>
        <v>2744.7</v>
      </c>
      <c r="E40" s="207">
        <f>Dat_01!D192</f>
        <v>7774.6</v>
      </c>
      <c r="F40" s="207">
        <f>Dat_01!E192</f>
        <v>9751.2999999999993</v>
      </c>
      <c r="G40" s="207">
        <f>Dat_01!F192</f>
        <v>9542.6</v>
      </c>
      <c r="H40" s="207">
        <f>Dat_01!G192</f>
        <v>5812.5</v>
      </c>
      <c r="I40" s="207">
        <f>Dat_01!H192</f>
        <v>18946.099999999999</v>
      </c>
      <c r="J40" s="207">
        <f>Dat_01!I192</f>
        <v>14671.4</v>
      </c>
      <c r="K40" s="207">
        <f>Dat_01!J192</f>
        <v>13782.9</v>
      </c>
      <c r="L40" s="207">
        <f>Dat_01!K192</f>
        <v>7553.9</v>
      </c>
      <c r="M40" s="207">
        <f>Dat_01!L192</f>
        <v>17926.2</v>
      </c>
      <c r="N40" s="207">
        <f>Dat_01!M192</f>
        <v>5986.6</v>
      </c>
      <c r="O40" s="207">
        <f>Dat_01!N192</f>
        <v>6085.9</v>
      </c>
      <c r="P40" s="207">
        <f>Dat_01!O192</f>
        <v>8534.6</v>
      </c>
    </row>
    <row r="41" spans="2:16">
      <c r="B41" s="102" t="s">
        <v>107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107</v>
      </c>
      <c r="C42" s="102" t="str">
        <f>Dat_01!B194</f>
        <v>Eólica</v>
      </c>
      <c r="D42" s="207">
        <f>Dat_01!C194</f>
        <v>5556.7</v>
      </c>
      <c r="E42" s="207">
        <f>Dat_01!D194</f>
        <v>6415.7</v>
      </c>
      <c r="F42" s="207">
        <f>Dat_01!E194</f>
        <v>18898.5</v>
      </c>
      <c r="G42" s="207">
        <f>Dat_01!F194</f>
        <v>5736.2</v>
      </c>
      <c r="H42" s="207">
        <f>Dat_01!G194</f>
        <v>3281.1</v>
      </c>
      <c r="I42" s="207">
        <f>Dat_01!H194</f>
        <v>4359.7</v>
      </c>
      <c r="J42" s="207">
        <f>Dat_01!I194</f>
        <v>3599.9</v>
      </c>
      <c r="K42" s="207">
        <f>Dat_01!J194</f>
        <v>4057.5</v>
      </c>
      <c r="L42" s="207">
        <f>Dat_01!K194</f>
        <v>5342.6</v>
      </c>
      <c r="M42" s="207">
        <f>Dat_01!L194</f>
        <v>6971.2</v>
      </c>
      <c r="N42" s="207">
        <f>Dat_01!M194</f>
        <v>4572.8999999999996</v>
      </c>
      <c r="O42" s="207">
        <f>Dat_01!N194</f>
        <v>3725.9</v>
      </c>
      <c r="P42" s="207">
        <f>Dat_01!O194</f>
        <v>4755.7</v>
      </c>
    </row>
    <row r="43" spans="2:16">
      <c r="B43" s="102" t="s">
        <v>107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107</v>
      </c>
      <c r="C44" s="102" t="str">
        <f>Dat_01!B196</f>
        <v>Hidráulica</v>
      </c>
      <c r="D44" s="207">
        <f>Dat_01!C196</f>
        <v>31702.3</v>
      </c>
      <c r="E44" s="207">
        <f>Dat_01!D196</f>
        <v>35320.400000000001</v>
      </c>
      <c r="F44" s="207">
        <f>Dat_01!E196</f>
        <v>13540.8</v>
      </c>
      <c r="G44" s="207">
        <f>Dat_01!F196</f>
        <v>43797.8</v>
      </c>
      <c r="H44" s="207">
        <f>Dat_01!G196</f>
        <v>20532.5</v>
      </c>
      <c r="I44" s="207">
        <f>Dat_01!H196</f>
        <v>35788.800000000003</v>
      </c>
      <c r="J44" s="207">
        <f>Dat_01!I196</f>
        <v>14970.4</v>
      </c>
      <c r="K44" s="207">
        <f>Dat_01!J196</f>
        <v>31461.1</v>
      </c>
      <c r="L44" s="207">
        <f>Dat_01!K196</f>
        <v>71363.3</v>
      </c>
      <c r="M44" s="207">
        <f>Dat_01!L196</f>
        <v>53578.6</v>
      </c>
      <c r="N44" s="207">
        <f>Dat_01!M196</f>
        <v>35455.599999999999</v>
      </c>
      <c r="O44" s="207">
        <f>Dat_01!N196</f>
        <v>28681.9</v>
      </c>
      <c r="P44" s="207">
        <f>Dat_01!O196</f>
        <v>24804.7</v>
      </c>
    </row>
    <row r="45" spans="2:16">
      <c r="B45" s="102" t="s">
        <v>107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107</v>
      </c>
      <c r="C46" s="102" t="str">
        <f>Dat_01!B198</f>
        <v>Nuclear</v>
      </c>
      <c r="D46" s="207">
        <f>Dat_01!C198</f>
        <v>0</v>
      </c>
      <c r="E46" s="207">
        <f>Dat_01!D198</f>
        <v>90</v>
      </c>
      <c r="F46" s="207">
        <f>Dat_01!E198</f>
        <v>366.6</v>
      </c>
      <c r="G46" s="207">
        <f>Dat_01!F198</f>
        <v>0.3</v>
      </c>
      <c r="H46" s="207">
        <f>Dat_01!G198</f>
        <v>140</v>
      </c>
      <c r="I46" s="207">
        <f>Dat_01!H198</f>
        <v>0</v>
      </c>
      <c r="J46" s="207">
        <f>Dat_01!I198</f>
        <v>0</v>
      </c>
      <c r="K46" s="207">
        <f>Dat_01!J198</f>
        <v>16.399999999999999</v>
      </c>
      <c r="L46" s="207">
        <f>Dat_01!K198</f>
        <v>488.9</v>
      </c>
      <c r="M46" s="207">
        <f>Dat_01!L198</f>
        <v>144</v>
      </c>
      <c r="N46" s="207">
        <f>Dat_01!M198</f>
        <v>0</v>
      </c>
      <c r="O46" s="207">
        <f>Dat_01!N198</f>
        <v>75</v>
      </c>
      <c r="P46" s="207">
        <f>Dat_01!O198</f>
        <v>0</v>
      </c>
    </row>
    <row r="47" spans="2:16">
      <c r="B47" s="102" t="s">
        <v>107</v>
      </c>
      <c r="C47" s="102" t="str">
        <f>Dat_01!B199</f>
        <v>Otras Renovables</v>
      </c>
      <c r="D47" s="207">
        <f>Dat_01!C199</f>
        <v>0.8</v>
      </c>
      <c r="E47" s="207">
        <f>Dat_01!D199</f>
        <v>0</v>
      </c>
      <c r="F47" s="207">
        <f>Dat_01!E199</f>
        <v>0</v>
      </c>
      <c r="G47" s="207">
        <f>Dat_01!F199</f>
        <v>0</v>
      </c>
      <c r="H47" s="207">
        <f>Dat_01!G199</f>
        <v>103.7</v>
      </c>
      <c r="I47" s="207">
        <f>Dat_01!H199</f>
        <v>674.6</v>
      </c>
      <c r="J47" s="207">
        <f>Dat_01!I199</f>
        <v>474.6</v>
      </c>
      <c r="K47" s="207">
        <f>Dat_01!J199</f>
        <v>257</v>
      </c>
      <c r="L47" s="207">
        <f>Dat_01!K199</f>
        <v>0.6</v>
      </c>
      <c r="M47" s="207">
        <f>Dat_01!L199</f>
        <v>24.9</v>
      </c>
      <c r="N47" s="207">
        <f>Dat_01!M199</f>
        <v>107.3</v>
      </c>
      <c r="O47" s="207">
        <f>Dat_01!N199</f>
        <v>8</v>
      </c>
      <c r="P47" s="207">
        <f>Dat_01!O199</f>
        <v>0</v>
      </c>
    </row>
    <row r="48" spans="2:16">
      <c r="B48" s="102" t="s">
        <v>107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107</v>
      </c>
      <c r="C49" s="102" t="str">
        <f>Dat_01!B201</f>
        <v>Solar fotovoltaica</v>
      </c>
      <c r="D49" s="207">
        <f>Dat_01!C201</f>
        <v>0</v>
      </c>
      <c r="E49" s="207">
        <f>Dat_01!D201</f>
        <v>4.8</v>
      </c>
      <c r="F49" s="207">
        <f>Dat_01!E201</f>
        <v>2.1</v>
      </c>
      <c r="G49" s="207">
        <f>Dat_01!F201</f>
        <v>1.3</v>
      </c>
      <c r="H49" s="207">
        <f>Dat_01!G201</f>
        <v>7.4</v>
      </c>
      <c r="I49" s="207">
        <f>Dat_01!H201</f>
        <v>8.1999999999999993</v>
      </c>
      <c r="J49" s="207">
        <f>Dat_01!I201</f>
        <v>1.7</v>
      </c>
      <c r="K49" s="207">
        <f>Dat_01!J201</f>
        <v>5.9</v>
      </c>
      <c r="L49" s="207">
        <f>Dat_01!K201</f>
        <v>15.1</v>
      </c>
      <c r="M49" s="207">
        <f>Dat_01!L201</f>
        <v>30.8</v>
      </c>
      <c r="N49" s="207">
        <f>Dat_01!M201</f>
        <v>13.8</v>
      </c>
      <c r="O49" s="207">
        <f>Dat_01!N201</f>
        <v>25.7</v>
      </c>
      <c r="P49" s="207">
        <f>Dat_01!O201</f>
        <v>8</v>
      </c>
    </row>
    <row r="50" spans="2:16">
      <c r="B50" s="102" t="s">
        <v>107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1</v>
      </c>
      <c r="H50" s="207">
        <f>Dat_01!G202</f>
        <v>0</v>
      </c>
      <c r="I50" s="207">
        <f>Dat_01!H202</f>
        <v>0</v>
      </c>
      <c r="J50" s="207">
        <f>Dat_01!I202</f>
        <v>0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0</v>
      </c>
      <c r="P50" s="207">
        <f>Dat_01!O202</f>
        <v>2.5</v>
      </c>
    </row>
    <row r="51" spans="2:16">
      <c r="B51" s="102" t="s">
        <v>107</v>
      </c>
      <c r="C51" s="102" t="str">
        <f>Dat_01!B203</f>
        <v>Turbinación bombeo</v>
      </c>
      <c r="D51" s="207">
        <f>Dat_01!C203</f>
        <v>21165.200000000001</v>
      </c>
      <c r="E51" s="207">
        <f>Dat_01!D203</f>
        <v>21237.9</v>
      </c>
      <c r="F51" s="207">
        <f>Dat_01!E203</f>
        <v>26259.7</v>
      </c>
      <c r="G51" s="207">
        <f>Dat_01!F203</f>
        <v>25589.5</v>
      </c>
      <c r="H51" s="207">
        <f>Dat_01!G203</f>
        <v>14830</v>
      </c>
      <c r="I51" s="207">
        <f>Dat_01!H203</f>
        <v>50742.6</v>
      </c>
      <c r="J51" s="207">
        <f>Dat_01!I203</f>
        <v>20437.2</v>
      </c>
      <c r="K51" s="207">
        <f>Dat_01!J203</f>
        <v>23468.1</v>
      </c>
      <c r="L51" s="207">
        <f>Dat_01!K203</f>
        <v>29619.5</v>
      </c>
      <c r="M51" s="207">
        <f>Dat_01!L203</f>
        <v>29400.3</v>
      </c>
      <c r="N51" s="207">
        <f>Dat_01!M203</f>
        <v>20673.5</v>
      </c>
      <c r="O51" s="207">
        <f>Dat_01!N203</f>
        <v>21527.4</v>
      </c>
      <c r="P51" s="207">
        <f>Dat_01!O203</f>
        <v>23457.4</v>
      </c>
    </row>
    <row r="52" spans="2:16">
      <c r="B52" s="102" t="s">
        <v>107</v>
      </c>
      <c r="C52" s="195" t="str">
        <f>Dat_01!B204</f>
        <v>Total</v>
      </c>
      <c r="D52" s="208">
        <f>Dat_01!C204</f>
        <v>98412</v>
      </c>
      <c r="E52" s="208">
        <f>Dat_01!D204</f>
        <v>112904.6</v>
      </c>
      <c r="F52" s="208">
        <f>Dat_01!E204</f>
        <v>101396.4</v>
      </c>
      <c r="G52" s="208">
        <f>Dat_01!F204</f>
        <v>124695.9</v>
      </c>
      <c r="H52" s="208">
        <f>Dat_01!G204</f>
        <v>73293.7</v>
      </c>
      <c r="I52" s="208">
        <f>Dat_01!H204</f>
        <v>160664.1</v>
      </c>
      <c r="J52" s="208">
        <f>Dat_01!I204</f>
        <v>68796.800000000003</v>
      </c>
      <c r="K52" s="208">
        <f>Dat_01!J204</f>
        <v>105750.8</v>
      </c>
      <c r="L52" s="208">
        <f>Dat_01!K204</f>
        <v>161917.1</v>
      </c>
      <c r="M52" s="208">
        <f>Dat_01!L204</f>
        <v>161050.4</v>
      </c>
      <c r="N52" s="208">
        <f>Dat_01!M204</f>
        <v>116273.7</v>
      </c>
      <c r="O52" s="208">
        <f>Dat_01!N204</f>
        <v>122470.1</v>
      </c>
      <c r="P52" s="208">
        <f>Dat_01!O204</f>
        <v>127858.5</v>
      </c>
    </row>
    <row r="53" spans="2:16">
      <c r="B53" s="102" t="s">
        <v>111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111</v>
      </c>
      <c r="C54" s="102" t="str">
        <f>Dat_01!B206</f>
        <v>Carbón</v>
      </c>
      <c r="D54" s="207">
        <f>Dat_01!C206</f>
        <v>1567.5</v>
      </c>
      <c r="E54" s="207">
        <f>Dat_01!D206</f>
        <v>1032.3</v>
      </c>
      <c r="F54" s="207">
        <f>Dat_01!E206</f>
        <v>528.1</v>
      </c>
      <c r="G54" s="207">
        <f>Dat_01!F206</f>
        <v>543.5</v>
      </c>
      <c r="H54" s="207">
        <f>Dat_01!G206</f>
        <v>538.4</v>
      </c>
      <c r="I54" s="207">
        <f>Dat_01!H206</f>
        <v>386.4</v>
      </c>
      <c r="J54" s="207">
        <f>Dat_01!I206</f>
        <v>97.2</v>
      </c>
      <c r="K54" s="207">
        <f>Dat_01!J206</f>
        <v>18.3</v>
      </c>
      <c r="L54" s="207">
        <f>Dat_01!K206</f>
        <v>76.599999999999994</v>
      </c>
      <c r="M54" s="207">
        <f>Dat_01!L206</f>
        <v>1</v>
      </c>
      <c r="N54" s="207">
        <f>Dat_01!M206</f>
        <v>0.8</v>
      </c>
      <c r="O54" s="207">
        <f>Dat_01!N206</f>
        <v>48.5</v>
      </c>
      <c r="P54" s="207">
        <f>Dat_01!O206</f>
        <v>25.6</v>
      </c>
    </row>
    <row r="55" spans="2:16">
      <c r="B55" s="102" t="s">
        <v>111</v>
      </c>
      <c r="C55" s="102" t="str">
        <f>Dat_01!B207</f>
        <v>Ciclo Combinado</v>
      </c>
      <c r="D55" s="207">
        <f>Dat_01!C207</f>
        <v>27564.7</v>
      </c>
      <c r="E55" s="207">
        <f>Dat_01!D207</f>
        <v>9659.7999999999993</v>
      </c>
      <c r="F55" s="207">
        <f>Dat_01!E207</f>
        <v>11341.1</v>
      </c>
      <c r="G55" s="207">
        <f>Dat_01!F207</f>
        <v>9049.7999999999993</v>
      </c>
      <c r="H55" s="207">
        <f>Dat_01!G207</f>
        <v>12495.4</v>
      </c>
      <c r="I55" s="207">
        <f>Dat_01!H207</f>
        <v>15979.9</v>
      </c>
      <c r="J55" s="207">
        <f>Dat_01!I207</f>
        <v>8073.6</v>
      </c>
      <c r="K55" s="207">
        <f>Dat_01!J207</f>
        <v>6034.6</v>
      </c>
      <c r="L55" s="207">
        <f>Dat_01!K207</f>
        <v>8592.1</v>
      </c>
      <c r="M55" s="207">
        <f>Dat_01!L207</f>
        <v>9886.9</v>
      </c>
      <c r="N55" s="207">
        <f>Dat_01!M207</f>
        <v>22172.7</v>
      </c>
      <c r="O55" s="207">
        <f>Dat_01!N207</f>
        <v>18683.2</v>
      </c>
      <c r="P55" s="207">
        <f>Dat_01!O207</f>
        <v>20171.400000000001</v>
      </c>
    </row>
    <row r="56" spans="2:16">
      <c r="B56" s="102" t="s">
        <v>111</v>
      </c>
      <c r="C56" s="102" t="str">
        <f>Dat_01!B208</f>
        <v>Cogeneración</v>
      </c>
      <c r="D56" s="207">
        <f>Dat_01!C208</f>
        <v>0</v>
      </c>
      <c r="E56" s="207">
        <f>Dat_01!D208</f>
        <v>141</v>
      </c>
      <c r="F56" s="207">
        <f>Dat_01!E208</f>
        <v>86.5</v>
      </c>
      <c r="G56" s="207">
        <f>Dat_01!F208</f>
        <v>14.2</v>
      </c>
      <c r="H56" s="207">
        <f>Dat_01!G208</f>
        <v>57.7</v>
      </c>
      <c r="I56" s="207">
        <f>Dat_01!H208</f>
        <v>321.7</v>
      </c>
      <c r="J56" s="207">
        <f>Dat_01!I208</f>
        <v>752.2</v>
      </c>
      <c r="K56" s="207">
        <f>Dat_01!J208</f>
        <v>724.9</v>
      </c>
      <c r="L56" s="207">
        <f>Dat_01!K208</f>
        <v>398.7</v>
      </c>
      <c r="M56" s="207">
        <f>Dat_01!L208</f>
        <v>142.6</v>
      </c>
      <c r="N56" s="207">
        <f>Dat_01!M208</f>
        <v>585.5</v>
      </c>
      <c r="O56" s="207">
        <f>Dat_01!N208</f>
        <v>429.6</v>
      </c>
      <c r="P56" s="207">
        <f>Dat_01!O208</f>
        <v>982.8</v>
      </c>
    </row>
    <row r="57" spans="2:16">
      <c r="B57" s="102" t="s">
        <v>111</v>
      </c>
      <c r="C57" s="102" t="str">
        <f>Dat_01!B209</f>
        <v>Consumo Bombeo</v>
      </c>
      <c r="D57" s="207">
        <f>Dat_01!C209</f>
        <v>11468.6</v>
      </c>
      <c r="E57" s="207">
        <f>Dat_01!D209</f>
        <v>22022.6</v>
      </c>
      <c r="F57" s="207">
        <f>Dat_01!E209</f>
        <v>27911.200000000001</v>
      </c>
      <c r="G57" s="207">
        <f>Dat_01!F209</f>
        <v>19673</v>
      </c>
      <c r="H57" s="207">
        <f>Dat_01!G209</f>
        <v>35793.199999999997</v>
      </c>
      <c r="I57" s="207">
        <f>Dat_01!H209</f>
        <v>82837</v>
      </c>
      <c r="J57" s="207">
        <f>Dat_01!I209</f>
        <v>70876</v>
      </c>
      <c r="K57" s="207">
        <f>Dat_01!J209</f>
        <v>39295.9</v>
      </c>
      <c r="L57" s="207">
        <f>Dat_01!K209</f>
        <v>24576</v>
      </c>
      <c r="M57" s="207">
        <f>Dat_01!L209</f>
        <v>26857.1</v>
      </c>
      <c r="N57" s="207">
        <f>Dat_01!M209</f>
        <v>40530.6</v>
      </c>
      <c r="O57" s="207">
        <f>Dat_01!N209</f>
        <v>27697.3</v>
      </c>
      <c r="P57" s="207">
        <f>Dat_01!O209</f>
        <v>40815.4</v>
      </c>
    </row>
    <row r="58" spans="2:16">
      <c r="B58" s="102" t="s">
        <v>111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111</v>
      </c>
      <c r="C59" s="102" t="str">
        <f>Dat_01!B211</f>
        <v>Eólica</v>
      </c>
      <c r="D59" s="207">
        <f>Dat_01!C211</f>
        <v>4269.6000000000004</v>
      </c>
      <c r="E59" s="207">
        <f>Dat_01!D211</f>
        <v>10965.1</v>
      </c>
      <c r="F59" s="207">
        <f>Dat_01!E211</f>
        <v>31665.4</v>
      </c>
      <c r="G59" s="207">
        <f>Dat_01!F211</f>
        <v>6854.8</v>
      </c>
      <c r="H59" s="207">
        <f>Dat_01!G211</f>
        <v>3820.7</v>
      </c>
      <c r="I59" s="207">
        <f>Dat_01!H211</f>
        <v>28654.5</v>
      </c>
      <c r="J59" s="207">
        <f>Dat_01!I211</f>
        <v>37936.300000000003</v>
      </c>
      <c r="K59" s="207">
        <f>Dat_01!J211</f>
        <v>19044.2</v>
      </c>
      <c r="L59" s="207">
        <f>Dat_01!K211</f>
        <v>5144.6000000000004</v>
      </c>
      <c r="M59" s="207">
        <f>Dat_01!L211</f>
        <v>2569.3000000000002</v>
      </c>
      <c r="N59" s="207">
        <f>Dat_01!M211</f>
        <v>9585.7000000000007</v>
      </c>
      <c r="O59" s="207">
        <f>Dat_01!N211</f>
        <v>11818.5</v>
      </c>
      <c r="P59" s="207">
        <f>Dat_01!O211</f>
        <v>28187.3</v>
      </c>
    </row>
    <row r="60" spans="2:16">
      <c r="B60" s="102" t="s">
        <v>111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111</v>
      </c>
      <c r="C61" s="102" t="str">
        <f>Dat_01!B213</f>
        <v>Hidráulica</v>
      </c>
      <c r="D61" s="207">
        <f>Dat_01!C213</f>
        <v>3292.2</v>
      </c>
      <c r="E61" s="207">
        <f>Dat_01!D213</f>
        <v>5345.6</v>
      </c>
      <c r="F61" s="207">
        <f>Dat_01!E213</f>
        <v>5608.2</v>
      </c>
      <c r="G61" s="207">
        <f>Dat_01!F213</f>
        <v>10347.799999999999</v>
      </c>
      <c r="H61" s="207">
        <f>Dat_01!G213</f>
        <v>8168.3</v>
      </c>
      <c r="I61" s="207">
        <f>Dat_01!H213</f>
        <v>22332.5</v>
      </c>
      <c r="J61" s="207">
        <f>Dat_01!I213</f>
        <v>14340.4</v>
      </c>
      <c r="K61" s="207">
        <f>Dat_01!J213</f>
        <v>12773.5</v>
      </c>
      <c r="L61" s="207">
        <f>Dat_01!K213</f>
        <v>6431.8</v>
      </c>
      <c r="M61" s="207">
        <f>Dat_01!L213</f>
        <v>2887.6</v>
      </c>
      <c r="N61" s="207">
        <f>Dat_01!M213</f>
        <v>6785.6</v>
      </c>
      <c r="O61" s="207">
        <f>Dat_01!N213</f>
        <v>8778.9</v>
      </c>
      <c r="P61" s="207">
        <f>Dat_01!O213</f>
        <v>8723.5</v>
      </c>
    </row>
    <row r="62" spans="2:16">
      <c r="B62" s="102" t="s">
        <v>111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111</v>
      </c>
      <c r="C63" s="102" t="str">
        <f>Dat_01!B215</f>
        <v>Nuclear</v>
      </c>
      <c r="D63" s="207">
        <f>Dat_01!C215</f>
        <v>0</v>
      </c>
      <c r="E63" s="207">
        <f>Dat_01!D215</f>
        <v>22.6</v>
      </c>
      <c r="F63" s="207">
        <f>Dat_01!E215</f>
        <v>0</v>
      </c>
      <c r="G63" s="207">
        <f>Dat_01!F215</f>
        <v>0</v>
      </c>
      <c r="H63" s="207">
        <f>Dat_01!G215</f>
        <v>0</v>
      </c>
      <c r="I63" s="207">
        <f>Dat_01!H215</f>
        <v>0</v>
      </c>
      <c r="J63" s="207">
        <f>Dat_01!I215</f>
        <v>0</v>
      </c>
      <c r="K63" s="207">
        <f>Dat_01!J215</f>
        <v>8</v>
      </c>
      <c r="L63" s="207">
        <f>Dat_01!K215</f>
        <v>0</v>
      </c>
      <c r="M63" s="207">
        <f>Dat_01!L215</f>
        <v>128.69999999999999</v>
      </c>
      <c r="N63" s="207">
        <f>Dat_01!M215</f>
        <v>0</v>
      </c>
      <c r="O63" s="207">
        <f>Dat_01!N215</f>
        <v>227.5</v>
      </c>
      <c r="P63" s="207">
        <f>Dat_01!O215</f>
        <v>0</v>
      </c>
    </row>
    <row r="64" spans="2:16">
      <c r="B64" s="102" t="s">
        <v>111</v>
      </c>
      <c r="C64" s="102" t="str">
        <f>Dat_01!B216</f>
        <v>Otras Renovables</v>
      </c>
      <c r="D64" s="207">
        <f>Dat_01!C216</f>
        <v>125.3</v>
      </c>
      <c r="E64" s="207">
        <f>Dat_01!D216</f>
        <v>8.3000000000000007</v>
      </c>
      <c r="F64" s="207">
        <f>Dat_01!E216</f>
        <v>173.7</v>
      </c>
      <c r="G64" s="207">
        <f>Dat_01!F216</f>
        <v>7.7</v>
      </c>
      <c r="H64" s="207">
        <f>Dat_01!G216</f>
        <v>265.3</v>
      </c>
      <c r="I64" s="207">
        <f>Dat_01!H216</f>
        <v>917.9</v>
      </c>
      <c r="J64" s="207">
        <f>Dat_01!I216</f>
        <v>1671.6</v>
      </c>
      <c r="K64" s="207">
        <f>Dat_01!J216</f>
        <v>691.1</v>
      </c>
      <c r="L64" s="207">
        <f>Dat_01!K216</f>
        <v>324</v>
      </c>
      <c r="M64" s="207">
        <f>Dat_01!L216</f>
        <v>129.9</v>
      </c>
      <c r="N64" s="207">
        <f>Dat_01!M216</f>
        <v>88.9</v>
      </c>
      <c r="O64" s="207">
        <f>Dat_01!N216</f>
        <v>47.7</v>
      </c>
      <c r="P64" s="207">
        <f>Dat_01!O216</f>
        <v>22.2</v>
      </c>
    </row>
    <row r="65" spans="2:16">
      <c r="B65" s="102" t="s">
        <v>111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111</v>
      </c>
      <c r="C66" s="102" t="str">
        <f>Dat_01!B218</f>
        <v>Solar fotovoltaica</v>
      </c>
      <c r="D66" s="207">
        <f>Dat_01!C218</f>
        <v>0</v>
      </c>
      <c r="E66" s="207">
        <f>Dat_01!D218</f>
        <v>0</v>
      </c>
      <c r="F66" s="207">
        <f>Dat_01!E218</f>
        <v>5.9</v>
      </c>
      <c r="G66" s="207">
        <f>Dat_01!F218</f>
        <v>0</v>
      </c>
      <c r="H66" s="207">
        <f>Dat_01!G218</f>
        <v>0</v>
      </c>
      <c r="I66" s="207">
        <f>Dat_01!H218</f>
        <v>0</v>
      </c>
      <c r="J66" s="207">
        <f>Dat_01!I218</f>
        <v>79.599999999999994</v>
      </c>
      <c r="K66" s="207">
        <f>Dat_01!J218</f>
        <v>39.5</v>
      </c>
      <c r="L66" s="207">
        <f>Dat_01!K218</f>
        <v>34.6</v>
      </c>
      <c r="M66" s="207">
        <f>Dat_01!L218</f>
        <v>0</v>
      </c>
      <c r="N66" s="207">
        <f>Dat_01!M218</f>
        <v>0</v>
      </c>
      <c r="O66" s="207">
        <f>Dat_01!N218</f>
        <v>0</v>
      </c>
      <c r="P66" s="207">
        <f>Dat_01!O218</f>
        <v>0</v>
      </c>
    </row>
    <row r="67" spans="2:16">
      <c r="B67" s="102" t="s">
        <v>111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0</v>
      </c>
      <c r="G67" s="207">
        <f>Dat_01!F219</f>
        <v>0</v>
      </c>
      <c r="H67" s="207">
        <f>Dat_01!G219</f>
        <v>0</v>
      </c>
      <c r="I67" s="207">
        <f>Dat_01!H219</f>
        <v>0</v>
      </c>
      <c r="J67" s="207">
        <f>Dat_01!I219</f>
        <v>6.4</v>
      </c>
      <c r="K67" s="207">
        <f>Dat_01!J219</f>
        <v>82.2</v>
      </c>
      <c r="L67" s="207">
        <f>Dat_01!K219</f>
        <v>38.700000000000003</v>
      </c>
      <c r="M67" s="207">
        <f>Dat_01!L219</f>
        <v>0</v>
      </c>
      <c r="N67" s="207">
        <f>Dat_01!M219</f>
        <v>0</v>
      </c>
      <c r="O67" s="207">
        <f>Dat_01!N219</f>
        <v>6.7</v>
      </c>
      <c r="P67" s="207">
        <f>Dat_01!O219</f>
        <v>12.6</v>
      </c>
    </row>
    <row r="68" spans="2:16">
      <c r="B68" s="102" t="s">
        <v>111</v>
      </c>
      <c r="C68" s="102" t="str">
        <f>Dat_01!B220</f>
        <v>Turbinación bombeo</v>
      </c>
      <c r="D68" s="207">
        <f>Dat_01!C220</f>
        <v>3130.6</v>
      </c>
      <c r="E68" s="207">
        <f>Dat_01!D220</f>
        <v>1780.7</v>
      </c>
      <c r="F68" s="207">
        <f>Dat_01!E220</f>
        <v>6026.2</v>
      </c>
      <c r="G68" s="207">
        <f>Dat_01!F220</f>
        <v>2307.6</v>
      </c>
      <c r="H68" s="207">
        <f>Dat_01!G220</f>
        <v>3575.3</v>
      </c>
      <c r="I68" s="207">
        <f>Dat_01!H220</f>
        <v>12258.3</v>
      </c>
      <c r="J68" s="207">
        <f>Dat_01!I220</f>
        <v>17035.3</v>
      </c>
      <c r="K68" s="207">
        <f>Dat_01!J220</f>
        <v>5747.6</v>
      </c>
      <c r="L68" s="207">
        <f>Dat_01!K220</f>
        <v>3246.7</v>
      </c>
      <c r="M68" s="207">
        <f>Dat_01!L220</f>
        <v>2875.8</v>
      </c>
      <c r="N68" s="207">
        <f>Dat_01!M220</f>
        <v>6008</v>
      </c>
      <c r="O68" s="207">
        <f>Dat_01!N220</f>
        <v>9356.6</v>
      </c>
      <c r="P68" s="207">
        <f>Dat_01!O220</f>
        <v>7047.9</v>
      </c>
    </row>
    <row r="69" spans="2:16">
      <c r="B69" s="210" t="s">
        <v>111</v>
      </c>
      <c r="C69" s="195" t="str">
        <f>Dat_01!B221</f>
        <v>Total</v>
      </c>
      <c r="D69" s="208">
        <f>Dat_01!C221</f>
        <v>51418.5</v>
      </c>
      <c r="E69" s="208">
        <f>Dat_01!D221</f>
        <v>50978</v>
      </c>
      <c r="F69" s="208">
        <f>Dat_01!E221</f>
        <v>83346.3</v>
      </c>
      <c r="G69" s="208">
        <f>Dat_01!F221</f>
        <v>48798.400000000001</v>
      </c>
      <c r="H69" s="208">
        <f>Dat_01!G221</f>
        <v>64714.3</v>
      </c>
      <c r="I69" s="208">
        <f>Dat_01!H221</f>
        <v>163688.20000000001</v>
      </c>
      <c r="J69" s="208">
        <f>Dat_01!I221</f>
        <v>150868.6</v>
      </c>
      <c r="K69" s="208">
        <f>Dat_01!J221</f>
        <v>84459.8</v>
      </c>
      <c r="L69" s="208">
        <f>Dat_01!K221</f>
        <v>48863.8</v>
      </c>
      <c r="M69" s="208">
        <f>Dat_01!L221</f>
        <v>45478.9</v>
      </c>
      <c r="N69" s="208">
        <f>Dat_01!M221</f>
        <v>85757.8</v>
      </c>
      <c r="O69" s="208">
        <f>Dat_01!N221</f>
        <v>77094.5</v>
      </c>
      <c r="P69" s="208">
        <f>Dat_01!O221</f>
        <v>105988.7</v>
      </c>
    </row>
    <row r="70" spans="2:16">
      <c r="B70" s="315" t="s">
        <v>255</v>
      </c>
      <c r="C70" s="210"/>
      <c r="D70" s="203">
        <f>Dat_01!C367</f>
        <v>56.653760923500002</v>
      </c>
      <c r="E70" s="203">
        <f>Dat_01!D367</f>
        <v>56.425058677899997</v>
      </c>
      <c r="F70" s="203">
        <f>Dat_01!E367</f>
        <v>40.265648287300003</v>
      </c>
      <c r="G70" s="203">
        <f>Dat_01!F367</f>
        <v>50.409112745400002</v>
      </c>
      <c r="H70" s="203">
        <f>Dat_01!G367</f>
        <v>42.388015613900002</v>
      </c>
      <c r="I70" s="203">
        <f>Dat_01!H367</f>
        <v>36.970186245699999</v>
      </c>
      <c r="J70" s="203">
        <f>Dat_01!I367</f>
        <v>24.8459701614</v>
      </c>
      <c r="K70" s="203">
        <f>Dat_01!J367</f>
        <v>28.454226634699999</v>
      </c>
      <c r="L70" s="203">
        <f>Dat_01!K367</f>
        <v>38.668877592299999</v>
      </c>
      <c r="M70" s="203">
        <f>Dat_01!L367</f>
        <v>42.295844468600002</v>
      </c>
      <c r="N70" s="203">
        <f>Dat_01!M367</f>
        <v>42.570763981900001</v>
      </c>
      <c r="O70" s="203">
        <f>Dat_01!N367</f>
        <v>48.973209134299999</v>
      </c>
      <c r="P70" s="203">
        <f>Dat_01!O367</f>
        <v>44.186275531200003</v>
      </c>
    </row>
    <row r="71" spans="2:16" ht="15" customHeight="1">
      <c r="B71" s="316"/>
      <c r="C71" s="211"/>
      <c r="D71" s="204">
        <f>Dat_01!C376</f>
        <v>32.376397600099999</v>
      </c>
      <c r="E71" s="204">
        <f>Dat_01!D376</f>
        <v>26.9131393935</v>
      </c>
      <c r="F71" s="204">
        <f>Dat_01!E376</f>
        <v>14.5645464766</v>
      </c>
      <c r="G71" s="204">
        <f>Dat_01!F376</f>
        <v>30.039364250999999</v>
      </c>
      <c r="H71" s="204">
        <f>Dat_01!G376</f>
        <v>21.994219051999998</v>
      </c>
      <c r="I71" s="204">
        <f>Dat_01!H376</f>
        <v>16.0766152966</v>
      </c>
      <c r="J71" s="204">
        <f>Dat_01!I376</f>
        <v>6.9169248604</v>
      </c>
      <c r="K71" s="204">
        <f>Dat_01!J376</f>
        <v>9.9078850529999993</v>
      </c>
      <c r="L71" s="204">
        <f>Dat_01!K376</f>
        <v>15.037596134599999</v>
      </c>
      <c r="M71" s="204">
        <f>Dat_01!L376</f>
        <v>22.721473034700001</v>
      </c>
      <c r="N71" s="204">
        <f>Dat_01!M376</f>
        <v>23.3057373207</v>
      </c>
      <c r="O71" s="204">
        <f>Dat_01!N376</f>
        <v>25.5109853491</v>
      </c>
      <c r="P71" s="204">
        <f>Dat_01!O376</f>
        <v>18.9721029695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237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250</v>
      </c>
      <c r="O74" s="185"/>
      <c r="P74" s="184">
        <f>(P52-D52)/D52</f>
        <v>0.29921655895622484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251</v>
      </c>
      <c r="O75" s="185"/>
      <c r="P75" s="184">
        <f>(P69-D69)/D69</f>
        <v>1.06129505917131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252</v>
      </c>
      <c r="O76" s="185"/>
      <c r="P76" s="184">
        <f>((P52+P69)-(D52+D69))/(D52+D69)</f>
        <v>0.5607449751552589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248</v>
      </c>
      <c r="O77" s="185"/>
      <c r="P77" s="184">
        <f>(P70-D70)/D70</f>
        <v>-0.22006456745448794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249</v>
      </c>
      <c r="O78" s="185"/>
      <c r="P78" s="184">
        <f>(P71-D71)/D71</f>
        <v>-0.41401439394723144</v>
      </c>
    </row>
    <row r="80" spans="2:16">
      <c r="B80" s="99" t="s">
        <v>305</v>
      </c>
    </row>
    <row r="81" spans="2:16">
      <c r="B81" s="101"/>
      <c r="C81" s="101" t="s">
        <v>31</v>
      </c>
      <c r="D81" s="101" t="s">
        <v>256</v>
      </c>
      <c r="E81" s="101" t="s">
        <v>256</v>
      </c>
      <c r="F81" s="101" t="s">
        <v>256</v>
      </c>
      <c r="G81" s="101" t="s">
        <v>256</v>
      </c>
      <c r="H81" s="101" t="s">
        <v>256</v>
      </c>
      <c r="I81" s="101" t="s">
        <v>256</v>
      </c>
      <c r="J81" s="101" t="s">
        <v>256</v>
      </c>
      <c r="K81" s="101" t="s">
        <v>256</v>
      </c>
      <c r="L81" s="101" t="s">
        <v>256</v>
      </c>
      <c r="M81" s="101" t="s">
        <v>256</v>
      </c>
      <c r="N81" s="101" t="s">
        <v>256</v>
      </c>
      <c r="O81" s="101" t="s">
        <v>256</v>
      </c>
      <c r="P81" s="101" t="s">
        <v>256</v>
      </c>
    </row>
    <row r="82" spans="2:16">
      <c r="B82" s="101"/>
      <c r="C82" s="101" t="s">
        <v>231</v>
      </c>
      <c r="D82" s="101" t="str">
        <f>Dat_01!C234</f>
        <v>2019 Octubre</v>
      </c>
      <c r="E82" s="101" t="str">
        <f>Dat_01!D234</f>
        <v>2019 Noviembre</v>
      </c>
      <c r="F82" s="101" t="str">
        <f>Dat_01!E234</f>
        <v>2019 Diciembre</v>
      </c>
      <c r="G82" s="101" t="str">
        <f>Dat_01!F234</f>
        <v>2020 Enero</v>
      </c>
      <c r="H82" s="101" t="str">
        <f>Dat_01!G234</f>
        <v>2020 Febrero</v>
      </c>
      <c r="I82" s="101" t="str">
        <f>Dat_01!H234</f>
        <v>2020 Marzo</v>
      </c>
      <c r="J82" s="101" t="str">
        <f>Dat_01!I234</f>
        <v>2020 Abril</v>
      </c>
      <c r="K82" s="101" t="str">
        <f>Dat_01!J234</f>
        <v>2020 Mayo</v>
      </c>
      <c r="L82" s="101" t="str">
        <f>Dat_01!K234</f>
        <v>2020 Junio</v>
      </c>
      <c r="M82" s="101" t="str">
        <f>Dat_01!L234</f>
        <v>2020 Julio</v>
      </c>
      <c r="N82" s="101" t="str">
        <f>Dat_01!M234</f>
        <v>2020 Agosto</v>
      </c>
      <c r="O82" s="101" t="str">
        <f>Dat_01!N234</f>
        <v>2020 Septiembre</v>
      </c>
      <c r="P82" s="101" t="str">
        <f>Dat_01!O234</f>
        <v>2020 Octubre</v>
      </c>
    </row>
    <row r="83" spans="2:16">
      <c r="B83" s="101" t="s">
        <v>235</v>
      </c>
      <c r="C83" s="101" t="s">
        <v>236</v>
      </c>
      <c r="D83" s="101" t="str">
        <f>MID(D82,6,1)</f>
        <v>O</v>
      </c>
      <c r="E83" s="101" t="str">
        <f t="shared" ref="E83" si="15">MID(E82,6,1)</f>
        <v>N</v>
      </c>
      <c r="F83" s="101" t="str">
        <f t="shared" ref="F83" si="16">MID(F82,6,1)</f>
        <v>D</v>
      </c>
      <c r="G83" s="101" t="str">
        <f t="shared" ref="G83" si="17">MID(G82,6,1)</f>
        <v>E</v>
      </c>
      <c r="H83" s="101" t="str">
        <f t="shared" ref="H83" si="18">MID(H82,6,1)</f>
        <v>F</v>
      </c>
      <c r="I83" s="101" t="str">
        <f t="shared" ref="I83" si="19">MID(I82,6,1)</f>
        <v>M</v>
      </c>
      <c r="J83" s="101" t="str">
        <f t="shared" ref="J83" si="20">MID(J82,6,1)</f>
        <v>A</v>
      </c>
      <c r="K83" s="101" t="str">
        <f t="shared" ref="K83" si="21">MID(K82,6,1)</f>
        <v>M</v>
      </c>
      <c r="L83" s="101" t="str">
        <f t="shared" ref="L83" si="22">MID(L82,6,1)</f>
        <v>J</v>
      </c>
      <c r="M83" s="101" t="str">
        <f t="shared" ref="M83" si="23">MID(M82,6,1)</f>
        <v>J</v>
      </c>
      <c r="N83" s="101" t="str">
        <f t="shared" ref="N83" si="24">MID(N82,6,1)</f>
        <v>A</v>
      </c>
      <c r="O83" s="101" t="str">
        <f t="shared" ref="O83" si="25">MID(O82,6,1)</f>
        <v>S</v>
      </c>
      <c r="P83" s="101" t="str">
        <f t="shared" ref="P83" si="26">MID(P82,6,1)</f>
        <v>O</v>
      </c>
    </row>
    <row r="84" spans="2:16">
      <c r="B84" s="102" t="s">
        <v>107</v>
      </c>
      <c r="C84" s="102" t="str">
        <f>Dat_01!B236</f>
        <v>Carbón</v>
      </c>
      <c r="D84" s="209">
        <f>Dat_01!C236</f>
        <v>4163.7</v>
      </c>
      <c r="E84" s="209">
        <f>Dat_01!D236</f>
        <v>3677.8</v>
      </c>
      <c r="F84" s="209">
        <f>Dat_01!E236</f>
        <v>1607.3</v>
      </c>
      <c r="G84" s="209">
        <f>Dat_01!F236</f>
        <v>3376.2</v>
      </c>
      <c r="H84" s="209">
        <f>Dat_01!G236</f>
        <v>1995</v>
      </c>
      <c r="I84" s="209">
        <f>Dat_01!H236</f>
        <v>418.1</v>
      </c>
      <c r="J84" s="209">
        <f>Dat_01!I236</f>
        <v>0</v>
      </c>
      <c r="K84" s="209">
        <f>Dat_01!J236</f>
        <v>5</v>
      </c>
      <c r="L84" s="209">
        <f>Dat_01!K236</f>
        <v>105</v>
      </c>
      <c r="M84" s="209">
        <f>Dat_01!L236</f>
        <v>50</v>
      </c>
      <c r="N84" s="209">
        <f>Dat_01!M236</f>
        <v>0</v>
      </c>
      <c r="O84" s="209">
        <f>Dat_01!N236</f>
        <v>50</v>
      </c>
      <c r="P84" s="209">
        <f>Dat_01!O236</f>
        <v>3</v>
      </c>
    </row>
    <row r="85" spans="2:16">
      <c r="B85" s="102" t="s">
        <v>107</v>
      </c>
      <c r="C85" s="102" t="str">
        <f>Dat_01!B237</f>
        <v>Ciclo Combinado</v>
      </c>
      <c r="D85" s="209">
        <f>Dat_01!C237</f>
        <v>94511.7</v>
      </c>
      <c r="E85" s="209">
        <f>Dat_01!D237</f>
        <v>93991.4</v>
      </c>
      <c r="F85" s="209">
        <f>Dat_01!E237</f>
        <v>80390.7</v>
      </c>
      <c r="G85" s="209">
        <f>Dat_01!F237</f>
        <v>112471.6</v>
      </c>
      <c r="H85" s="209">
        <f>Dat_01!G237</f>
        <v>48257.3</v>
      </c>
      <c r="I85" s="209">
        <f>Dat_01!H237</f>
        <v>25069.8</v>
      </c>
      <c r="J85" s="209">
        <f>Dat_01!I237</f>
        <v>17020</v>
      </c>
      <c r="K85" s="209">
        <f>Dat_01!J237</f>
        <v>31454.1</v>
      </c>
      <c r="L85" s="209">
        <f>Dat_01!K237</f>
        <v>93533.6</v>
      </c>
      <c r="M85" s="209">
        <f>Dat_01!L237</f>
        <v>125585.60000000001</v>
      </c>
      <c r="N85" s="209">
        <f>Dat_01!M237</f>
        <v>108564.2</v>
      </c>
      <c r="O85" s="209">
        <f>Dat_01!N237</f>
        <v>92799.2</v>
      </c>
      <c r="P85" s="209">
        <f>Dat_01!O237</f>
        <v>109185.7</v>
      </c>
    </row>
    <row r="86" spans="2:16">
      <c r="B86" s="102" t="s">
        <v>107</v>
      </c>
      <c r="C86" s="102" t="str">
        <f>Dat_01!B238</f>
        <v>Cogeneración</v>
      </c>
      <c r="D86" s="209">
        <f>Dat_01!C238</f>
        <v>0</v>
      </c>
      <c r="E86" s="209">
        <f>Dat_01!D238</f>
        <v>51.5</v>
      </c>
      <c r="F86" s="209">
        <f>Dat_01!E238</f>
        <v>371.4</v>
      </c>
      <c r="G86" s="209">
        <f>Dat_01!F238</f>
        <v>1718.3</v>
      </c>
      <c r="H86" s="209">
        <f>Dat_01!G238</f>
        <v>169</v>
      </c>
      <c r="I86" s="209">
        <f>Dat_01!H238</f>
        <v>511.6</v>
      </c>
      <c r="J86" s="209">
        <f>Dat_01!I238</f>
        <v>1099</v>
      </c>
      <c r="K86" s="209">
        <f>Dat_01!J238</f>
        <v>2074.9</v>
      </c>
      <c r="L86" s="209">
        <f>Dat_01!K238</f>
        <v>8541.6</v>
      </c>
      <c r="M86" s="209">
        <f>Dat_01!L238</f>
        <v>12039</v>
      </c>
      <c r="N86" s="209">
        <f>Dat_01!M238</f>
        <v>5645</v>
      </c>
      <c r="O86" s="209">
        <f>Dat_01!N238</f>
        <v>3342.1</v>
      </c>
      <c r="P86" s="209">
        <f>Dat_01!O238</f>
        <v>3918.6</v>
      </c>
    </row>
    <row r="87" spans="2:16">
      <c r="B87" s="102" t="s">
        <v>107</v>
      </c>
      <c r="C87" s="102" t="str">
        <f>Dat_01!B239</f>
        <v>Consumo Bombeo</v>
      </c>
      <c r="D87" s="209">
        <f>Dat_01!C239</f>
        <v>10093.200000000001</v>
      </c>
      <c r="E87" s="209">
        <f>Dat_01!D239</f>
        <v>13298.4</v>
      </c>
      <c r="F87" s="209">
        <f>Dat_01!E239</f>
        <v>19733.099999999999</v>
      </c>
      <c r="G87" s="209">
        <f>Dat_01!F239</f>
        <v>14293.3</v>
      </c>
      <c r="H87" s="209">
        <f>Dat_01!G239</f>
        <v>8732.4</v>
      </c>
      <c r="I87" s="209">
        <f>Dat_01!H239</f>
        <v>10680.8</v>
      </c>
      <c r="J87" s="209">
        <f>Dat_01!I239</f>
        <v>30032</v>
      </c>
      <c r="K87" s="209">
        <f>Dat_01!J239</f>
        <v>13342</v>
      </c>
      <c r="L87" s="209">
        <f>Dat_01!K239</f>
        <v>21857.1</v>
      </c>
      <c r="M87" s="209">
        <f>Dat_01!L239</f>
        <v>31594.3</v>
      </c>
      <c r="N87" s="209">
        <f>Dat_01!M239</f>
        <v>6241.6</v>
      </c>
      <c r="O87" s="209">
        <f>Dat_01!N239</f>
        <v>9830.5</v>
      </c>
      <c r="P87" s="209">
        <f>Dat_01!O239</f>
        <v>12821.2</v>
      </c>
    </row>
    <row r="88" spans="2:16">
      <c r="B88" s="102" t="s">
        <v>107</v>
      </c>
      <c r="C88" s="102" t="str">
        <f>Dat_01!B240</f>
        <v>Eólica</v>
      </c>
      <c r="D88" s="209">
        <f>Dat_01!C240</f>
        <v>10069.799999999999</v>
      </c>
      <c r="E88" s="209">
        <f>Dat_01!D240</f>
        <v>12383</v>
      </c>
      <c r="F88" s="209">
        <f>Dat_01!E240</f>
        <v>14568.3</v>
      </c>
      <c r="G88" s="209">
        <f>Dat_01!F240</f>
        <v>9539.1</v>
      </c>
      <c r="H88" s="209">
        <f>Dat_01!G240</f>
        <v>3606.8</v>
      </c>
      <c r="I88" s="209">
        <f>Dat_01!H240</f>
        <v>2598.6999999999998</v>
      </c>
      <c r="J88" s="209">
        <f>Dat_01!I240</f>
        <v>4029</v>
      </c>
      <c r="K88" s="209">
        <f>Dat_01!J240</f>
        <v>3540.5</v>
      </c>
      <c r="L88" s="209">
        <f>Dat_01!K240</f>
        <v>7292.6</v>
      </c>
      <c r="M88" s="209">
        <f>Dat_01!L240</f>
        <v>7693.1</v>
      </c>
      <c r="N88" s="209">
        <f>Dat_01!M240</f>
        <v>3597</v>
      </c>
      <c r="O88" s="209">
        <f>Dat_01!N240</f>
        <v>2500.3000000000002</v>
      </c>
      <c r="P88" s="209">
        <f>Dat_01!O240</f>
        <v>6372.3</v>
      </c>
    </row>
    <row r="89" spans="2:16">
      <c r="B89" s="102" t="s">
        <v>107</v>
      </c>
      <c r="C89" s="102" t="str">
        <f>Dat_01!B241</f>
        <v>Hidráulica</v>
      </c>
      <c r="D89" s="209">
        <f>Dat_01!C241</f>
        <v>45049.8</v>
      </c>
      <c r="E89" s="209">
        <f>Dat_01!D241</f>
        <v>48971.8</v>
      </c>
      <c r="F89" s="209">
        <f>Dat_01!E241</f>
        <v>20541.3</v>
      </c>
      <c r="G89" s="209">
        <f>Dat_01!F241</f>
        <v>80742.100000000006</v>
      </c>
      <c r="H89" s="209">
        <f>Dat_01!G241</f>
        <v>34283.300000000003</v>
      </c>
      <c r="I89" s="209">
        <f>Dat_01!H241</f>
        <v>26299.3</v>
      </c>
      <c r="J89" s="209">
        <f>Dat_01!I241</f>
        <v>20482</v>
      </c>
      <c r="K89" s="209">
        <f>Dat_01!J241</f>
        <v>42478.400000000001</v>
      </c>
      <c r="L89" s="209">
        <f>Dat_01!K241</f>
        <v>135598.70000000001</v>
      </c>
      <c r="M89" s="209">
        <f>Dat_01!L241</f>
        <v>93034.8</v>
      </c>
      <c r="N89" s="209">
        <f>Dat_01!M241</f>
        <v>49376</v>
      </c>
      <c r="O89" s="209">
        <f>Dat_01!N241</f>
        <v>21849.9</v>
      </c>
      <c r="P89" s="209">
        <f>Dat_01!O241</f>
        <v>26600.6</v>
      </c>
    </row>
    <row r="90" spans="2:16">
      <c r="B90" s="102" t="s">
        <v>107</v>
      </c>
      <c r="C90" s="102" t="str">
        <f>Dat_01!B242</f>
        <v>Nuclear</v>
      </c>
      <c r="D90" s="209">
        <f>Dat_01!C242</f>
        <v>0</v>
      </c>
      <c r="E90" s="209">
        <f>Dat_01!D242</f>
        <v>539</v>
      </c>
      <c r="F90" s="209">
        <f>Dat_01!E242</f>
        <v>876.4</v>
      </c>
      <c r="G90" s="209">
        <f>Dat_01!F242</f>
        <v>186</v>
      </c>
      <c r="H90" s="209">
        <f>Dat_01!G242</f>
        <v>267</v>
      </c>
      <c r="I90" s="209">
        <f>Dat_01!H242</f>
        <v>0</v>
      </c>
      <c r="J90" s="209">
        <f>Dat_01!I242</f>
        <v>12</v>
      </c>
      <c r="K90" s="209">
        <f>Dat_01!J242</f>
        <v>139</v>
      </c>
      <c r="L90" s="209">
        <f>Dat_01!K242</f>
        <v>1073</v>
      </c>
      <c r="M90" s="209">
        <f>Dat_01!L242</f>
        <v>70</v>
      </c>
      <c r="N90" s="209">
        <f>Dat_01!M242</f>
        <v>0</v>
      </c>
      <c r="O90" s="209">
        <f>Dat_01!N242</f>
        <v>0</v>
      </c>
      <c r="P90" s="209">
        <f>Dat_01!O242</f>
        <v>125</v>
      </c>
    </row>
    <row r="91" spans="2:16">
      <c r="B91" s="102" t="s">
        <v>107</v>
      </c>
      <c r="C91" s="102" t="str">
        <f>Dat_01!B243</f>
        <v>Solar fotovoltaica</v>
      </c>
      <c r="D91" s="209">
        <f>Dat_01!C243</f>
        <v>0</v>
      </c>
      <c r="E91" s="209">
        <f>Dat_01!D243</f>
        <v>0</v>
      </c>
      <c r="F91" s="209">
        <f>Dat_01!E243</f>
        <v>1.2</v>
      </c>
      <c r="G91" s="209">
        <f>Dat_01!F243</f>
        <v>0</v>
      </c>
      <c r="H91" s="209">
        <f>Dat_01!G243</f>
        <v>0</v>
      </c>
      <c r="I91" s="209">
        <f>Dat_01!H243</f>
        <v>0</v>
      </c>
      <c r="J91" s="209">
        <f>Dat_01!I243</f>
        <v>0</v>
      </c>
      <c r="K91" s="209">
        <f>Dat_01!J243</f>
        <v>1</v>
      </c>
      <c r="L91" s="209">
        <f>Dat_01!K243</f>
        <v>2</v>
      </c>
      <c r="M91" s="209">
        <f>Dat_01!L243</f>
        <v>4</v>
      </c>
      <c r="N91" s="209">
        <f>Dat_01!M243</f>
        <v>0</v>
      </c>
      <c r="O91" s="209">
        <f>Dat_01!N243</f>
        <v>1</v>
      </c>
      <c r="P91" s="209">
        <f>Dat_01!O243</f>
        <v>8</v>
      </c>
    </row>
    <row r="92" spans="2:16">
      <c r="B92" s="102" t="s">
        <v>107</v>
      </c>
      <c r="C92" s="102" t="str">
        <f>Dat_01!B244</f>
        <v>Turbinación bombeo</v>
      </c>
      <c r="D92" s="209">
        <f>Dat_01!C244</f>
        <v>29699</v>
      </c>
      <c r="E92" s="209">
        <f>Dat_01!D244</f>
        <v>32260</v>
      </c>
      <c r="F92" s="209">
        <f>Dat_01!E244</f>
        <v>60128.2</v>
      </c>
      <c r="G92" s="209">
        <f>Dat_01!F244</f>
        <v>46371.3</v>
      </c>
      <c r="H92" s="209">
        <f>Dat_01!G244</f>
        <v>22347.8</v>
      </c>
      <c r="I92" s="209">
        <f>Dat_01!H244</f>
        <v>23301.1</v>
      </c>
      <c r="J92" s="209">
        <f>Dat_01!I244</f>
        <v>23437</v>
      </c>
      <c r="K92" s="209">
        <f>Dat_01!J244</f>
        <v>35473.1</v>
      </c>
      <c r="L92" s="209">
        <f>Dat_01!K244</f>
        <v>43074.400000000001</v>
      </c>
      <c r="M92" s="209">
        <f>Dat_01!L244</f>
        <v>53243.199999999997</v>
      </c>
      <c r="N92" s="209">
        <f>Dat_01!M244</f>
        <v>32334.2</v>
      </c>
      <c r="O92" s="209">
        <f>Dat_01!N244</f>
        <v>19451</v>
      </c>
      <c r="P92" s="209">
        <f>Dat_01!O244</f>
        <v>30188</v>
      </c>
    </row>
    <row r="93" spans="2:16">
      <c r="B93" s="102" t="s">
        <v>107</v>
      </c>
      <c r="C93" s="195" t="str">
        <f>Dat_01!B245</f>
        <v>Total</v>
      </c>
      <c r="D93" s="208">
        <f>Dat_01!C245</f>
        <v>193587.20000000001</v>
      </c>
      <c r="E93" s="208">
        <f>Dat_01!D245</f>
        <v>205172.9</v>
      </c>
      <c r="F93" s="208">
        <f>Dat_01!E245</f>
        <v>198217.9</v>
      </c>
      <c r="G93" s="208">
        <f>Dat_01!F245</f>
        <v>268697.90000000002</v>
      </c>
      <c r="H93" s="208">
        <f>Dat_01!G245</f>
        <v>119658.6</v>
      </c>
      <c r="I93" s="208">
        <f>Dat_01!H245</f>
        <v>88879.4</v>
      </c>
      <c r="J93" s="208">
        <f>Dat_01!I245</f>
        <v>96111</v>
      </c>
      <c r="K93" s="208">
        <f>Dat_01!J245</f>
        <v>128508</v>
      </c>
      <c r="L93" s="208">
        <f>Dat_01!K245</f>
        <v>311078</v>
      </c>
      <c r="M93" s="208">
        <f>Dat_01!L245</f>
        <v>323314</v>
      </c>
      <c r="N93" s="208">
        <f>Dat_01!M245</f>
        <v>205758</v>
      </c>
      <c r="O93" s="208">
        <f>Dat_01!N245</f>
        <v>149824</v>
      </c>
      <c r="P93" s="208">
        <f>Dat_01!O245</f>
        <v>189222.39999999999</v>
      </c>
    </row>
    <row r="94" spans="2:16">
      <c r="B94" s="102" t="s">
        <v>107</v>
      </c>
      <c r="C94" s="102" t="str">
        <f>Dat_01!B246</f>
        <v>Carbón</v>
      </c>
      <c r="D94" s="209">
        <f>Dat_01!C246</f>
        <v>1862.6</v>
      </c>
      <c r="E94" s="209">
        <f>Dat_01!D246</f>
        <v>1673.1</v>
      </c>
      <c r="F94" s="209">
        <f>Dat_01!E246</f>
        <v>843.6</v>
      </c>
      <c r="G94" s="209">
        <f>Dat_01!F246</f>
        <v>591.9</v>
      </c>
      <c r="H94" s="209">
        <f>Dat_01!G246</f>
        <v>683.9</v>
      </c>
      <c r="I94" s="209">
        <f>Dat_01!H246</f>
        <v>266</v>
      </c>
      <c r="J94" s="209">
        <f>Dat_01!I246</f>
        <v>248</v>
      </c>
      <c r="K94" s="209">
        <f>Dat_01!J246</f>
        <v>93</v>
      </c>
      <c r="L94" s="209">
        <f>Dat_01!K246</f>
        <v>66</v>
      </c>
      <c r="M94" s="209">
        <f>Dat_01!L246</f>
        <v>123</v>
      </c>
      <c r="N94" s="209">
        <f>Dat_01!M246</f>
        <v>152</v>
      </c>
      <c r="O94" s="209">
        <f>Dat_01!N246</f>
        <v>154</v>
      </c>
      <c r="P94" s="209">
        <f>Dat_01!O246</f>
        <v>129</v>
      </c>
    </row>
    <row r="95" spans="2:16">
      <c r="B95" s="102" t="s">
        <v>111</v>
      </c>
      <c r="C95" s="102" t="str">
        <f>Dat_01!B247</f>
        <v>Ciclo Combinado</v>
      </c>
      <c r="D95" s="209">
        <f>Dat_01!C247</f>
        <v>27837.599999999999</v>
      </c>
      <c r="E95" s="209">
        <f>Dat_01!D247</f>
        <v>11548.4</v>
      </c>
      <c r="F95" s="209">
        <f>Dat_01!E247</f>
        <v>12672</v>
      </c>
      <c r="G95" s="209">
        <f>Dat_01!F247</f>
        <v>10439.5</v>
      </c>
      <c r="H95" s="209">
        <f>Dat_01!G247</f>
        <v>17734.400000000001</v>
      </c>
      <c r="I95" s="209">
        <f>Dat_01!H247</f>
        <v>10455</v>
      </c>
      <c r="J95" s="209">
        <f>Dat_01!I247</f>
        <v>7191</v>
      </c>
      <c r="K95" s="209">
        <f>Dat_01!J247</f>
        <v>7535.7</v>
      </c>
      <c r="L95" s="209">
        <f>Dat_01!K247</f>
        <v>7025.7</v>
      </c>
      <c r="M95" s="209">
        <f>Dat_01!L247</f>
        <v>5966.1</v>
      </c>
      <c r="N95" s="209">
        <f>Dat_01!M247</f>
        <v>27645.5</v>
      </c>
      <c r="O95" s="209">
        <f>Dat_01!N247</f>
        <v>18699.7</v>
      </c>
      <c r="P95" s="209">
        <f>Dat_01!O247</f>
        <v>11392.3</v>
      </c>
    </row>
    <row r="96" spans="2:16">
      <c r="B96" s="102" t="s">
        <v>111</v>
      </c>
      <c r="C96" s="102" t="str">
        <f>Dat_01!B248</f>
        <v>Cogeneración</v>
      </c>
      <c r="D96" s="209">
        <f>Dat_01!C248</f>
        <v>96.8</v>
      </c>
      <c r="E96" s="209">
        <f>Dat_01!D248</f>
        <v>106.4</v>
      </c>
      <c r="F96" s="209">
        <f>Dat_01!E248</f>
        <v>969.2</v>
      </c>
      <c r="G96" s="209">
        <f>Dat_01!F248</f>
        <v>218.3</v>
      </c>
      <c r="H96" s="209">
        <f>Dat_01!G248</f>
        <v>130.30000000000001</v>
      </c>
      <c r="I96" s="209">
        <f>Dat_01!H248</f>
        <v>302</v>
      </c>
      <c r="J96" s="209">
        <f>Dat_01!I248</f>
        <v>798</v>
      </c>
      <c r="K96" s="209">
        <f>Dat_01!J248</f>
        <v>753.6</v>
      </c>
      <c r="L96" s="209">
        <f>Dat_01!K248</f>
        <v>507</v>
      </c>
      <c r="M96" s="209">
        <f>Dat_01!L248</f>
        <v>490</v>
      </c>
      <c r="N96" s="209">
        <f>Dat_01!M248</f>
        <v>2170</v>
      </c>
      <c r="O96" s="209">
        <f>Dat_01!N248</f>
        <v>1014</v>
      </c>
      <c r="P96" s="209">
        <f>Dat_01!O248</f>
        <v>1219.7</v>
      </c>
    </row>
    <row r="97" spans="2:16">
      <c r="B97" s="102" t="s">
        <v>111</v>
      </c>
      <c r="C97" s="102" t="str">
        <f>Dat_01!B249</f>
        <v>Consumo Bombeo</v>
      </c>
      <c r="D97" s="209">
        <f>Dat_01!C249</f>
        <v>28735.200000000001</v>
      </c>
      <c r="E97" s="209">
        <f>Dat_01!D249</f>
        <v>26206.5</v>
      </c>
      <c r="F97" s="209">
        <f>Dat_01!E249</f>
        <v>37655</v>
      </c>
      <c r="G97" s="209">
        <f>Dat_01!F249</f>
        <v>34537.4</v>
      </c>
      <c r="H97" s="209">
        <f>Dat_01!G249</f>
        <v>46367.6</v>
      </c>
      <c r="I97" s="209">
        <f>Dat_01!H249</f>
        <v>52908</v>
      </c>
      <c r="J97" s="209">
        <f>Dat_01!I249</f>
        <v>66283</v>
      </c>
      <c r="K97" s="209">
        <f>Dat_01!J249</f>
        <v>39389.699999999997</v>
      </c>
      <c r="L97" s="209">
        <f>Dat_01!K249</f>
        <v>21162.5</v>
      </c>
      <c r="M97" s="209">
        <f>Dat_01!L249</f>
        <v>27694.799999999999</v>
      </c>
      <c r="N97" s="209">
        <f>Dat_01!M249</f>
        <v>55738</v>
      </c>
      <c r="O97" s="209">
        <f>Dat_01!N249</f>
        <v>28968.400000000001</v>
      </c>
      <c r="P97" s="209">
        <f>Dat_01!O249</f>
        <v>23755.5</v>
      </c>
    </row>
    <row r="98" spans="2:16">
      <c r="B98" s="102" t="s">
        <v>111</v>
      </c>
      <c r="C98" s="102" t="str">
        <f>Dat_01!B250</f>
        <v>Eólica</v>
      </c>
      <c r="D98" s="209">
        <f>Dat_01!C250</f>
        <v>5033.8999999999996</v>
      </c>
      <c r="E98" s="209">
        <f>Dat_01!D250</f>
        <v>16242.7</v>
      </c>
      <c r="F98" s="209">
        <f>Dat_01!E250</f>
        <v>33849.300000000003</v>
      </c>
      <c r="G98" s="209">
        <f>Dat_01!F250</f>
        <v>3140.7</v>
      </c>
      <c r="H98" s="209">
        <f>Dat_01!G250</f>
        <v>4484.5</v>
      </c>
      <c r="I98" s="209">
        <f>Dat_01!H250</f>
        <v>8236.7000000000007</v>
      </c>
      <c r="J98" s="209">
        <f>Dat_01!I250</f>
        <v>13648</v>
      </c>
      <c r="K98" s="209">
        <f>Dat_01!J250</f>
        <v>12105</v>
      </c>
      <c r="L98" s="209">
        <f>Dat_01!K250</f>
        <v>3300.1</v>
      </c>
      <c r="M98" s="209">
        <f>Dat_01!L250</f>
        <v>1620.1</v>
      </c>
      <c r="N98" s="209">
        <f>Dat_01!M250</f>
        <v>6361</v>
      </c>
      <c r="O98" s="209">
        <f>Dat_01!N250</f>
        <v>8108</v>
      </c>
      <c r="P98" s="209">
        <f>Dat_01!O250</f>
        <v>16146.7</v>
      </c>
    </row>
    <row r="99" spans="2:16">
      <c r="B99" s="102" t="s">
        <v>111</v>
      </c>
      <c r="C99" s="102" t="str">
        <f>Dat_01!B251</f>
        <v>Hidráulica</v>
      </c>
      <c r="D99" s="209">
        <f>Dat_01!C251</f>
        <v>3139.3</v>
      </c>
      <c r="E99" s="209">
        <f>Dat_01!D251</f>
        <v>5014.3999999999996</v>
      </c>
      <c r="F99" s="209">
        <f>Dat_01!E251</f>
        <v>9426.5</v>
      </c>
      <c r="G99" s="209">
        <f>Dat_01!F251</f>
        <v>19023.8</v>
      </c>
      <c r="H99" s="209">
        <f>Dat_01!G251</f>
        <v>13296.6</v>
      </c>
      <c r="I99" s="209">
        <f>Dat_01!H251</f>
        <v>13611</v>
      </c>
      <c r="J99" s="209">
        <f>Dat_01!I251</f>
        <v>13179</v>
      </c>
      <c r="K99" s="209">
        <f>Dat_01!J251</f>
        <v>9573</v>
      </c>
      <c r="L99" s="209">
        <f>Dat_01!K251</f>
        <v>7480.7</v>
      </c>
      <c r="M99" s="209">
        <f>Dat_01!L251</f>
        <v>2791</v>
      </c>
      <c r="N99" s="209">
        <f>Dat_01!M251</f>
        <v>9936.7999999999993</v>
      </c>
      <c r="O99" s="209">
        <f>Dat_01!N251</f>
        <v>12439.1</v>
      </c>
      <c r="P99" s="209">
        <f>Dat_01!O251</f>
        <v>6094.5</v>
      </c>
    </row>
    <row r="100" spans="2:16">
      <c r="B100" s="102" t="s">
        <v>111</v>
      </c>
      <c r="C100" s="102" t="str">
        <f>Dat_01!B252</f>
        <v>Nuclear</v>
      </c>
      <c r="D100" s="209">
        <f>Dat_01!C252</f>
        <v>0</v>
      </c>
      <c r="E100" s="209">
        <f>Dat_01!D252</f>
        <v>0</v>
      </c>
      <c r="F100" s="209">
        <f>Dat_01!E252</f>
        <v>0</v>
      </c>
      <c r="G100" s="209">
        <f>Dat_01!F252</f>
        <v>0</v>
      </c>
      <c r="H100" s="209">
        <f>Dat_01!G252</f>
        <v>160.1</v>
      </c>
      <c r="I100" s="209">
        <f>Dat_01!H252</f>
        <v>0</v>
      </c>
      <c r="J100" s="209">
        <f>Dat_01!I252</f>
        <v>0</v>
      </c>
      <c r="K100" s="209">
        <f>Dat_01!J252</f>
        <v>17</v>
      </c>
      <c r="L100" s="209">
        <f>Dat_01!K252</f>
        <v>105</v>
      </c>
      <c r="M100" s="209">
        <f>Dat_01!L252</f>
        <v>87.8</v>
      </c>
      <c r="N100" s="209">
        <f>Dat_01!M252</f>
        <v>0</v>
      </c>
      <c r="O100" s="209">
        <f>Dat_01!N252</f>
        <v>0</v>
      </c>
      <c r="P100" s="209">
        <f>Dat_01!O252</f>
        <v>0</v>
      </c>
    </row>
    <row r="101" spans="2:16">
      <c r="B101" s="102" t="s">
        <v>111</v>
      </c>
      <c r="C101" s="102" t="str">
        <f>Dat_01!B253</f>
        <v>Solar fotovoltaica</v>
      </c>
      <c r="D101" s="209">
        <f>Dat_01!C253</f>
        <v>0</v>
      </c>
      <c r="E101" s="209">
        <f>Dat_01!D253</f>
        <v>0</v>
      </c>
      <c r="F101" s="209">
        <f>Dat_01!E253</f>
        <v>57.6</v>
      </c>
      <c r="G101" s="209">
        <f>Dat_01!F253</f>
        <v>0</v>
      </c>
      <c r="H101" s="209">
        <f>Dat_01!G253</f>
        <v>0</v>
      </c>
      <c r="I101" s="209">
        <f>Dat_01!H253</f>
        <v>0</v>
      </c>
      <c r="J101" s="209">
        <f>Dat_01!I253</f>
        <v>0</v>
      </c>
      <c r="K101" s="209">
        <f>Dat_01!J253</f>
        <v>101</v>
      </c>
      <c r="L101" s="209">
        <f>Dat_01!K253</f>
        <v>0</v>
      </c>
      <c r="M101" s="209">
        <f>Dat_01!L253</f>
        <v>0</v>
      </c>
      <c r="N101" s="209">
        <f>Dat_01!M253</f>
        <v>35</v>
      </c>
      <c r="O101" s="209">
        <f>Dat_01!N253</f>
        <v>43.5</v>
      </c>
      <c r="P101" s="209">
        <f>Dat_01!O253</f>
        <v>10.7</v>
      </c>
    </row>
    <row r="102" spans="2:16">
      <c r="B102" s="102" t="s">
        <v>111</v>
      </c>
      <c r="C102" s="102" t="str">
        <f>Dat_01!B254</f>
        <v>Turbinación bombeo</v>
      </c>
      <c r="D102" s="209">
        <f>Dat_01!C254</f>
        <v>1421.7</v>
      </c>
      <c r="E102" s="209">
        <f>Dat_01!D254</f>
        <v>1496.4</v>
      </c>
      <c r="F102" s="209">
        <f>Dat_01!E254</f>
        <v>30140.7</v>
      </c>
      <c r="G102" s="209">
        <f>Dat_01!F254</f>
        <v>1658.4</v>
      </c>
      <c r="H102" s="209">
        <f>Dat_01!G254</f>
        <v>5844.4</v>
      </c>
      <c r="I102" s="209">
        <f>Dat_01!H254</f>
        <v>6180</v>
      </c>
      <c r="J102" s="209">
        <f>Dat_01!I254</f>
        <v>12053</v>
      </c>
      <c r="K102" s="209">
        <f>Dat_01!J254</f>
        <v>5032</v>
      </c>
      <c r="L102" s="209">
        <f>Dat_01!K254</f>
        <v>2862</v>
      </c>
      <c r="M102" s="209">
        <f>Dat_01!L254</f>
        <v>3441.2</v>
      </c>
      <c r="N102" s="209">
        <f>Dat_01!M254</f>
        <v>8686.7000000000007</v>
      </c>
      <c r="O102" s="209">
        <f>Dat_01!N254</f>
        <v>17149.3</v>
      </c>
      <c r="P102" s="209">
        <f>Dat_01!O254</f>
        <v>10042</v>
      </c>
    </row>
    <row r="103" spans="2:16">
      <c r="B103" s="102" t="s">
        <v>111</v>
      </c>
      <c r="C103" s="102" t="str">
        <f>Dat_01!B255</f>
        <v>Total</v>
      </c>
      <c r="D103" s="209">
        <f>Dat_01!C255</f>
        <v>68127.100000000006</v>
      </c>
      <c r="E103" s="209">
        <f>Dat_01!D255</f>
        <v>62287.9</v>
      </c>
      <c r="F103" s="209">
        <f>Dat_01!E255</f>
        <v>125613.9</v>
      </c>
      <c r="G103" s="209">
        <f>Dat_01!F255</f>
        <v>69610</v>
      </c>
      <c r="H103" s="209">
        <f>Dat_01!G255</f>
        <v>88701.8</v>
      </c>
      <c r="I103" s="209">
        <f>Dat_01!H255</f>
        <v>91958.7</v>
      </c>
      <c r="J103" s="209">
        <f>Dat_01!I255</f>
        <v>113400</v>
      </c>
      <c r="K103" s="209">
        <f>Dat_01!J255</f>
        <v>74600</v>
      </c>
      <c r="L103" s="209">
        <f>Dat_01!K255</f>
        <v>42509</v>
      </c>
      <c r="M103" s="209">
        <f>Dat_01!L255</f>
        <v>42214</v>
      </c>
      <c r="N103" s="209">
        <f>Dat_01!M255</f>
        <v>110725</v>
      </c>
      <c r="O103" s="209">
        <f>Dat_01!N255</f>
        <v>86576</v>
      </c>
      <c r="P103" s="209">
        <f>Dat_01!O255</f>
        <v>68790.399999999994</v>
      </c>
    </row>
    <row r="104" spans="2:16">
      <c r="B104" s="102" t="s">
        <v>111</v>
      </c>
      <c r="C104" s="102">
        <f>Dat_01!B256</f>
        <v>0</v>
      </c>
      <c r="D104" s="209">
        <f>Dat_01!C256</f>
        <v>0</v>
      </c>
      <c r="E104" s="209">
        <f>Dat_01!D256</f>
        <v>0</v>
      </c>
      <c r="F104" s="209">
        <f>Dat_01!E256</f>
        <v>0</v>
      </c>
      <c r="G104" s="209">
        <f>Dat_01!F256</f>
        <v>0</v>
      </c>
      <c r="H104" s="209">
        <f>Dat_01!G256</f>
        <v>0</v>
      </c>
      <c r="I104" s="209">
        <f>Dat_01!H256</f>
        <v>0</v>
      </c>
      <c r="J104" s="209">
        <f>Dat_01!I256</f>
        <v>0</v>
      </c>
      <c r="K104" s="209">
        <f>Dat_01!J256</f>
        <v>0</v>
      </c>
      <c r="L104" s="209">
        <f>Dat_01!K256</f>
        <v>0</v>
      </c>
      <c r="M104" s="209">
        <f>Dat_01!L256</f>
        <v>0</v>
      </c>
      <c r="N104" s="209">
        <f>Dat_01!M256</f>
        <v>0</v>
      </c>
      <c r="O104" s="209">
        <f>Dat_01!N256</f>
        <v>0</v>
      </c>
      <c r="P104" s="209">
        <f>Dat_01!O256</f>
        <v>0</v>
      </c>
    </row>
    <row r="105" spans="2:16">
      <c r="B105" s="102" t="s">
        <v>111</v>
      </c>
      <c r="C105" s="195" t="str">
        <f>Dat_01!B257</f>
        <v>Total</v>
      </c>
      <c r="D105" s="208">
        <f>Dat_01!C257</f>
        <v>261714.30000000002</v>
      </c>
      <c r="E105" s="208">
        <f>Dat_01!D257</f>
        <v>267460.8</v>
      </c>
      <c r="F105" s="208">
        <f>Dat_01!E257</f>
        <v>323831.8</v>
      </c>
      <c r="G105" s="208">
        <f>Dat_01!F257</f>
        <v>338307.9</v>
      </c>
      <c r="H105" s="208">
        <f>Dat_01!G257</f>
        <v>208360.40000000002</v>
      </c>
      <c r="I105" s="208">
        <f>Dat_01!H257</f>
        <v>180838.09999999998</v>
      </c>
      <c r="J105" s="208">
        <f>Dat_01!I257</f>
        <v>209511</v>
      </c>
      <c r="K105" s="208">
        <f>Dat_01!J257</f>
        <v>203108</v>
      </c>
      <c r="L105" s="208">
        <f>Dat_01!K257</f>
        <v>353587</v>
      </c>
      <c r="M105" s="208">
        <f>Dat_01!L257</f>
        <v>365528</v>
      </c>
      <c r="N105" s="208">
        <f>Dat_01!M257</f>
        <v>316483</v>
      </c>
      <c r="O105" s="208">
        <f>Dat_01!N257</f>
        <v>236400</v>
      </c>
      <c r="P105" s="208">
        <f>Dat_01!O257</f>
        <v>258012.79999999999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107</v>
      </c>
      <c r="C107" s="210"/>
      <c r="D107" s="203">
        <f>Dat_01!B262</f>
        <v>55.2966282378</v>
      </c>
      <c r="E107" s="203">
        <f>Dat_01!C262</f>
        <v>54.333319799999998</v>
      </c>
      <c r="F107" s="203">
        <f>Dat_01!D262</f>
        <v>44.3319517057</v>
      </c>
      <c r="G107" s="203">
        <f>Dat_01!E262</f>
        <v>50.296903697399998</v>
      </c>
      <c r="H107" s="203">
        <f>Dat_01!F262</f>
        <v>42.143515635299998</v>
      </c>
      <c r="I107" s="203">
        <f>Dat_01!I262</f>
        <v>24.623747891899999</v>
      </c>
      <c r="J107" s="203">
        <f>Dat_01!J262</f>
        <v>15.2646585274</v>
      </c>
      <c r="K107" s="203">
        <f>Dat_01!K262</f>
        <v>22.042028284800001</v>
      </c>
      <c r="L107" s="203">
        <f>Dat_01!L262</f>
        <v>36.538630534200003</v>
      </c>
      <c r="M107" s="203">
        <f>Dat_01!M262</f>
        <v>40.010839338799997</v>
      </c>
      <c r="N107" s="203">
        <f>Dat_01!N262</f>
        <v>35.719467202899999</v>
      </c>
      <c r="O107" s="203">
        <f>Dat_01!O262</f>
        <v>40.409313405900001</v>
      </c>
      <c r="P107" s="203">
        <f>Dat_01!P262</f>
        <v>35.633163170400003</v>
      </c>
    </row>
    <row r="108" spans="2:16">
      <c r="B108" s="102" t="s">
        <v>111</v>
      </c>
      <c r="C108" s="211"/>
      <c r="D108" s="204">
        <f>Dat_01!B263</f>
        <v>31.411177049999999</v>
      </c>
      <c r="E108" s="204">
        <f>Dat_01!C263</f>
        <v>22.723224253800002</v>
      </c>
      <c r="F108" s="204">
        <f>Dat_01!D263</f>
        <v>14.034865488599999</v>
      </c>
      <c r="G108" s="204">
        <f>Dat_01!E263</f>
        <v>31.3201179428</v>
      </c>
      <c r="H108" s="204">
        <f>Dat_01!F263</f>
        <v>25.394216690099999</v>
      </c>
      <c r="I108" s="204">
        <f>Dat_01!G263</f>
        <v>0</v>
      </c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237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257</v>
      </c>
      <c r="O112" s="185"/>
      <c r="P112" s="184">
        <f>(P93-D93)/D93</f>
        <v>-2.2546945252578773E-2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258</v>
      </c>
      <c r="O113" s="185"/>
      <c r="P113" s="184">
        <f>(P105-D105)/D105</f>
        <v>-1.4143285254187597E-2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259</v>
      </c>
      <c r="O114" s="185"/>
      <c r="P114" s="280">
        <f>((P93+P105)-(D93+D105))/(D93+D105)</f>
        <v>-1.7716392324646519E-2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291</v>
      </c>
      <c r="O115" s="185"/>
      <c r="P115" s="184">
        <f>(P107-D107)/D107</f>
        <v>-0.35559971184569128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</row>
    <row r="119" spans="2:16"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2:16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</row>
    <row r="121" spans="2:16">
      <c r="B121" s="225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</row>
    <row r="122" spans="2:16">
      <c r="B122" s="225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</row>
    <row r="123" spans="2:16">
      <c r="B123" s="225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</row>
    <row r="124" spans="2:16">
      <c r="B124" s="225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</row>
    <row r="125" spans="2:16">
      <c r="B125" s="225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</row>
    <row r="126" spans="2:16">
      <c r="B126" s="225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</row>
    <row r="127" spans="2:16">
      <c r="B127" s="225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7"/>
  <sheetViews>
    <sheetView workbookViewId="0"/>
  </sheetViews>
  <sheetFormatPr baseColWidth="10" defaultRowHeight="12.75"/>
  <sheetData>
    <row r="1" spans="1:2">
      <c r="A1">
        <v>16</v>
      </c>
      <c r="B1" s="138" t="s">
        <v>343</v>
      </c>
    </row>
    <row r="2" spans="1:2">
      <c r="A2" t="s">
        <v>325</v>
      </c>
    </row>
    <row r="3" spans="1:2">
      <c r="A3" t="s">
        <v>335</v>
      </c>
    </row>
    <row r="4" spans="1:2">
      <c r="A4" t="s">
        <v>334</v>
      </c>
    </row>
    <row r="5" spans="1:2">
      <c r="A5" t="s">
        <v>324</v>
      </c>
    </row>
    <row r="6" spans="1:2">
      <c r="A6" t="s">
        <v>340</v>
      </c>
    </row>
    <row r="7" spans="1:2">
      <c r="A7" t="s">
        <v>333</v>
      </c>
    </row>
    <row r="8" spans="1:2">
      <c r="A8" t="s">
        <v>329</v>
      </c>
    </row>
    <row r="9" spans="1:2">
      <c r="A9" t="s">
        <v>332</v>
      </c>
    </row>
    <row r="10" spans="1:2">
      <c r="A10" t="s">
        <v>342</v>
      </c>
    </row>
    <row r="11" spans="1:2">
      <c r="A11" t="s">
        <v>344</v>
      </c>
    </row>
    <row r="12" spans="1:2">
      <c r="A12" t="s">
        <v>331</v>
      </c>
    </row>
    <row r="13" spans="1:2">
      <c r="A13" t="s">
        <v>328</v>
      </c>
    </row>
    <row r="14" spans="1:2">
      <c r="A14" t="s">
        <v>298</v>
      </c>
    </row>
    <row r="15" spans="1:2">
      <c r="A15" t="s">
        <v>339</v>
      </c>
    </row>
    <row r="16" spans="1:2">
      <c r="A16" t="s">
        <v>321</v>
      </c>
    </row>
    <row r="17" spans="1:1">
      <c r="A17" t="s">
        <v>322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BD31" zoomScale="90" zoomScaleNormal="90" workbookViewId="0">
      <selection activeCell="BK48" sqref="BK48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286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17" t="s">
        <v>171</v>
      </c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66" ht="18.75">
      <c r="A2" s="250" t="s">
        <v>287</v>
      </c>
      <c r="B2" s="249"/>
      <c r="C2" s="249"/>
      <c r="D2" s="249"/>
      <c r="E2" s="249"/>
      <c r="F2" s="249"/>
      <c r="G2" s="251" t="s">
        <v>288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287</v>
      </c>
      <c r="U2" s="249"/>
      <c r="V2" s="249"/>
      <c r="W2" s="249"/>
      <c r="X2" s="249"/>
      <c r="Y2" s="249"/>
      <c r="AA2" s="157" t="s">
        <v>172</v>
      </c>
      <c r="AB2" s="157" t="s">
        <v>173</v>
      </c>
      <c r="AC2" s="157" t="s">
        <v>174</v>
      </c>
      <c r="AD2" s="157" t="s">
        <v>175</v>
      </c>
      <c r="AE2" s="157" t="s">
        <v>176</v>
      </c>
      <c r="AF2" s="157" t="s">
        <v>177</v>
      </c>
      <c r="AG2" s="157" t="s">
        <v>178</v>
      </c>
      <c r="AH2" s="157" t="s">
        <v>179</v>
      </c>
      <c r="AI2" s="157" t="s">
        <v>180</v>
      </c>
      <c r="AJ2" s="157" t="s">
        <v>181</v>
      </c>
      <c r="AK2" s="160"/>
    </row>
    <row r="3" spans="1:66" ht="15">
      <c r="A3" s="250" t="s">
        <v>287</v>
      </c>
      <c r="B3" s="249"/>
      <c r="C3" s="249"/>
      <c r="D3" s="249"/>
      <c r="E3" s="249"/>
      <c r="F3" s="249"/>
      <c r="G3" s="252" t="s">
        <v>287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287</v>
      </c>
      <c r="U3" s="249"/>
      <c r="V3" s="249"/>
      <c r="W3" s="249"/>
      <c r="X3" s="249"/>
      <c r="Y3" s="249"/>
    </row>
    <row r="4" spans="1:66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AA4" s="157" t="s">
        <v>127</v>
      </c>
      <c r="AB4" s="157" t="s">
        <v>128</v>
      </c>
      <c r="AC4" s="157" t="s">
        <v>129</v>
      </c>
      <c r="AD4" s="157" t="s">
        <v>130</v>
      </c>
      <c r="AE4" s="157" t="s">
        <v>131</v>
      </c>
      <c r="AF4" s="157" t="s">
        <v>132</v>
      </c>
      <c r="AG4" s="157" t="s">
        <v>133</v>
      </c>
      <c r="AH4" s="157" t="s">
        <v>134</v>
      </c>
      <c r="AI4" s="157" t="s">
        <v>135</v>
      </c>
      <c r="AJ4" s="157" t="s">
        <v>136</v>
      </c>
      <c r="AK4" s="157" t="s">
        <v>137</v>
      </c>
      <c r="AL4" s="157" t="s">
        <v>138</v>
      </c>
      <c r="AM4" s="157" t="s">
        <v>139</v>
      </c>
      <c r="AN4" s="157" t="s">
        <v>140</v>
      </c>
      <c r="AO4" s="157" t="s">
        <v>141</v>
      </c>
      <c r="AP4" s="157" t="s">
        <v>142</v>
      </c>
      <c r="AQ4" s="157" t="s">
        <v>143</v>
      </c>
      <c r="AR4" s="157" t="s">
        <v>144</v>
      </c>
      <c r="AS4" s="157" t="s">
        <v>145</v>
      </c>
      <c r="AT4" s="157" t="s">
        <v>146</v>
      </c>
      <c r="AU4" s="157" t="s">
        <v>147</v>
      </c>
      <c r="AV4" s="157" t="s">
        <v>148</v>
      </c>
      <c r="AW4" s="157" t="s">
        <v>149</v>
      </c>
      <c r="AX4" s="157" t="s">
        <v>150</v>
      </c>
    </row>
    <row r="5" spans="1:66" ht="22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 s="283"/>
      <c r="V5"/>
      <c r="W5"/>
      <c r="X5"/>
      <c r="Y5"/>
      <c r="Z5" s="22" t="s">
        <v>287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0</v>
      </c>
      <c r="AB5" s="141">
        <f t="shared" si="0"/>
        <v>0</v>
      </c>
      <c r="AC5" s="141">
        <f t="shared" si="0"/>
        <v>0</v>
      </c>
      <c r="AD5" s="141">
        <f t="shared" si="0"/>
        <v>0</v>
      </c>
      <c r="AE5" s="141">
        <f t="shared" si="0"/>
        <v>0</v>
      </c>
      <c r="AF5" s="141">
        <f t="shared" si="0"/>
        <v>0</v>
      </c>
      <c r="AG5" s="141">
        <f t="shared" si="0"/>
        <v>0</v>
      </c>
      <c r="AH5" s="141">
        <f t="shared" si="0"/>
        <v>0</v>
      </c>
      <c r="AI5" s="141">
        <f t="shared" si="0"/>
        <v>0</v>
      </c>
      <c r="AJ5" s="141">
        <f t="shared" si="0"/>
        <v>0</v>
      </c>
      <c r="AK5" s="141">
        <f t="shared" si="0"/>
        <v>0</v>
      </c>
      <c r="AL5" s="141">
        <f t="shared" si="0"/>
        <v>0</v>
      </c>
      <c r="AM5" s="141">
        <f t="shared" si="0"/>
        <v>0</v>
      </c>
      <c r="AN5" s="141">
        <f t="shared" si="0"/>
        <v>0</v>
      </c>
      <c r="AO5" s="141">
        <f t="shared" si="0"/>
        <v>0</v>
      </c>
      <c r="AP5" s="141">
        <f t="shared" si="0"/>
        <v>0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0</v>
      </c>
      <c r="AR5" s="141">
        <f t="shared" si="1"/>
        <v>0</v>
      </c>
      <c r="AS5" s="141">
        <f t="shared" si="1"/>
        <v>0</v>
      </c>
      <c r="AT5" s="141">
        <f t="shared" si="1"/>
        <v>0</v>
      </c>
      <c r="AU5" s="141">
        <f t="shared" si="1"/>
        <v>0</v>
      </c>
      <c r="AV5" s="141">
        <f t="shared" si="1"/>
        <v>0</v>
      </c>
      <c r="AW5" s="141">
        <f t="shared" si="1"/>
        <v>0</v>
      </c>
      <c r="AX5" s="141">
        <f t="shared" si="1"/>
        <v>0</v>
      </c>
      <c r="AY5" s="141">
        <f>SUM(AA5:AX5)</f>
        <v>0</v>
      </c>
      <c r="BC5" s="143"/>
      <c r="BD5" s="161" t="s">
        <v>175</v>
      </c>
      <c r="BE5" s="161" t="s">
        <v>172</v>
      </c>
      <c r="BF5" s="161" t="s">
        <v>177</v>
      </c>
      <c r="BG5" s="161" t="s">
        <v>178</v>
      </c>
      <c r="BH5" s="161" t="s">
        <v>180</v>
      </c>
      <c r="BI5" s="161" t="s">
        <v>181</v>
      </c>
      <c r="BJ5" s="161" t="s">
        <v>176</v>
      </c>
      <c r="BK5" s="161" t="s">
        <v>182</v>
      </c>
      <c r="BL5" s="161" t="s">
        <v>173</v>
      </c>
      <c r="BM5" s="161" t="s">
        <v>174</v>
      </c>
      <c r="BN5" s="144"/>
    </row>
    <row r="6" spans="1:6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22" t="s">
        <v>287</v>
      </c>
      <c r="AA6" s="141">
        <f t="shared" si="0"/>
        <v>0</v>
      </c>
      <c r="AB6" s="141">
        <f t="shared" si="0"/>
        <v>0</v>
      </c>
      <c r="AC6" s="141">
        <f t="shared" si="0"/>
        <v>0</v>
      </c>
      <c r="AD6" s="141">
        <f t="shared" si="0"/>
        <v>0</v>
      </c>
      <c r="AE6" s="141">
        <f t="shared" si="0"/>
        <v>0</v>
      </c>
      <c r="AF6" s="141">
        <f t="shared" si="0"/>
        <v>0</v>
      </c>
      <c r="AG6" s="141">
        <f t="shared" si="0"/>
        <v>0</v>
      </c>
      <c r="AH6" s="141">
        <f t="shared" si="0"/>
        <v>0</v>
      </c>
      <c r="AI6" s="141">
        <f t="shared" si="0"/>
        <v>0</v>
      </c>
      <c r="AJ6" s="141">
        <f t="shared" si="0"/>
        <v>0</v>
      </c>
      <c r="AK6" s="141">
        <f t="shared" si="0"/>
        <v>0</v>
      </c>
      <c r="AL6" s="141">
        <f t="shared" si="0"/>
        <v>0</v>
      </c>
      <c r="AM6" s="141">
        <f t="shared" si="0"/>
        <v>0</v>
      </c>
      <c r="AN6" s="141">
        <f t="shared" si="0"/>
        <v>0</v>
      </c>
      <c r="AO6" s="141">
        <f t="shared" si="0"/>
        <v>0</v>
      </c>
      <c r="AP6" s="141">
        <f t="shared" si="0"/>
        <v>0</v>
      </c>
      <c r="AQ6" s="141">
        <f t="shared" si="1"/>
        <v>0</v>
      </c>
      <c r="AR6" s="141">
        <f t="shared" si="1"/>
        <v>0</v>
      </c>
      <c r="AS6" s="141">
        <f t="shared" si="1"/>
        <v>0</v>
      </c>
      <c r="AT6" s="141">
        <f t="shared" si="1"/>
        <v>0</v>
      </c>
      <c r="AU6" s="141">
        <f t="shared" si="1"/>
        <v>0</v>
      </c>
      <c r="AV6" s="141">
        <f t="shared" si="1"/>
        <v>0</v>
      </c>
      <c r="AW6" s="141">
        <f t="shared" si="1"/>
        <v>0</v>
      </c>
      <c r="AX6" s="141">
        <f t="shared" si="1"/>
        <v>0</v>
      </c>
      <c r="AY6" s="141">
        <f t="shared" ref="AY6:AY35" si="2">SUM(AA6:AX6)</f>
        <v>0</v>
      </c>
      <c r="BC6" s="161">
        <f>A5</f>
        <v>0</v>
      </c>
      <c r="BD6" s="163">
        <f>AY137</f>
        <v>0</v>
      </c>
      <c r="BE6" s="163">
        <f>AY38</f>
        <v>0</v>
      </c>
      <c r="BF6" s="163">
        <f>AY203</f>
        <v>0</v>
      </c>
      <c r="BG6" s="163">
        <f>AY236</f>
        <v>0</v>
      </c>
      <c r="BH6" s="163">
        <f>AY302</f>
        <v>0</v>
      </c>
      <c r="BI6" s="163">
        <f>AY335</f>
        <v>0</v>
      </c>
      <c r="BJ6" s="163">
        <f>AY170</f>
        <v>0</v>
      </c>
      <c r="BK6" s="163">
        <f>AY269</f>
        <v>0</v>
      </c>
      <c r="BL6" s="163">
        <f>AY71</f>
        <v>0</v>
      </c>
      <c r="BM6" s="163">
        <f>AY104</f>
        <v>0</v>
      </c>
      <c r="BN6" s="145">
        <f t="shared" ref="BN6:BN33" si="3">SUM(BD6:BM6)</f>
        <v>0</v>
      </c>
    </row>
    <row r="7" spans="1:6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22" t="s">
        <v>287</v>
      </c>
      <c r="AA7" s="141">
        <f t="shared" si="0"/>
        <v>0</v>
      </c>
      <c r="AB7" s="141">
        <f t="shared" si="0"/>
        <v>0</v>
      </c>
      <c r="AC7" s="141">
        <f t="shared" si="0"/>
        <v>0</v>
      </c>
      <c r="AD7" s="141">
        <f t="shared" si="0"/>
        <v>0</v>
      </c>
      <c r="AE7" s="141">
        <f t="shared" si="0"/>
        <v>0</v>
      </c>
      <c r="AF7" s="141">
        <f t="shared" si="0"/>
        <v>0</v>
      </c>
      <c r="AG7" s="141">
        <f t="shared" si="0"/>
        <v>0</v>
      </c>
      <c r="AH7" s="141">
        <f t="shared" si="0"/>
        <v>0</v>
      </c>
      <c r="AI7" s="141">
        <f t="shared" si="0"/>
        <v>0</v>
      </c>
      <c r="AJ7" s="141">
        <f t="shared" si="0"/>
        <v>0</v>
      </c>
      <c r="AK7" s="141">
        <f t="shared" si="0"/>
        <v>0</v>
      </c>
      <c r="AL7" s="141">
        <f t="shared" si="0"/>
        <v>0</v>
      </c>
      <c r="AM7" s="141">
        <f t="shared" si="0"/>
        <v>0</v>
      </c>
      <c r="AN7" s="141">
        <f t="shared" si="0"/>
        <v>0</v>
      </c>
      <c r="AO7" s="141">
        <f t="shared" si="0"/>
        <v>0</v>
      </c>
      <c r="AP7" s="141">
        <f t="shared" si="0"/>
        <v>0</v>
      </c>
      <c r="AQ7" s="141">
        <f t="shared" si="1"/>
        <v>0</v>
      </c>
      <c r="AR7" s="141">
        <f t="shared" si="1"/>
        <v>0</v>
      </c>
      <c r="AS7" s="141">
        <f t="shared" si="1"/>
        <v>0</v>
      </c>
      <c r="AT7" s="141">
        <f t="shared" si="1"/>
        <v>0</v>
      </c>
      <c r="AU7" s="141">
        <f t="shared" si="1"/>
        <v>0</v>
      </c>
      <c r="AV7" s="141">
        <f t="shared" si="1"/>
        <v>0</v>
      </c>
      <c r="AW7" s="141">
        <f t="shared" si="1"/>
        <v>0</v>
      </c>
      <c r="AX7" s="141">
        <f t="shared" si="1"/>
        <v>0</v>
      </c>
      <c r="AY7" s="141">
        <f t="shared" si="2"/>
        <v>0</v>
      </c>
      <c r="BC7" s="161">
        <f t="shared" ref="BC7:BC36" si="4">A6</f>
        <v>0</v>
      </c>
      <c r="BD7" s="163">
        <f t="shared" ref="BD7:BD36" si="5">AY138</f>
        <v>0</v>
      </c>
      <c r="BE7" s="163">
        <f t="shared" ref="BE7:BE36" si="6">AY39</f>
        <v>0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0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0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0</v>
      </c>
    </row>
    <row r="8" spans="1:66" ht="12.75" customHeight="1">
      <c r="A8"/>
      <c r="B8"/>
      <c r="C8"/>
      <c r="D8"/>
      <c r="E8"/>
      <c r="F8"/>
      <c r="G8" s="283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22" t="s">
        <v>287</v>
      </c>
      <c r="AA8" s="141">
        <f t="shared" si="0"/>
        <v>0</v>
      </c>
      <c r="AB8" s="141">
        <f t="shared" si="0"/>
        <v>0</v>
      </c>
      <c r="AC8" s="141">
        <f t="shared" si="0"/>
        <v>0</v>
      </c>
      <c r="AD8" s="141">
        <f t="shared" si="0"/>
        <v>0</v>
      </c>
      <c r="AE8" s="141">
        <f t="shared" si="0"/>
        <v>0</v>
      </c>
      <c r="AF8" s="141">
        <f t="shared" si="0"/>
        <v>0</v>
      </c>
      <c r="AG8" s="141">
        <f t="shared" si="0"/>
        <v>0</v>
      </c>
      <c r="AH8" s="141">
        <f t="shared" si="0"/>
        <v>0</v>
      </c>
      <c r="AI8" s="141">
        <f t="shared" si="0"/>
        <v>0</v>
      </c>
      <c r="AJ8" s="141">
        <f t="shared" si="0"/>
        <v>0</v>
      </c>
      <c r="AK8" s="141">
        <f t="shared" si="0"/>
        <v>0</v>
      </c>
      <c r="AL8" s="141">
        <f t="shared" si="0"/>
        <v>0</v>
      </c>
      <c r="AM8" s="141">
        <f t="shared" si="0"/>
        <v>0</v>
      </c>
      <c r="AN8" s="141">
        <f t="shared" si="0"/>
        <v>0</v>
      </c>
      <c r="AO8" s="141">
        <f t="shared" si="0"/>
        <v>0</v>
      </c>
      <c r="AP8" s="141">
        <f t="shared" si="0"/>
        <v>0</v>
      </c>
      <c r="AQ8" s="141">
        <f t="shared" si="1"/>
        <v>0</v>
      </c>
      <c r="AR8" s="141">
        <f t="shared" si="1"/>
        <v>0</v>
      </c>
      <c r="AS8" s="141">
        <f t="shared" si="1"/>
        <v>0</v>
      </c>
      <c r="AT8" s="141">
        <f t="shared" si="1"/>
        <v>0</v>
      </c>
      <c r="AU8" s="141">
        <f t="shared" si="1"/>
        <v>0</v>
      </c>
      <c r="AV8" s="141">
        <f t="shared" si="1"/>
        <v>0</v>
      </c>
      <c r="AW8" s="141">
        <f t="shared" si="1"/>
        <v>0</v>
      </c>
      <c r="AX8" s="141">
        <f t="shared" si="1"/>
        <v>0</v>
      </c>
      <c r="AY8" s="141">
        <f t="shared" si="2"/>
        <v>0</v>
      </c>
      <c r="BC8" s="161">
        <f t="shared" si="4"/>
        <v>0</v>
      </c>
      <c r="BD8" s="163">
        <f t="shared" si="5"/>
        <v>0</v>
      </c>
      <c r="BE8" s="163">
        <f t="shared" si="6"/>
        <v>0</v>
      </c>
      <c r="BF8" s="163">
        <f t="shared" si="7"/>
        <v>0</v>
      </c>
      <c r="BG8" s="163">
        <f t="shared" si="8"/>
        <v>0</v>
      </c>
      <c r="BH8" s="163">
        <f t="shared" si="9"/>
        <v>0</v>
      </c>
      <c r="BI8" s="163">
        <f t="shared" si="10"/>
        <v>0</v>
      </c>
      <c r="BJ8" s="163">
        <f t="shared" si="11"/>
        <v>0</v>
      </c>
      <c r="BK8" s="163">
        <f t="shared" si="12"/>
        <v>0</v>
      </c>
      <c r="BL8" s="163">
        <f t="shared" si="13"/>
        <v>0</v>
      </c>
      <c r="BM8" s="163">
        <f t="shared" si="14"/>
        <v>0</v>
      </c>
      <c r="BN8" s="145">
        <f t="shared" si="3"/>
        <v>0</v>
      </c>
    </row>
    <row r="9" spans="1:66">
      <c r="A9"/>
      <c r="B9"/>
      <c r="C9"/>
      <c r="D9"/>
      <c r="E9"/>
      <c r="F9"/>
      <c r="G9"/>
      <c r="H9"/>
      <c r="I9"/>
      <c r="J9"/>
      <c r="K9" s="283"/>
      <c r="L9"/>
      <c r="M9"/>
      <c r="N9"/>
      <c r="O9"/>
      <c r="P9"/>
      <c r="Q9"/>
      <c r="R9"/>
      <c r="S9"/>
      <c r="T9"/>
      <c r="U9"/>
      <c r="V9"/>
      <c r="W9"/>
      <c r="X9"/>
      <c r="Y9"/>
      <c r="Z9" s="22" t="s">
        <v>287</v>
      </c>
      <c r="AA9" s="141">
        <f t="shared" si="0"/>
        <v>0</v>
      </c>
      <c r="AB9" s="141">
        <f t="shared" si="0"/>
        <v>0</v>
      </c>
      <c r="AC9" s="141">
        <f t="shared" si="0"/>
        <v>0</v>
      </c>
      <c r="AD9" s="141">
        <f t="shared" si="0"/>
        <v>0</v>
      </c>
      <c r="AE9" s="141">
        <f t="shared" si="0"/>
        <v>0</v>
      </c>
      <c r="AF9" s="141">
        <f t="shared" si="0"/>
        <v>0</v>
      </c>
      <c r="AG9" s="141">
        <f t="shared" si="0"/>
        <v>0</v>
      </c>
      <c r="AH9" s="141">
        <f t="shared" si="0"/>
        <v>0</v>
      </c>
      <c r="AI9" s="141">
        <f t="shared" si="0"/>
        <v>0</v>
      </c>
      <c r="AJ9" s="141">
        <f t="shared" si="0"/>
        <v>0</v>
      </c>
      <c r="AK9" s="141">
        <f t="shared" si="0"/>
        <v>0</v>
      </c>
      <c r="AL9" s="141">
        <f t="shared" si="0"/>
        <v>0</v>
      </c>
      <c r="AM9" s="141">
        <f t="shared" si="0"/>
        <v>0</v>
      </c>
      <c r="AN9" s="141">
        <f t="shared" si="0"/>
        <v>0</v>
      </c>
      <c r="AO9" s="141">
        <f t="shared" si="0"/>
        <v>0</v>
      </c>
      <c r="AP9" s="141">
        <f t="shared" si="0"/>
        <v>0</v>
      </c>
      <c r="AQ9" s="141">
        <f t="shared" si="1"/>
        <v>0</v>
      </c>
      <c r="AR9" s="141">
        <f t="shared" si="1"/>
        <v>0</v>
      </c>
      <c r="AS9" s="141">
        <f t="shared" si="1"/>
        <v>0</v>
      </c>
      <c r="AT9" s="141">
        <f t="shared" si="1"/>
        <v>0</v>
      </c>
      <c r="AU9" s="141">
        <f t="shared" si="1"/>
        <v>0</v>
      </c>
      <c r="AV9" s="141">
        <f t="shared" si="1"/>
        <v>0</v>
      </c>
      <c r="AW9" s="141">
        <f t="shared" si="1"/>
        <v>0</v>
      </c>
      <c r="AX9" s="141">
        <f t="shared" si="1"/>
        <v>0</v>
      </c>
      <c r="AY9" s="141">
        <f t="shared" si="2"/>
        <v>0</v>
      </c>
      <c r="BC9" s="161">
        <f t="shared" si="4"/>
        <v>0</v>
      </c>
      <c r="BD9" s="163">
        <f t="shared" si="5"/>
        <v>0</v>
      </c>
      <c r="BE9" s="163">
        <f t="shared" si="6"/>
        <v>0</v>
      </c>
      <c r="BF9" s="163">
        <f t="shared" si="7"/>
        <v>0</v>
      </c>
      <c r="BG9" s="163">
        <f t="shared" si="8"/>
        <v>0</v>
      </c>
      <c r="BH9" s="163">
        <f t="shared" si="9"/>
        <v>0</v>
      </c>
      <c r="BI9" s="163">
        <f t="shared" si="10"/>
        <v>0</v>
      </c>
      <c r="BJ9" s="163">
        <f t="shared" si="11"/>
        <v>0</v>
      </c>
      <c r="BK9" s="163">
        <f t="shared" si="12"/>
        <v>0</v>
      </c>
      <c r="BL9" s="163">
        <f t="shared" si="13"/>
        <v>0</v>
      </c>
      <c r="BM9" s="163">
        <f t="shared" si="14"/>
        <v>0</v>
      </c>
      <c r="BN9" s="145">
        <f t="shared" si="3"/>
        <v>0</v>
      </c>
    </row>
    <row r="10" spans="1:66" ht="12.75" customHeight="1">
      <c r="A10"/>
      <c r="B10"/>
      <c r="C10" s="283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 s="283"/>
      <c r="U10"/>
      <c r="V10"/>
      <c r="W10"/>
      <c r="X10"/>
      <c r="Y10"/>
      <c r="Z10" s="22" t="s">
        <v>287</v>
      </c>
      <c r="AA10" s="141">
        <f t="shared" si="0"/>
        <v>0</v>
      </c>
      <c r="AB10" s="141">
        <f t="shared" si="0"/>
        <v>0</v>
      </c>
      <c r="AC10" s="141">
        <f t="shared" si="0"/>
        <v>0</v>
      </c>
      <c r="AD10" s="141">
        <f t="shared" si="0"/>
        <v>0</v>
      </c>
      <c r="AE10" s="141">
        <f t="shared" si="0"/>
        <v>0</v>
      </c>
      <c r="AF10" s="141">
        <f t="shared" si="0"/>
        <v>0</v>
      </c>
      <c r="AG10" s="141">
        <f t="shared" si="0"/>
        <v>0</v>
      </c>
      <c r="AH10" s="141">
        <f t="shared" si="0"/>
        <v>0</v>
      </c>
      <c r="AI10" s="141">
        <f t="shared" si="0"/>
        <v>0</v>
      </c>
      <c r="AJ10" s="141">
        <f t="shared" si="0"/>
        <v>0</v>
      </c>
      <c r="AK10" s="141">
        <f t="shared" si="0"/>
        <v>0</v>
      </c>
      <c r="AL10" s="141">
        <f t="shared" si="0"/>
        <v>0</v>
      </c>
      <c r="AM10" s="141">
        <f t="shared" si="0"/>
        <v>0</v>
      </c>
      <c r="AN10" s="141">
        <f t="shared" si="0"/>
        <v>0</v>
      </c>
      <c r="AO10" s="141">
        <f t="shared" si="0"/>
        <v>0</v>
      </c>
      <c r="AP10" s="141">
        <f t="shared" si="0"/>
        <v>0</v>
      </c>
      <c r="AQ10" s="141">
        <f t="shared" si="1"/>
        <v>0</v>
      </c>
      <c r="AR10" s="141">
        <f t="shared" si="1"/>
        <v>0</v>
      </c>
      <c r="AS10" s="141">
        <f t="shared" si="1"/>
        <v>0</v>
      </c>
      <c r="AT10" s="141">
        <f t="shared" si="1"/>
        <v>0</v>
      </c>
      <c r="AU10" s="141">
        <f t="shared" si="1"/>
        <v>0</v>
      </c>
      <c r="AV10" s="141">
        <f t="shared" si="1"/>
        <v>0</v>
      </c>
      <c r="AW10" s="141">
        <f t="shared" si="1"/>
        <v>0</v>
      </c>
      <c r="AX10" s="141">
        <f t="shared" si="1"/>
        <v>0</v>
      </c>
      <c r="AY10" s="141">
        <f t="shared" si="2"/>
        <v>0</v>
      </c>
      <c r="BC10" s="161">
        <f t="shared" si="4"/>
        <v>0</v>
      </c>
      <c r="BD10" s="163">
        <f t="shared" si="5"/>
        <v>0</v>
      </c>
      <c r="BE10" s="163">
        <f t="shared" si="6"/>
        <v>0</v>
      </c>
      <c r="BF10" s="163">
        <f t="shared" si="7"/>
        <v>0</v>
      </c>
      <c r="BG10" s="163">
        <f t="shared" si="8"/>
        <v>0</v>
      </c>
      <c r="BH10" s="163">
        <f t="shared" si="9"/>
        <v>0</v>
      </c>
      <c r="BI10" s="163">
        <f t="shared" si="10"/>
        <v>0</v>
      </c>
      <c r="BJ10" s="163">
        <f t="shared" si="11"/>
        <v>0</v>
      </c>
      <c r="BK10" s="163">
        <f t="shared" si="12"/>
        <v>0</v>
      </c>
      <c r="BL10" s="163">
        <f t="shared" si="13"/>
        <v>0</v>
      </c>
      <c r="BM10" s="163">
        <f t="shared" si="14"/>
        <v>0</v>
      </c>
      <c r="BN10" s="145">
        <f t="shared" si="3"/>
        <v>0</v>
      </c>
    </row>
    <row r="11" spans="1:66" ht="12.7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22" t="s">
        <v>287</v>
      </c>
      <c r="AA11" s="141">
        <f t="shared" si="0"/>
        <v>0</v>
      </c>
      <c r="AB11" s="141">
        <f t="shared" si="0"/>
        <v>0</v>
      </c>
      <c r="AC11" s="141">
        <f t="shared" si="0"/>
        <v>0</v>
      </c>
      <c r="AD11" s="141">
        <f t="shared" si="0"/>
        <v>0</v>
      </c>
      <c r="AE11" s="141">
        <f t="shared" si="0"/>
        <v>0</v>
      </c>
      <c r="AF11" s="141">
        <f t="shared" si="0"/>
        <v>0</v>
      </c>
      <c r="AG11" s="141">
        <f t="shared" si="0"/>
        <v>0</v>
      </c>
      <c r="AH11" s="141">
        <f t="shared" si="0"/>
        <v>0</v>
      </c>
      <c r="AI11" s="141">
        <f t="shared" si="0"/>
        <v>0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0</v>
      </c>
      <c r="AK11" s="141">
        <f t="shared" si="0"/>
        <v>0</v>
      </c>
      <c r="AL11" s="141">
        <f t="shared" si="0"/>
        <v>0</v>
      </c>
      <c r="AM11" s="141">
        <f t="shared" si="0"/>
        <v>0</v>
      </c>
      <c r="AN11" s="141">
        <f t="shared" si="0"/>
        <v>0</v>
      </c>
      <c r="AO11" s="141">
        <f t="shared" si="0"/>
        <v>0</v>
      </c>
      <c r="AP11" s="141">
        <f t="shared" si="0"/>
        <v>0</v>
      </c>
      <c r="AQ11" s="141">
        <f t="shared" si="1"/>
        <v>0</v>
      </c>
      <c r="AR11" s="141">
        <f t="shared" si="1"/>
        <v>0</v>
      </c>
      <c r="AS11" s="141">
        <f t="shared" si="1"/>
        <v>0</v>
      </c>
      <c r="AT11" s="141">
        <f t="shared" si="1"/>
        <v>0</v>
      </c>
      <c r="AU11" s="141">
        <f t="shared" si="1"/>
        <v>0</v>
      </c>
      <c r="AV11" s="141">
        <f t="shared" si="1"/>
        <v>0</v>
      </c>
      <c r="AW11" s="141">
        <f t="shared" si="1"/>
        <v>0</v>
      </c>
      <c r="AX11" s="141">
        <f t="shared" si="1"/>
        <v>0</v>
      </c>
      <c r="AY11" s="141">
        <f t="shared" si="2"/>
        <v>0</v>
      </c>
      <c r="BC11" s="161">
        <f t="shared" si="4"/>
        <v>0</v>
      </c>
      <c r="BD11" s="163">
        <f t="shared" si="5"/>
        <v>0</v>
      </c>
      <c r="BE11" s="163">
        <f t="shared" si="6"/>
        <v>0</v>
      </c>
      <c r="BF11" s="163">
        <f t="shared" si="7"/>
        <v>0</v>
      </c>
      <c r="BG11" s="163">
        <f t="shared" si="8"/>
        <v>0</v>
      </c>
      <c r="BH11" s="163">
        <f t="shared" si="9"/>
        <v>0</v>
      </c>
      <c r="BI11" s="163">
        <f t="shared" si="10"/>
        <v>0</v>
      </c>
      <c r="BJ11" s="163">
        <f t="shared" si="11"/>
        <v>0</v>
      </c>
      <c r="BK11" s="163">
        <f t="shared" si="12"/>
        <v>0</v>
      </c>
      <c r="BL11" s="163">
        <f t="shared" si="13"/>
        <v>0</v>
      </c>
      <c r="BM11" s="163">
        <f t="shared" si="14"/>
        <v>0</v>
      </c>
      <c r="BN11" s="145">
        <f t="shared" si="3"/>
        <v>0</v>
      </c>
    </row>
    <row r="12" spans="1:66" ht="12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22" t="s">
        <v>287</v>
      </c>
      <c r="AA12" s="141">
        <f t="shared" si="0"/>
        <v>0</v>
      </c>
      <c r="AB12" s="141">
        <f t="shared" si="0"/>
        <v>0</v>
      </c>
      <c r="AC12" s="141">
        <f t="shared" si="0"/>
        <v>0</v>
      </c>
      <c r="AD12" s="141">
        <f t="shared" si="0"/>
        <v>0</v>
      </c>
      <c r="AE12" s="141">
        <f t="shared" si="0"/>
        <v>0</v>
      </c>
      <c r="AF12" s="141">
        <f t="shared" si="0"/>
        <v>0</v>
      </c>
      <c r="AG12" s="141">
        <f t="shared" si="0"/>
        <v>0</v>
      </c>
      <c r="AH12" s="141">
        <f t="shared" si="0"/>
        <v>0</v>
      </c>
      <c r="AI12" s="141">
        <f t="shared" si="0"/>
        <v>0</v>
      </c>
      <c r="AJ12" s="141">
        <f t="shared" si="0"/>
        <v>0</v>
      </c>
      <c r="AK12" s="141">
        <f t="shared" si="0"/>
        <v>0</v>
      </c>
      <c r="AL12" s="141">
        <f t="shared" si="0"/>
        <v>0</v>
      </c>
      <c r="AM12" s="141">
        <f t="shared" si="0"/>
        <v>0</v>
      </c>
      <c r="AN12" s="141">
        <f t="shared" si="0"/>
        <v>0</v>
      </c>
      <c r="AO12" s="141">
        <f t="shared" si="0"/>
        <v>0</v>
      </c>
      <c r="AP12" s="141">
        <f t="shared" si="0"/>
        <v>0</v>
      </c>
      <c r="AQ12" s="141">
        <f t="shared" si="1"/>
        <v>0</v>
      </c>
      <c r="AR12" s="141">
        <f t="shared" si="1"/>
        <v>0</v>
      </c>
      <c r="AS12" s="141">
        <f t="shared" si="1"/>
        <v>0</v>
      </c>
      <c r="AT12" s="141">
        <f t="shared" si="1"/>
        <v>0</v>
      </c>
      <c r="AU12" s="141">
        <f t="shared" si="1"/>
        <v>0</v>
      </c>
      <c r="AV12" s="141">
        <f t="shared" si="1"/>
        <v>0</v>
      </c>
      <c r="AW12" s="141">
        <f t="shared" si="1"/>
        <v>0</v>
      </c>
      <c r="AX12" s="141">
        <f t="shared" si="1"/>
        <v>0</v>
      </c>
      <c r="AY12" s="141">
        <f t="shared" si="2"/>
        <v>0</v>
      </c>
      <c r="BC12" s="161">
        <f t="shared" si="4"/>
        <v>0</v>
      </c>
      <c r="BD12" s="163">
        <f>AY143</f>
        <v>0</v>
      </c>
      <c r="BE12" s="163">
        <f t="shared" si="6"/>
        <v>0</v>
      </c>
      <c r="BF12" s="163">
        <f t="shared" si="7"/>
        <v>0</v>
      </c>
      <c r="BG12" s="163">
        <f t="shared" si="8"/>
        <v>0</v>
      </c>
      <c r="BH12" s="163">
        <f t="shared" si="9"/>
        <v>0</v>
      </c>
      <c r="BI12" s="163">
        <f t="shared" si="10"/>
        <v>0</v>
      </c>
      <c r="BJ12" s="163">
        <f t="shared" si="11"/>
        <v>0</v>
      </c>
      <c r="BK12" s="163">
        <f t="shared" si="12"/>
        <v>0</v>
      </c>
      <c r="BL12" s="163">
        <f t="shared" si="13"/>
        <v>0</v>
      </c>
      <c r="BM12" s="163">
        <f t="shared" si="14"/>
        <v>0</v>
      </c>
      <c r="BN12" s="145">
        <f>SUM(BD12:BM12)</f>
        <v>0</v>
      </c>
    </row>
    <row r="13" spans="1:66" ht="12.75" customHeight="1">
      <c r="A13"/>
      <c r="B13"/>
      <c r="C13"/>
      <c r="D13"/>
      <c r="E13"/>
      <c r="F13"/>
      <c r="G13"/>
      <c r="H13"/>
      <c r="I13"/>
      <c r="J13"/>
      <c r="K13"/>
      <c r="L13" s="283"/>
      <c r="M13"/>
      <c r="N13"/>
      <c r="O13"/>
      <c r="P13"/>
      <c r="Q13"/>
      <c r="R13"/>
      <c r="S13"/>
      <c r="T13"/>
      <c r="U13"/>
      <c r="V13"/>
      <c r="W13"/>
      <c r="X13"/>
      <c r="Y13"/>
      <c r="Z13" s="22" t="s">
        <v>287</v>
      </c>
      <c r="AA13" s="141">
        <f t="shared" si="0"/>
        <v>0</v>
      </c>
      <c r="AB13" s="141">
        <f t="shared" si="0"/>
        <v>0</v>
      </c>
      <c r="AC13" s="141">
        <f t="shared" si="0"/>
        <v>0</v>
      </c>
      <c r="AD13" s="141">
        <f t="shared" si="0"/>
        <v>0</v>
      </c>
      <c r="AE13" s="141">
        <f t="shared" si="0"/>
        <v>0</v>
      </c>
      <c r="AF13" s="141">
        <f t="shared" si="0"/>
        <v>0</v>
      </c>
      <c r="AG13" s="141">
        <f t="shared" si="0"/>
        <v>0</v>
      </c>
      <c r="AH13" s="141">
        <f t="shared" si="0"/>
        <v>0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0</v>
      </c>
      <c r="AJ13" s="141">
        <f t="shared" si="0"/>
        <v>0</v>
      </c>
      <c r="AK13" s="141">
        <f t="shared" si="0"/>
        <v>0</v>
      </c>
      <c r="AL13" s="141">
        <f t="shared" si="0"/>
        <v>0</v>
      </c>
      <c r="AM13" s="141">
        <f t="shared" si="0"/>
        <v>0</v>
      </c>
      <c r="AN13" s="141">
        <f t="shared" si="0"/>
        <v>0</v>
      </c>
      <c r="AO13" s="141">
        <f t="shared" si="0"/>
        <v>0</v>
      </c>
      <c r="AP13" s="141">
        <f t="shared" si="0"/>
        <v>0</v>
      </c>
      <c r="AQ13" s="141">
        <f t="shared" si="1"/>
        <v>0</v>
      </c>
      <c r="AR13" s="141">
        <f t="shared" si="1"/>
        <v>0</v>
      </c>
      <c r="AS13" s="141">
        <f t="shared" si="1"/>
        <v>0</v>
      </c>
      <c r="AT13" s="141">
        <f t="shared" si="1"/>
        <v>0</v>
      </c>
      <c r="AU13" s="141">
        <f t="shared" si="1"/>
        <v>0</v>
      </c>
      <c r="AV13" s="141">
        <f t="shared" si="1"/>
        <v>0</v>
      </c>
      <c r="AW13" s="141">
        <f t="shared" si="1"/>
        <v>0</v>
      </c>
      <c r="AX13" s="141">
        <f t="shared" si="1"/>
        <v>0</v>
      </c>
      <c r="AY13" s="141">
        <f t="shared" si="2"/>
        <v>0</v>
      </c>
      <c r="BC13" s="161">
        <f t="shared" si="4"/>
        <v>0</v>
      </c>
      <c r="BD13" s="163">
        <f t="shared" si="5"/>
        <v>0</v>
      </c>
      <c r="BE13" s="163">
        <f t="shared" si="6"/>
        <v>0</v>
      </c>
      <c r="BF13" s="163">
        <f t="shared" si="7"/>
        <v>0</v>
      </c>
      <c r="BG13" s="163">
        <f t="shared" si="8"/>
        <v>0</v>
      </c>
      <c r="BH13" s="163">
        <f t="shared" si="9"/>
        <v>0</v>
      </c>
      <c r="BI13" s="163">
        <f t="shared" si="10"/>
        <v>0</v>
      </c>
      <c r="BJ13" s="163">
        <f t="shared" si="11"/>
        <v>0</v>
      </c>
      <c r="BK13" s="163">
        <f t="shared" si="12"/>
        <v>0</v>
      </c>
      <c r="BL13" s="163">
        <f t="shared" si="13"/>
        <v>0</v>
      </c>
      <c r="BM13" s="163">
        <f t="shared" si="14"/>
        <v>0</v>
      </c>
      <c r="BN13" s="145">
        <f t="shared" si="3"/>
        <v>0</v>
      </c>
    </row>
    <row r="14" spans="1:66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 s="283"/>
      <c r="Y14"/>
      <c r="Z14" s="22" t="s">
        <v>287</v>
      </c>
      <c r="AA14" s="141">
        <f t="shared" si="0"/>
        <v>0</v>
      </c>
      <c r="AB14" s="141">
        <f t="shared" si="0"/>
        <v>0</v>
      </c>
      <c r="AC14" s="141">
        <f t="shared" si="0"/>
        <v>0</v>
      </c>
      <c r="AD14" s="141">
        <f t="shared" si="0"/>
        <v>0</v>
      </c>
      <c r="AE14" s="141">
        <f t="shared" si="0"/>
        <v>0</v>
      </c>
      <c r="AF14" s="141">
        <f t="shared" si="0"/>
        <v>0</v>
      </c>
      <c r="AG14" s="141">
        <f t="shared" si="0"/>
        <v>0</v>
      </c>
      <c r="AH14" s="141">
        <f t="shared" si="0"/>
        <v>0</v>
      </c>
      <c r="AI14" s="141">
        <f t="shared" si="0"/>
        <v>0</v>
      </c>
      <c r="AJ14" s="141">
        <f t="shared" si="0"/>
        <v>0</v>
      </c>
      <c r="AK14" s="141">
        <f t="shared" si="0"/>
        <v>0</v>
      </c>
      <c r="AL14" s="141">
        <f t="shared" si="0"/>
        <v>0</v>
      </c>
      <c r="AM14" s="141">
        <f t="shared" si="0"/>
        <v>0</v>
      </c>
      <c r="AN14" s="141">
        <f t="shared" si="0"/>
        <v>0</v>
      </c>
      <c r="AO14" s="141">
        <f t="shared" si="0"/>
        <v>0</v>
      </c>
      <c r="AP14" s="141">
        <f t="shared" si="0"/>
        <v>0</v>
      </c>
      <c r="AQ14" s="141">
        <f t="shared" si="1"/>
        <v>0</v>
      </c>
      <c r="AR14" s="141">
        <f t="shared" si="1"/>
        <v>0</v>
      </c>
      <c r="AS14" s="141">
        <f t="shared" si="1"/>
        <v>0</v>
      </c>
      <c r="AT14" s="141">
        <f t="shared" si="1"/>
        <v>0</v>
      </c>
      <c r="AU14" s="141">
        <f t="shared" si="1"/>
        <v>0</v>
      </c>
      <c r="AV14" s="141">
        <f t="shared" si="1"/>
        <v>0</v>
      </c>
      <c r="AW14" s="141">
        <f t="shared" si="1"/>
        <v>0</v>
      </c>
      <c r="AX14" s="141">
        <f t="shared" si="1"/>
        <v>0</v>
      </c>
      <c r="AY14" s="141">
        <f t="shared" si="2"/>
        <v>0</v>
      </c>
      <c r="BC14" s="161">
        <f t="shared" si="4"/>
        <v>0</v>
      </c>
      <c r="BD14" s="163">
        <f t="shared" si="5"/>
        <v>0</v>
      </c>
      <c r="BE14" s="163">
        <f t="shared" si="6"/>
        <v>0</v>
      </c>
      <c r="BF14" s="163">
        <f t="shared" si="7"/>
        <v>0</v>
      </c>
      <c r="BG14" s="163">
        <f t="shared" si="8"/>
        <v>0</v>
      </c>
      <c r="BH14" s="163">
        <f t="shared" si="9"/>
        <v>0</v>
      </c>
      <c r="BI14" s="163">
        <f t="shared" si="10"/>
        <v>0</v>
      </c>
      <c r="BJ14" s="163">
        <f t="shared" si="11"/>
        <v>0</v>
      </c>
      <c r="BK14" s="163">
        <f t="shared" si="12"/>
        <v>0</v>
      </c>
      <c r="BL14" s="163">
        <f t="shared" si="13"/>
        <v>0</v>
      </c>
      <c r="BM14" s="163">
        <f t="shared" si="14"/>
        <v>0</v>
      </c>
      <c r="BN14" s="145">
        <f t="shared" si="3"/>
        <v>0</v>
      </c>
    </row>
    <row r="15" spans="1:66" ht="12.75" customHeight="1">
      <c r="A15"/>
      <c r="B15"/>
      <c r="C15" s="283"/>
      <c r="D15"/>
      <c r="E15"/>
      <c r="F15"/>
      <c r="G15"/>
      <c r="H15"/>
      <c r="I15" s="283"/>
      <c r="J15"/>
      <c r="K15"/>
      <c r="L15"/>
      <c r="M15"/>
      <c r="N15"/>
      <c r="O15"/>
      <c r="P15"/>
      <c r="Q15"/>
      <c r="R15" s="283"/>
      <c r="S15"/>
      <c r="T15"/>
      <c r="U15"/>
      <c r="V15"/>
      <c r="W15"/>
      <c r="X15"/>
      <c r="Y15"/>
      <c r="Z15" s="22" t="s">
        <v>287</v>
      </c>
      <c r="AA15" s="141">
        <f t="shared" si="0"/>
        <v>0</v>
      </c>
      <c r="AB15" s="141">
        <f t="shared" si="0"/>
        <v>0</v>
      </c>
      <c r="AC15" s="141">
        <f t="shared" si="0"/>
        <v>0</v>
      </c>
      <c r="AD15" s="141">
        <f t="shared" si="0"/>
        <v>0</v>
      </c>
      <c r="AE15" s="141">
        <f t="shared" si="0"/>
        <v>0</v>
      </c>
      <c r="AF15" s="141">
        <f t="shared" si="0"/>
        <v>0</v>
      </c>
      <c r="AG15" s="141">
        <f t="shared" si="0"/>
        <v>0</v>
      </c>
      <c r="AH15" s="141">
        <f t="shared" si="0"/>
        <v>0</v>
      </c>
      <c r="AI15" s="141">
        <f t="shared" si="0"/>
        <v>0</v>
      </c>
      <c r="AJ15" s="141">
        <f t="shared" si="0"/>
        <v>0</v>
      </c>
      <c r="AK15" s="141">
        <f t="shared" si="0"/>
        <v>0</v>
      </c>
      <c r="AL15" s="141">
        <f t="shared" si="0"/>
        <v>0</v>
      </c>
      <c r="AM15" s="141">
        <f t="shared" si="0"/>
        <v>0</v>
      </c>
      <c r="AN15" s="141">
        <f t="shared" si="0"/>
        <v>0</v>
      </c>
      <c r="AO15" s="141">
        <f t="shared" si="0"/>
        <v>0</v>
      </c>
      <c r="AP15" s="141">
        <f t="shared" si="0"/>
        <v>0</v>
      </c>
      <c r="AQ15" s="141">
        <f t="shared" si="1"/>
        <v>0</v>
      </c>
      <c r="AR15" s="141">
        <f t="shared" si="1"/>
        <v>0</v>
      </c>
      <c r="AS15" s="141">
        <f t="shared" si="1"/>
        <v>0</v>
      </c>
      <c r="AT15" s="141">
        <f t="shared" si="1"/>
        <v>0</v>
      </c>
      <c r="AU15" s="141">
        <f t="shared" si="1"/>
        <v>0</v>
      </c>
      <c r="AV15" s="141">
        <f t="shared" si="1"/>
        <v>0</v>
      </c>
      <c r="AW15" s="141">
        <f t="shared" si="1"/>
        <v>0</v>
      </c>
      <c r="AX15" s="141">
        <f t="shared" si="1"/>
        <v>0</v>
      </c>
      <c r="AY15" s="141">
        <f t="shared" si="2"/>
        <v>0</v>
      </c>
      <c r="BC15" s="161">
        <f t="shared" si="4"/>
        <v>0</v>
      </c>
      <c r="BD15" s="163">
        <f t="shared" si="5"/>
        <v>0</v>
      </c>
      <c r="BE15" s="163">
        <f t="shared" si="6"/>
        <v>0</v>
      </c>
      <c r="BF15" s="163">
        <f t="shared" si="7"/>
        <v>0</v>
      </c>
      <c r="BG15" s="163">
        <f t="shared" si="8"/>
        <v>0</v>
      </c>
      <c r="BH15" s="163">
        <f t="shared" si="9"/>
        <v>0</v>
      </c>
      <c r="BI15" s="163">
        <f t="shared" si="10"/>
        <v>0</v>
      </c>
      <c r="BJ15" s="163">
        <f t="shared" si="11"/>
        <v>0</v>
      </c>
      <c r="BK15" s="163">
        <f t="shared" si="12"/>
        <v>0</v>
      </c>
      <c r="BL15" s="163">
        <f t="shared" si="13"/>
        <v>0</v>
      </c>
      <c r="BM15" s="163">
        <f t="shared" si="14"/>
        <v>0</v>
      </c>
      <c r="BN15" s="145">
        <f t="shared" si="3"/>
        <v>0</v>
      </c>
    </row>
    <row r="16" spans="1:66" ht="12.75" customHeight="1">
      <c r="A16"/>
      <c r="B16"/>
      <c r="C16"/>
      <c r="D16"/>
      <c r="E16"/>
      <c r="F16" s="283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22" t="s">
        <v>287</v>
      </c>
      <c r="AA16" s="141">
        <f t="shared" si="0"/>
        <v>0</v>
      </c>
      <c r="AB16" s="141">
        <f t="shared" si="0"/>
        <v>0</v>
      </c>
      <c r="AC16" s="141">
        <f t="shared" si="0"/>
        <v>0</v>
      </c>
      <c r="AD16" s="141">
        <f t="shared" si="0"/>
        <v>0</v>
      </c>
      <c r="AE16" s="141">
        <f t="shared" si="0"/>
        <v>0</v>
      </c>
      <c r="AF16" s="141">
        <f t="shared" si="0"/>
        <v>0</v>
      </c>
      <c r="AG16" s="141">
        <f t="shared" si="0"/>
        <v>0</v>
      </c>
      <c r="AH16" s="141">
        <f t="shared" si="0"/>
        <v>0</v>
      </c>
      <c r="AI16" s="141">
        <f t="shared" si="0"/>
        <v>0</v>
      </c>
      <c r="AJ16" s="141">
        <f t="shared" si="0"/>
        <v>0</v>
      </c>
      <c r="AK16" s="141">
        <f t="shared" si="0"/>
        <v>0</v>
      </c>
      <c r="AL16" s="141">
        <f t="shared" si="0"/>
        <v>0</v>
      </c>
      <c r="AM16" s="141">
        <f t="shared" si="0"/>
        <v>0</v>
      </c>
      <c r="AN16" s="141">
        <f t="shared" si="0"/>
        <v>0</v>
      </c>
      <c r="AO16" s="141">
        <f t="shared" si="0"/>
        <v>0</v>
      </c>
      <c r="AP16" s="141">
        <f t="shared" si="0"/>
        <v>0</v>
      </c>
      <c r="AQ16" s="141">
        <f t="shared" si="1"/>
        <v>0</v>
      </c>
      <c r="AR16" s="141">
        <f t="shared" si="1"/>
        <v>0</v>
      </c>
      <c r="AS16" s="141">
        <f t="shared" si="1"/>
        <v>0</v>
      </c>
      <c r="AT16" s="141">
        <f t="shared" si="1"/>
        <v>0</v>
      </c>
      <c r="AU16" s="141">
        <f t="shared" si="1"/>
        <v>0</v>
      </c>
      <c r="AV16" s="141">
        <f t="shared" si="1"/>
        <v>0</v>
      </c>
      <c r="AW16" s="141">
        <f t="shared" si="1"/>
        <v>0</v>
      </c>
      <c r="AX16" s="141">
        <f t="shared" si="1"/>
        <v>0</v>
      </c>
      <c r="AY16" s="141">
        <f t="shared" si="2"/>
        <v>0</v>
      </c>
      <c r="BC16" s="161">
        <f t="shared" si="4"/>
        <v>0</v>
      </c>
      <c r="BD16" s="163">
        <f t="shared" si="5"/>
        <v>0</v>
      </c>
      <c r="BE16" s="163">
        <f t="shared" si="6"/>
        <v>0</v>
      </c>
      <c r="BF16" s="163">
        <f t="shared" si="7"/>
        <v>0</v>
      </c>
      <c r="BG16" s="163">
        <f t="shared" si="8"/>
        <v>0</v>
      </c>
      <c r="BH16" s="163">
        <f t="shared" si="9"/>
        <v>0</v>
      </c>
      <c r="BI16" s="163">
        <f t="shared" si="10"/>
        <v>0</v>
      </c>
      <c r="BJ16" s="163">
        <f t="shared" si="11"/>
        <v>0</v>
      </c>
      <c r="BK16" s="163">
        <f t="shared" si="12"/>
        <v>0</v>
      </c>
      <c r="BL16" s="163">
        <f t="shared" si="13"/>
        <v>0</v>
      </c>
      <c r="BM16" s="163">
        <f t="shared" si="14"/>
        <v>0</v>
      </c>
      <c r="BN16" s="145">
        <f t="shared" si="3"/>
        <v>0</v>
      </c>
    </row>
    <row r="17" spans="1:66" ht="12.75" customHeight="1">
      <c r="A17"/>
      <c r="B17"/>
      <c r="C17"/>
      <c r="D17"/>
      <c r="E17"/>
      <c r="F17"/>
      <c r="G17"/>
      <c r="H17"/>
      <c r="I17"/>
      <c r="J17" s="283"/>
      <c r="K17" s="283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 s="22" t="s">
        <v>287</v>
      </c>
      <c r="AA17" s="141">
        <f t="shared" si="0"/>
        <v>0</v>
      </c>
      <c r="AB17" s="141">
        <f t="shared" si="0"/>
        <v>0</v>
      </c>
      <c r="AC17" s="141">
        <f t="shared" si="0"/>
        <v>0</v>
      </c>
      <c r="AD17" s="141">
        <f t="shared" si="0"/>
        <v>0</v>
      </c>
      <c r="AE17" s="141">
        <f t="shared" si="0"/>
        <v>0</v>
      </c>
      <c r="AF17" s="141">
        <f t="shared" si="0"/>
        <v>0</v>
      </c>
      <c r="AG17" s="141">
        <f t="shared" si="0"/>
        <v>0</v>
      </c>
      <c r="AH17" s="141">
        <f t="shared" si="0"/>
        <v>0</v>
      </c>
      <c r="AI17" s="141">
        <f t="shared" si="0"/>
        <v>0</v>
      </c>
      <c r="AJ17" s="141">
        <f t="shared" si="0"/>
        <v>0</v>
      </c>
      <c r="AK17" s="141">
        <f t="shared" si="0"/>
        <v>0</v>
      </c>
      <c r="AL17" s="141">
        <f t="shared" si="0"/>
        <v>0</v>
      </c>
      <c r="AM17" s="141">
        <f t="shared" si="0"/>
        <v>0</v>
      </c>
      <c r="AN17" s="141">
        <f t="shared" si="0"/>
        <v>0</v>
      </c>
      <c r="AO17" s="141">
        <f t="shared" si="0"/>
        <v>0</v>
      </c>
      <c r="AP17" s="141">
        <f t="shared" si="0"/>
        <v>0</v>
      </c>
      <c r="AQ17" s="141">
        <f t="shared" si="1"/>
        <v>0</v>
      </c>
      <c r="AR17" s="141">
        <f t="shared" si="1"/>
        <v>0</v>
      </c>
      <c r="AS17" s="141">
        <f t="shared" si="1"/>
        <v>0</v>
      </c>
      <c r="AT17" s="141">
        <f t="shared" si="1"/>
        <v>0</v>
      </c>
      <c r="AU17" s="141">
        <f t="shared" si="1"/>
        <v>0</v>
      </c>
      <c r="AV17" s="141">
        <f t="shared" si="1"/>
        <v>0</v>
      </c>
      <c r="AW17" s="141">
        <f t="shared" si="1"/>
        <v>0</v>
      </c>
      <c r="AX17" s="141">
        <f t="shared" si="1"/>
        <v>0</v>
      </c>
      <c r="AY17" s="141">
        <f t="shared" si="2"/>
        <v>0</v>
      </c>
      <c r="BC17" s="161">
        <f t="shared" si="4"/>
        <v>0</v>
      </c>
      <c r="BD17" s="163">
        <f t="shared" si="5"/>
        <v>0</v>
      </c>
      <c r="BE17" s="163">
        <f t="shared" si="6"/>
        <v>0</v>
      </c>
      <c r="BF17" s="163">
        <f t="shared" si="7"/>
        <v>0</v>
      </c>
      <c r="BG17" s="163">
        <f t="shared" si="8"/>
        <v>0</v>
      </c>
      <c r="BH17" s="163">
        <f t="shared" si="9"/>
        <v>0</v>
      </c>
      <c r="BI17" s="163">
        <f t="shared" si="10"/>
        <v>0</v>
      </c>
      <c r="BJ17" s="163">
        <f t="shared" si="11"/>
        <v>0</v>
      </c>
      <c r="BK17" s="163">
        <f t="shared" si="12"/>
        <v>0</v>
      </c>
      <c r="BL17" s="163">
        <f t="shared" si="13"/>
        <v>0</v>
      </c>
      <c r="BM17" s="163">
        <f t="shared" si="14"/>
        <v>0</v>
      </c>
      <c r="BN17" s="145">
        <f t="shared" si="3"/>
        <v>0</v>
      </c>
    </row>
    <row r="18" spans="1:66" ht="12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 s="283"/>
      <c r="Q18"/>
      <c r="R18"/>
      <c r="S18"/>
      <c r="T18"/>
      <c r="U18"/>
      <c r="V18"/>
      <c r="W18"/>
      <c r="X18"/>
      <c r="Y18"/>
      <c r="Z18" s="22" t="s">
        <v>287</v>
      </c>
      <c r="AA18" s="141">
        <f t="shared" si="0"/>
        <v>0</v>
      </c>
      <c r="AB18" s="141">
        <f t="shared" si="0"/>
        <v>0</v>
      </c>
      <c r="AC18" s="141">
        <f t="shared" si="0"/>
        <v>0</v>
      </c>
      <c r="AD18" s="141">
        <f t="shared" si="0"/>
        <v>0</v>
      </c>
      <c r="AE18" s="141">
        <f t="shared" si="0"/>
        <v>0</v>
      </c>
      <c r="AF18" s="141">
        <f t="shared" si="0"/>
        <v>0</v>
      </c>
      <c r="AG18" s="141">
        <f t="shared" si="0"/>
        <v>0</v>
      </c>
      <c r="AH18" s="141">
        <f t="shared" si="0"/>
        <v>0</v>
      </c>
      <c r="AI18" s="141">
        <f t="shared" si="0"/>
        <v>0</v>
      </c>
      <c r="AJ18" s="141">
        <f t="shared" si="0"/>
        <v>0</v>
      </c>
      <c r="AK18" s="141">
        <f t="shared" si="0"/>
        <v>0</v>
      </c>
      <c r="AL18" s="141">
        <f t="shared" si="0"/>
        <v>0</v>
      </c>
      <c r="AM18" s="141">
        <f t="shared" si="0"/>
        <v>0</v>
      </c>
      <c r="AN18" s="141">
        <f t="shared" si="0"/>
        <v>0</v>
      </c>
      <c r="AO18" s="141">
        <f t="shared" si="0"/>
        <v>0</v>
      </c>
      <c r="AP18" s="141">
        <f t="shared" si="0"/>
        <v>0</v>
      </c>
      <c r="AQ18" s="141">
        <f t="shared" si="1"/>
        <v>0</v>
      </c>
      <c r="AR18" s="141">
        <f t="shared" si="1"/>
        <v>0</v>
      </c>
      <c r="AS18" s="141">
        <f t="shared" si="1"/>
        <v>0</v>
      </c>
      <c r="AT18" s="141">
        <f t="shared" si="1"/>
        <v>0</v>
      </c>
      <c r="AU18" s="141">
        <f t="shared" si="1"/>
        <v>0</v>
      </c>
      <c r="AV18" s="141">
        <f t="shared" si="1"/>
        <v>0</v>
      </c>
      <c r="AW18" s="141">
        <f t="shared" si="1"/>
        <v>0</v>
      </c>
      <c r="AX18" s="141">
        <f t="shared" si="1"/>
        <v>0</v>
      </c>
      <c r="AY18" s="141">
        <f t="shared" si="2"/>
        <v>0</v>
      </c>
      <c r="BC18" s="161">
        <f t="shared" si="4"/>
        <v>0</v>
      </c>
      <c r="BD18" s="163">
        <f t="shared" si="5"/>
        <v>0</v>
      </c>
      <c r="BE18" s="163">
        <f t="shared" si="6"/>
        <v>0</v>
      </c>
      <c r="BF18" s="163">
        <f t="shared" si="7"/>
        <v>0</v>
      </c>
      <c r="BG18" s="163">
        <f t="shared" si="8"/>
        <v>0</v>
      </c>
      <c r="BH18" s="163">
        <f t="shared" si="9"/>
        <v>0</v>
      </c>
      <c r="BI18" s="163">
        <f t="shared" si="10"/>
        <v>0</v>
      </c>
      <c r="BJ18" s="163">
        <f t="shared" si="11"/>
        <v>0</v>
      </c>
      <c r="BK18" s="163">
        <f t="shared" si="12"/>
        <v>0</v>
      </c>
      <c r="BL18" s="163">
        <f t="shared" si="13"/>
        <v>0</v>
      </c>
      <c r="BM18" s="163">
        <f t="shared" si="14"/>
        <v>0</v>
      </c>
      <c r="BN18" s="145">
        <f t="shared" si="3"/>
        <v>0</v>
      </c>
    </row>
    <row r="19" spans="1:6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22" t="s">
        <v>287</v>
      </c>
      <c r="AA19" s="141">
        <f t="shared" si="0"/>
        <v>0</v>
      </c>
      <c r="AB19" s="141">
        <f t="shared" si="0"/>
        <v>0</v>
      </c>
      <c r="AC19" s="141">
        <f t="shared" si="0"/>
        <v>0</v>
      </c>
      <c r="AD19" s="141">
        <f t="shared" si="0"/>
        <v>0</v>
      </c>
      <c r="AE19" s="141">
        <f t="shared" si="0"/>
        <v>0</v>
      </c>
      <c r="AF19" s="141">
        <f t="shared" si="0"/>
        <v>0</v>
      </c>
      <c r="AG19" s="141">
        <f t="shared" si="0"/>
        <v>0</v>
      </c>
      <c r="AH19" s="141">
        <f t="shared" si="0"/>
        <v>0</v>
      </c>
      <c r="AI19" s="141">
        <f t="shared" si="0"/>
        <v>0</v>
      </c>
      <c r="AJ19" s="141">
        <f t="shared" si="0"/>
        <v>0</v>
      </c>
      <c r="AK19" s="141">
        <f t="shared" si="0"/>
        <v>0</v>
      </c>
      <c r="AL19" s="141">
        <f t="shared" si="0"/>
        <v>0</v>
      </c>
      <c r="AM19" s="141">
        <f t="shared" si="0"/>
        <v>0</v>
      </c>
      <c r="AN19" s="141">
        <f t="shared" si="0"/>
        <v>0</v>
      </c>
      <c r="AO19" s="141">
        <f t="shared" si="0"/>
        <v>0</v>
      </c>
      <c r="AP19" s="141">
        <f t="shared" si="0"/>
        <v>0</v>
      </c>
      <c r="AQ19" s="141">
        <f t="shared" si="1"/>
        <v>0</v>
      </c>
      <c r="AR19" s="141">
        <f t="shared" si="1"/>
        <v>0</v>
      </c>
      <c r="AS19" s="141">
        <f t="shared" si="1"/>
        <v>0</v>
      </c>
      <c r="AT19" s="141">
        <f t="shared" si="1"/>
        <v>0</v>
      </c>
      <c r="AU19" s="141">
        <f t="shared" si="1"/>
        <v>0</v>
      </c>
      <c r="AV19" s="141">
        <f t="shared" si="1"/>
        <v>0</v>
      </c>
      <c r="AW19" s="141">
        <f t="shared" si="1"/>
        <v>0</v>
      </c>
      <c r="AX19" s="141">
        <f t="shared" si="1"/>
        <v>0</v>
      </c>
      <c r="AY19" s="141">
        <f t="shared" si="2"/>
        <v>0</v>
      </c>
      <c r="BC19" s="161">
        <f t="shared" si="4"/>
        <v>0</v>
      </c>
      <c r="BD19" s="163">
        <f t="shared" si="5"/>
        <v>0</v>
      </c>
      <c r="BE19" s="163">
        <f t="shared" si="6"/>
        <v>0</v>
      </c>
      <c r="BF19" s="163">
        <f t="shared" si="7"/>
        <v>0</v>
      </c>
      <c r="BG19" s="163">
        <f t="shared" si="8"/>
        <v>0</v>
      </c>
      <c r="BH19" s="163">
        <f t="shared" si="9"/>
        <v>0</v>
      </c>
      <c r="BI19" s="163">
        <f t="shared" si="10"/>
        <v>0</v>
      </c>
      <c r="BJ19" s="163">
        <f t="shared" si="11"/>
        <v>0</v>
      </c>
      <c r="BK19" s="163">
        <f t="shared" si="12"/>
        <v>0</v>
      </c>
      <c r="BL19" s="163">
        <f t="shared" si="13"/>
        <v>0</v>
      </c>
      <c r="BM19" s="163">
        <f t="shared" si="14"/>
        <v>0</v>
      </c>
      <c r="BN19" s="145">
        <f t="shared" si="3"/>
        <v>0</v>
      </c>
    </row>
    <row r="20" spans="1:66" ht="12.75" customHeight="1">
      <c r="A20"/>
      <c r="B20"/>
      <c r="C20"/>
      <c r="D20"/>
      <c r="E20"/>
      <c r="F20"/>
      <c r="G20" s="283"/>
      <c r="H20" s="283"/>
      <c r="I20"/>
      <c r="J20"/>
      <c r="K20"/>
      <c r="L20" s="283"/>
      <c r="M20"/>
      <c r="N20" s="283"/>
      <c r="O20"/>
      <c r="P20"/>
      <c r="Q20"/>
      <c r="R20"/>
      <c r="S20"/>
      <c r="T20"/>
      <c r="U20"/>
      <c r="V20"/>
      <c r="W20"/>
      <c r="X20"/>
      <c r="Y20"/>
      <c r="Z20" s="22" t="s">
        <v>287</v>
      </c>
      <c r="AA20" s="141">
        <f t="shared" si="0"/>
        <v>0</v>
      </c>
      <c r="AB20" s="141">
        <f t="shared" si="0"/>
        <v>0</v>
      </c>
      <c r="AC20" s="141">
        <f t="shared" si="0"/>
        <v>0</v>
      </c>
      <c r="AD20" s="141">
        <f t="shared" si="0"/>
        <v>0</v>
      </c>
      <c r="AE20" s="141">
        <f t="shared" si="0"/>
        <v>0</v>
      </c>
      <c r="AF20" s="141">
        <f t="shared" si="0"/>
        <v>0</v>
      </c>
      <c r="AG20" s="141">
        <f t="shared" si="0"/>
        <v>0</v>
      </c>
      <c r="AH20" s="141">
        <f t="shared" si="0"/>
        <v>0</v>
      </c>
      <c r="AI20" s="141">
        <f t="shared" si="0"/>
        <v>0</v>
      </c>
      <c r="AJ20" s="141">
        <f t="shared" si="0"/>
        <v>0</v>
      </c>
      <c r="AK20" s="141">
        <f t="shared" si="0"/>
        <v>0</v>
      </c>
      <c r="AL20" s="141">
        <f t="shared" si="0"/>
        <v>0</v>
      </c>
      <c r="AM20" s="141">
        <f t="shared" si="0"/>
        <v>0</v>
      </c>
      <c r="AN20" s="141">
        <f t="shared" si="0"/>
        <v>0</v>
      </c>
      <c r="AO20" s="141">
        <f t="shared" si="0"/>
        <v>0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0</v>
      </c>
      <c r="AQ20" s="141">
        <f t="shared" si="15"/>
        <v>0</v>
      </c>
      <c r="AR20" s="141">
        <f t="shared" si="1"/>
        <v>0</v>
      </c>
      <c r="AS20" s="141">
        <f t="shared" si="1"/>
        <v>0</v>
      </c>
      <c r="AT20" s="141">
        <f t="shared" si="1"/>
        <v>0</v>
      </c>
      <c r="AU20" s="141">
        <f t="shared" si="1"/>
        <v>0</v>
      </c>
      <c r="AV20" s="141">
        <f t="shared" si="1"/>
        <v>0</v>
      </c>
      <c r="AW20" s="141">
        <f t="shared" si="1"/>
        <v>0</v>
      </c>
      <c r="AX20" s="141">
        <f t="shared" si="1"/>
        <v>0</v>
      </c>
      <c r="AY20" s="141">
        <f t="shared" si="2"/>
        <v>0</v>
      </c>
      <c r="BC20" s="161">
        <f t="shared" si="4"/>
        <v>0</v>
      </c>
      <c r="BD20" s="163">
        <f t="shared" si="5"/>
        <v>0</v>
      </c>
      <c r="BE20" s="163">
        <f t="shared" si="6"/>
        <v>0</v>
      </c>
      <c r="BF20" s="163">
        <f t="shared" si="7"/>
        <v>0</v>
      </c>
      <c r="BG20" s="163">
        <f t="shared" si="8"/>
        <v>0</v>
      </c>
      <c r="BH20" s="163">
        <f t="shared" si="9"/>
        <v>0</v>
      </c>
      <c r="BI20" s="163">
        <f t="shared" si="10"/>
        <v>0</v>
      </c>
      <c r="BJ20" s="163">
        <f t="shared" si="11"/>
        <v>0</v>
      </c>
      <c r="BK20" s="163">
        <f t="shared" si="12"/>
        <v>0</v>
      </c>
      <c r="BL20" s="163">
        <f t="shared" si="13"/>
        <v>0</v>
      </c>
      <c r="BM20" s="163">
        <f t="shared" si="14"/>
        <v>0</v>
      </c>
      <c r="BN20" s="145">
        <f t="shared" si="3"/>
        <v>0</v>
      </c>
    </row>
    <row r="21" spans="1:6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283"/>
      <c r="S21"/>
      <c r="T21"/>
      <c r="U21"/>
      <c r="V21"/>
      <c r="W21" s="283"/>
      <c r="X21"/>
      <c r="Y21"/>
      <c r="Z21" s="22" t="s">
        <v>287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0</v>
      </c>
      <c r="AB21" s="141">
        <f t="shared" si="16"/>
        <v>0</v>
      </c>
      <c r="AC21" s="141">
        <f t="shared" si="16"/>
        <v>0</v>
      </c>
      <c r="AD21" s="141">
        <f t="shared" si="16"/>
        <v>0</v>
      </c>
      <c r="AE21" s="141">
        <f t="shared" si="16"/>
        <v>0</v>
      </c>
      <c r="AF21" s="141">
        <f t="shared" si="16"/>
        <v>0</v>
      </c>
      <c r="AG21" s="141">
        <f t="shared" si="16"/>
        <v>0</v>
      </c>
      <c r="AH21" s="141">
        <f t="shared" si="16"/>
        <v>0</v>
      </c>
      <c r="AI21" s="141">
        <f t="shared" si="16"/>
        <v>0</v>
      </c>
      <c r="AJ21" s="141">
        <f t="shared" si="16"/>
        <v>0</v>
      </c>
      <c r="AK21" s="141">
        <f t="shared" si="16"/>
        <v>0</v>
      </c>
      <c r="AL21" s="141">
        <f t="shared" si="16"/>
        <v>0</v>
      </c>
      <c r="AM21" s="141">
        <f t="shared" si="16"/>
        <v>0</v>
      </c>
      <c r="AN21" s="141">
        <f t="shared" si="16"/>
        <v>0</v>
      </c>
      <c r="AO21" s="141">
        <f t="shared" si="16"/>
        <v>0</v>
      </c>
      <c r="AP21" s="141">
        <f t="shared" si="15"/>
        <v>0</v>
      </c>
      <c r="AQ21" s="141">
        <f t="shared" si="15"/>
        <v>0</v>
      </c>
      <c r="AR21" s="141">
        <f t="shared" si="15"/>
        <v>0</v>
      </c>
      <c r="AS21" s="141">
        <f t="shared" si="15"/>
        <v>0</v>
      </c>
      <c r="AT21" s="141">
        <f t="shared" si="15"/>
        <v>0</v>
      </c>
      <c r="AU21" s="141">
        <f t="shared" si="15"/>
        <v>0</v>
      </c>
      <c r="AV21" s="141">
        <f t="shared" si="15"/>
        <v>0</v>
      </c>
      <c r="AW21" s="141">
        <f t="shared" si="15"/>
        <v>0</v>
      </c>
      <c r="AX21" s="141">
        <f t="shared" si="15"/>
        <v>0</v>
      </c>
      <c r="AY21" s="141">
        <f t="shared" si="2"/>
        <v>0</v>
      </c>
      <c r="BC21" s="161">
        <f t="shared" si="4"/>
        <v>0</v>
      </c>
      <c r="BD21" s="163">
        <f t="shared" si="5"/>
        <v>0</v>
      </c>
      <c r="BE21" s="163">
        <f t="shared" si="6"/>
        <v>0</v>
      </c>
      <c r="BF21" s="163">
        <f t="shared" si="7"/>
        <v>0</v>
      </c>
      <c r="BG21" s="163">
        <f t="shared" si="8"/>
        <v>0</v>
      </c>
      <c r="BH21" s="163">
        <f t="shared" si="9"/>
        <v>0</v>
      </c>
      <c r="BI21" s="163">
        <f t="shared" si="10"/>
        <v>0</v>
      </c>
      <c r="BJ21" s="163">
        <f t="shared" si="11"/>
        <v>0</v>
      </c>
      <c r="BK21" s="163">
        <f t="shared" si="12"/>
        <v>0</v>
      </c>
      <c r="BL21" s="163">
        <f t="shared" si="13"/>
        <v>0</v>
      </c>
      <c r="BM21" s="163">
        <f t="shared" si="14"/>
        <v>0</v>
      </c>
      <c r="BN21" s="145">
        <f t="shared" si="3"/>
        <v>0</v>
      </c>
    </row>
    <row r="22" spans="1:66" ht="12.75" customHeight="1">
      <c r="A22"/>
      <c r="B22" s="283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283"/>
      <c r="R22"/>
      <c r="S22"/>
      <c r="T22"/>
      <c r="U22"/>
      <c r="V22"/>
      <c r="W22"/>
      <c r="X22" s="283"/>
      <c r="Y22"/>
      <c r="Z22" s="22" t="s">
        <v>287</v>
      </c>
      <c r="AA22" s="141">
        <f t="shared" si="16"/>
        <v>0</v>
      </c>
      <c r="AB22" s="141">
        <f t="shared" si="16"/>
        <v>0</v>
      </c>
      <c r="AC22" s="141">
        <f t="shared" si="16"/>
        <v>0</v>
      </c>
      <c r="AD22" s="141">
        <f t="shared" si="16"/>
        <v>0</v>
      </c>
      <c r="AE22" s="141">
        <f t="shared" si="16"/>
        <v>0</v>
      </c>
      <c r="AF22" s="141">
        <f t="shared" si="16"/>
        <v>0</v>
      </c>
      <c r="AG22" s="141">
        <f t="shared" si="16"/>
        <v>0</v>
      </c>
      <c r="AH22" s="141">
        <f t="shared" si="16"/>
        <v>0</v>
      </c>
      <c r="AI22" s="141">
        <f t="shared" si="16"/>
        <v>0</v>
      </c>
      <c r="AJ22" s="141">
        <f t="shared" si="16"/>
        <v>0</v>
      </c>
      <c r="AK22" s="141">
        <f t="shared" si="16"/>
        <v>0</v>
      </c>
      <c r="AL22" s="141">
        <f t="shared" si="16"/>
        <v>0</v>
      </c>
      <c r="AM22" s="141">
        <f t="shared" si="16"/>
        <v>0</v>
      </c>
      <c r="AN22" s="141">
        <f t="shared" si="16"/>
        <v>0</v>
      </c>
      <c r="AO22" s="141">
        <f t="shared" si="16"/>
        <v>0</v>
      </c>
      <c r="AP22" s="141">
        <f t="shared" si="15"/>
        <v>0</v>
      </c>
      <c r="AQ22" s="141">
        <f t="shared" si="15"/>
        <v>0</v>
      </c>
      <c r="AR22" s="141">
        <f t="shared" si="15"/>
        <v>0</v>
      </c>
      <c r="AS22" s="141">
        <f t="shared" si="15"/>
        <v>0</v>
      </c>
      <c r="AT22" s="141">
        <f t="shared" si="15"/>
        <v>0</v>
      </c>
      <c r="AU22" s="141">
        <f t="shared" si="15"/>
        <v>0</v>
      </c>
      <c r="AV22" s="141">
        <f t="shared" si="15"/>
        <v>0</v>
      </c>
      <c r="AW22" s="141">
        <f t="shared" si="15"/>
        <v>0</v>
      </c>
      <c r="AX22" s="141">
        <f t="shared" si="15"/>
        <v>0</v>
      </c>
      <c r="AY22" s="141">
        <f t="shared" si="2"/>
        <v>0</v>
      </c>
      <c r="BC22" s="161">
        <f t="shared" si="4"/>
        <v>0</v>
      </c>
      <c r="BD22" s="163">
        <f t="shared" si="5"/>
        <v>0</v>
      </c>
      <c r="BE22" s="163">
        <f t="shared" si="6"/>
        <v>0</v>
      </c>
      <c r="BF22" s="163">
        <f t="shared" si="7"/>
        <v>0</v>
      </c>
      <c r="BG22" s="163">
        <f t="shared" si="8"/>
        <v>0</v>
      </c>
      <c r="BH22" s="163">
        <f t="shared" si="9"/>
        <v>0</v>
      </c>
      <c r="BI22" s="163">
        <f t="shared" si="10"/>
        <v>0</v>
      </c>
      <c r="BJ22" s="163">
        <f t="shared" si="11"/>
        <v>0</v>
      </c>
      <c r="BK22" s="163">
        <f t="shared" si="12"/>
        <v>0</v>
      </c>
      <c r="BL22" s="163">
        <f t="shared" si="13"/>
        <v>0</v>
      </c>
      <c r="BM22" s="163">
        <f t="shared" si="14"/>
        <v>0</v>
      </c>
      <c r="BN22" s="145">
        <f t="shared" si="3"/>
        <v>0</v>
      </c>
    </row>
    <row r="23" spans="1:66" ht="12.75" customHeight="1">
      <c r="A23"/>
      <c r="B23"/>
      <c r="C23"/>
      <c r="D23"/>
      <c r="E23"/>
      <c r="F23"/>
      <c r="G23"/>
      <c r="H23"/>
      <c r="I23"/>
      <c r="J23"/>
      <c r="K23" s="283"/>
      <c r="L23"/>
      <c r="M23"/>
      <c r="N23"/>
      <c r="O23"/>
      <c r="P23"/>
      <c r="Q23"/>
      <c r="R23"/>
      <c r="S23" s="283"/>
      <c r="T23"/>
      <c r="U23"/>
      <c r="V23"/>
      <c r="W23"/>
      <c r="X23"/>
      <c r="Y23"/>
      <c r="Z23" s="22" t="s">
        <v>287</v>
      </c>
      <c r="AA23" s="141">
        <f t="shared" si="16"/>
        <v>0</v>
      </c>
      <c r="AB23" s="141">
        <f t="shared" si="16"/>
        <v>0</v>
      </c>
      <c r="AC23" s="141">
        <f t="shared" si="16"/>
        <v>0</v>
      </c>
      <c r="AD23" s="141">
        <f t="shared" si="16"/>
        <v>0</v>
      </c>
      <c r="AE23" s="141">
        <f t="shared" si="16"/>
        <v>0</v>
      </c>
      <c r="AF23" s="141">
        <f t="shared" si="16"/>
        <v>0</v>
      </c>
      <c r="AG23" s="141">
        <f t="shared" si="16"/>
        <v>0</v>
      </c>
      <c r="AH23" s="141">
        <f t="shared" si="16"/>
        <v>0</v>
      </c>
      <c r="AI23" s="141">
        <f t="shared" si="16"/>
        <v>0</v>
      </c>
      <c r="AJ23" s="141">
        <f t="shared" si="16"/>
        <v>0</v>
      </c>
      <c r="AK23" s="141">
        <f t="shared" si="16"/>
        <v>0</v>
      </c>
      <c r="AL23" s="141">
        <f t="shared" si="16"/>
        <v>0</v>
      </c>
      <c r="AM23" s="141">
        <f t="shared" si="16"/>
        <v>0</v>
      </c>
      <c r="AN23" s="141">
        <f t="shared" si="16"/>
        <v>0</v>
      </c>
      <c r="AO23" s="141">
        <f t="shared" si="16"/>
        <v>0</v>
      </c>
      <c r="AP23" s="141">
        <f t="shared" si="15"/>
        <v>0</v>
      </c>
      <c r="AQ23" s="141">
        <f t="shared" si="15"/>
        <v>0</v>
      </c>
      <c r="AR23" s="141">
        <f t="shared" si="15"/>
        <v>0</v>
      </c>
      <c r="AS23" s="141">
        <f t="shared" si="15"/>
        <v>0</v>
      </c>
      <c r="AT23" s="141">
        <f t="shared" si="15"/>
        <v>0</v>
      </c>
      <c r="AU23" s="141">
        <f t="shared" si="15"/>
        <v>0</v>
      </c>
      <c r="AV23" s="141">
        <f t="shared" si="15"/>
        <v>0</v>
      </c>
      <c r="AW23" s="141">
        <f t="shared" si="15"/>
        <v>0</v>
      </c>
      <c r="AX23" s="141">
        <f t="shared" si="15"/>
        <v>0</v>
      </c>
      <c r="AY23" s="141">
        <f t="shared" si="2"/>
        <v>0</v>
      </c>
      <c r="BC23" s="161">
        <f t="shared" si="4"/>
        <v>0</v>
      </c>
      <c r="BD23" s="163">
        <f t="shared" si="5"/>
        <v>0</v>
      </c>
      <c r="BE23" s="163">
        <f t="shared" si="6"/>
        <v>0</v>
      </c>
      <c r="BF23" s="163">
        <f t="shared" si="7"/>
        <v>0</v>
      </c>
      <c r="BG23" s="163">
        <f t="shared" si="8"/>
        <v>0</v>
      </c>
      <c r="BH23" s="163">
        <f t="shared" si="9"/>
        <v>0</v>
      </c>
      <c r="BI23" s="163">
        <f t="shared" si="10"/>
        <v>0</v>
      </c>
      <c r="BJ23" s="163">
        <f t="shared" si="11"/>
        <v>0</v>
      </c>
      <c r="BK23" s="163">
        <f t="shared" si="12"/>
        <v>0</v>
      </c>
      <c r="BL23" s="163">
        <f t="shared" si="13"/>
        <v>0</v>
      </c>
      <c r="BM23" s="163">
        <f t="shared" si="14"/>
        <v>0</v>
      </c>
      <c r="BN23" s="145">
        <f t="shared" si="3"/>
        <v>0</v>
      </c>
    </row>
    <row r="24" spans="1:66" ht="12.75" customHeight="1">
      <c r="A24"/>
      <c r="B24"/>
      <c r="C24"/>
      <c r="D24"/>
      <c r="E24"/>
      <c r="F24"/>
      <c r="G24"/>
      <c r="H24"/>
      <c r="I24"/>
      <c r="J24"/>
      <c r="K24" s="283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 s="22" t="s">
        <v>287</v>
      </c>
      <c r="AA24" s="141">
        <f t="shared" si="16"/>
        <v>0</v>
      </c>
      <c r="AB24" s="141">
        <f t="shared" si="16"/>
        <v>0</v>
      </c>
      <c r="AC24" s="141">
        <f t="shared" si="16"/>
        <v>0</v>
      </c>
      <c r="AD24" s="141">
        <f t="shared" si="16"/>
        <v>0</v>
      </c>
      <c r="AE24" s="141">
        <f t="shared" si="16"/>
        <v>0</v>
      </c>
      <c r="AF24" s="141">
        <f t="shared" si="16"/>
        <v>0</v>
      </c>
      <c r="AG24" s="141">
        <f t="shared" si="16"/>
        <v>0</v>
      </c>
      <c r="AH24" s="141">
        <f t="shared" si="16"/>
        <v>0</v>
      </c>
      <c r="AI24" s="141">
        <f t="shared" si="16"/>
        <v>0</v>
      </c>
      <c r="AJ24" s="141">
        <f t="shared" si="16"/>
        <v>0</v>
      </c>
      <c r="AK24" s="141">
        <f t="shared" si="16"/>
        <v>0</v>
      </c>
      <c r="AL24" s="141">
        <f t="shared" si="16"/>
        <v>0</v>
      </c>
      <c r="AM24" s="141">
        <f t="shared" si="16"/>
        <v>0</v>
      </c>
      <c r="AN24" s="141">
        <f t="shared" si="16"/>
        <v>0</v>
      </c>
      <c r="AO24" s="141">
        <f t="shared" si="16"/>
        <v>0</v>
      </c>
      <c r="AP24" s="141">
        <f t="shared" si="15"/>
        <v>0</v>
      </c>
      <c r="AQ24" s="141">
        <f t="shared" si="15"/>
        <v>0</v>
      </c>
      <c r="AR24" s="141">
        <f t="shared" si="15"/>
        <v>0</v>
      </c>
      <c r="AS24" s="141">
        <f t="shared" si="15"/>
        <v>0</v>
      </c>
      <c r="AT24" s="141">
        <f t="shared" si="15"/>
        <v>0</v>
      </c>
      <c r="AU24" s="141">
        <f t="shared" si="15"/>
        <v>0</v>
      </c>
      <c r="AV24" s="141">
        <f t="shared" si="15"/>
        <v>0</v>
      </c>
      <c r="AW24" s="141">
        <f t="shared" si="15"/>
        <v>0</v>
      </c>
      <c r="AX24" s="141">
        <f t="shared" si="15"/>
        <v>0</v>
      </c>
      <c r="AY24" s="141">
        <f t="shared" si="2"/>
        <v>0</v>
      </c>
      <c r="BC24" s="161">
        <f t="shared" si="4"/>
        <v>0</v>
      </c>
      <c r="BD24" s="163">
        <f t="shared" si="5"/>
        <v>0</v>
      </c>
      <c r="BE24" s="163">
        <f t="shared" si="6"/>
        <v>0</v>
      </c>
      <c r="BF24" s="163">
        <f t="shared" si="7"/>
        <v>0</v>
      </c>
      <c r="BG24" s="163">
        <f t="shared" si="8"/>
        <v>0</v>
      </c>
      <c r="BH24" s="163">
        <f t="shared" si="9"/>
        <v>0</v>
      </c>
      <c r="BI24" s="163">
        <f t="shared" si="10"/>
        <v>0</v>
      </c>
      <c r="BJ24" s="163">
        <f t="shared" si="11"/>
        <v>0</v>
      </c>
      <c r="BK24" s="163">
        <f t="shared" si="12"/>
        <v>0</v>
      </c>
      <c r="BL24" s="163">
        <f t="shared" si="13"/>
        <v>0</v>
      </c>
      <c r="BM24" s="163">
        <f t="shared" si="14"/>
        <v>0</v>
      </c>
      <c r="BN24" s="145">
        <f t="shared" si="3"/>
        <v>0</v>
      </c>
    </row>
    <row r="25" spans="1:6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 s="283"/>
      <c r="O25"/>
      <c r="P25"/>
      <c r="Q25"/>
      <c r="R25"/>
      <c r="S25"/>
      <c r="T25"/>
      <c r="U25" s="283"/>
      <c r="V25"/>
      <c r="W25" s="283"/>
      <c r="X25"/>
      <c r="Y25"/>
      <c r="Z25" s="22" t="s">
        <v>287</v>
      </c>
      <c r="AA25" s="141">
        <f t="shared" si="16"/>
        <v>0</v>
      </c>
      <c r="AB25" s="141">
        <f t="shared" si="16"/>
        <v>0</v>
      </c>
      <c r="AC25" s="141">
        <f t="shared" si="16"/>
        <v>0</v>
      </c>
      <c r="AD25" s="141">
        <f t="shared" si="16"/>
        <v>0</v>
      </c>
      <c r="AE25" s="141">
        <f t="shared" si="16"/>
        <v>0</v>
      </c>
      <c r="AF25" s="141">
        <f t="shared" si="16"/>
        <v>0</v>
      </c>
      <c r="AG25" s="141">
        <f t="shared" si="16"/>
        <v>0</v>
      </c>
      <c r="AH25" s="141">
        <f t="shared" si="16"/>
        <v>0</v>
      </c>
      <c r="AI25" s="141">
        <f t="shared" si="16"/>
        <v>0</v>
      </c>
      <c r="AJ25" s="141">
        <f t="shared" si="16"/>
        <v>0</v>
      </c>
      <c r="AK25" s="141">
        <f t="shared" si="16"/>
        <v>0</v>
      </c>
      <c r="AL25" s="141">
        <f t="shared" si="16"/>
        <v>0</v>
      </c>
      <c r="AM25" s="141">
        <f t="shared" si="16"/>
        <v>0</v>
      </c>
      <c r="AN25" s="141">
        <f t="shared" si="16"/>
        <v>0</v>
      </c>
      <c r="AO25" s="141">
        <f t="shared" si="16"/>
        <v>0</v>
      </c>
      <c r="AP25" s="141">
        <f t="shared" si="15"/>
        <v>0</v>
      </c>
      <c r="AQ25" s="141">
        <f t="shared" si="15"/>
        <v>0</v>
      </c>
      <c r="AR25" s="141">
        <f t="shared" si="15"/>
        <v>0</v>
      </c>
      <c r="AS25" s="141">
        <f t="shared" si="15"/>
        <v>0</v>
      </c>
      <c r="AT25" s="141">
        <f t="shared" si="15"/>
        <v>0</v>
      </c>
      <c r="AU25" s="141">
        <f t="shared" si="15"/>
        <v>0</v>
      </c>
      <c r="AV25" s="141">
        <f t="shared" si="15"/>
        <v>0</v>
      </c>
      <c r="AW25" s="141">
        <f t="shared" si="15"/>
        <v>0</v>
      </c>
      <c r="AX25" s="141">
        <f t="shared" si="15"/>
        <v>0</v>
      </c>
      <c r="AY25" s="141">
        <f t="shared" si="2"/>
        <v>0</v>
      </c>
      <c r="BC25" s="161">
        <f t="shared" si="4"/>
        <v>0</v>
      </c>
      <c r="BD25" s="163">
        <f t="shared" si="5"/>
        <v>0</v>
      </c>
      <c r="BE25" s="163">
        <f t="shared" si="6"/>
        <v>0</v>
      </c>
      <c r="BF25" s="163">
        <f t="shared" si="7"/>
        <v>0</v>
      </c>
      <c r="BG25" s="163">
        <f t="shared" si="8"/>
        <v>0</v>
      </c>
      <c r="BH25" s="163">
        <f t="shared" si="9"/>
        <v>0</v>
      </c>
      <c r="BI25" s="163">
        <f t="shared" si="10"/>
        <v>0</v>
      </c>
      <c r="BJ25" s="163">
        <f t="shared" si="11"/>
        <v>0</v>
      </c>
      <c r="BK25" s="163">
        <f t="shared" si="12"/>
        <v>0</v>
      </c>
      <c r="BL25" s="163">
        <f t="shared" si="13"/>
        <v>0</v>
      </c>
      <c r="BM25" s="163">
        <f t="shared" si="14"/>
        <v>0</v>
      </c>
      <c r="BN25" s="145">
        <f t="shared" si="3"/>
        <v>0</v>
      </c>
    </row>
    <row r="26" spans="1:66" ht="12.75" customHeight="1">
      <c r="A26"/>
      <c r="B26"/>
      <c r="C26"/>
      <c r="D26"/>
      <c r="E26"/>
      <c r="F26"/>
      <c r="G26"/>
      <c r="H26"/>
      <c r="I26"/>
      <c r="J26"/>
      <c r="K26"/>
      <c r="L26" s="283"/>
      <c r="M26" s="283"/>
      <c r="N26"/>
      <c r="O26"/>
      <c r="P26"/>
      <c r="Q26"/>
      <c r="R26"/>
      <c r="S26"/>
      <c r="T26"/>
      <c r="U26"/>
      <c r="V26"/>
      <c r="W26"/>
      <c r="X26"/>
      <c r="Y26"/>
      <c r="Z26" s="22" t="s">
        <v>287</v>
      </c>
      <c r="AA26" s="141">
        <f t="shared" si="16"/>
        <v>0</v>
      </c>
      <c r="AB26" s="141">
        <f t="shared" si="16"/>
        <v>0</v>
      </c>
      <c r="AC26" s="141">
        <f t="shared" si="16"/>
        <v>0</v>
      </c>
      <c r="AD26" s="141">
        <f t="shared" si="16"/>
        <v>0</v>
      </c>
      <c r="AE26" s="141">
        <f t="shared" si="16"/>
        <v>0</v>
      </c>
      <c r="AF26" s="141">
        <f t="shared" si="16"/>
        <v>0</v>
      </c>
      <c r="AG26" s="141">
        <f t="shared" si="16"/>
        <v>0</v>
      </c>
      <c r="AH26" s="141">
        <f t="shared" si="16"/>
        <v>0</v>
      </c>
      <c r="AI26" s="141">
        <f t="shared" si="16"/>
        <v>0</v>
      </c>
      <c r="AJ26" s="141">
        <f t="shared" si="16"/>
        <v>0</v>
      </c>
      <c r="AK26" s="141">
        <f t="shared" si="16"/>
        <v>0</v>
      </c>
      <c r="AL26" s="141">
        <f t="shared" si="16"/>
        <v>0</v>
      </c>
      <c r="AM26" s="141">
        <f t="shared" si="16"/>
        <v>0</v>
      </c>
      <c r="AN26" s="141">
        <f t="shared" si="16"/>
        <v>0</v>
      </c>
      <c r="AO26" s="141">
        <f t="shared" si="16"/>
        <v>0</v>
      </c>
      <c r="AP26" s="141">
        <f t="shared" si="15"/>
        <v>0</v>
      </c>
      <c r="AQ26" s="141">
        <f t="shared" si="15"/>
        <v>0</v>
      </c>
      <c r="AR26" s="141">
        <f t="shared" si="15"/>
        <v>0</v>
      </c>
      <c r="AS26" s="141">
        <f t="shared" si="15"/>
        <v>0</v>
      </c>
      <c r="AT26" s="141">
        <f t="shared" si="15"/>
        <v>0</v>
      </c>
      <c r="AU26" s="141">
        <f t="shared" si="15"/>
        <v>0</v>
      </c>
      <c r="AV26" s="141">
        <f t="shared" si="15"/>
        <v>0</v>
      </c>
      <c r="AW26" s="141">
        <f t="shared" si="15"/>
        <v>0</v>
      </c>
      <c r="AX26" s="141">
        <f t="shared" si="15"/>
        <v>0</v>
      </c>
      <c r="AY26" s="141">
        <f t="shared" si="2"/>
        <v>0</v>
      </c>
      <c r="BC26" s="161">
        <f t="shared" si="4"/>
        <v>0</v>
      </c>
      <c r="BD26" s="163">
        <f t="shared" si="5"/>
        <v>0</v>
      </c>
      <c r="BE26" s="163">
        <f t="shared" si="6"/>
        <v>0</v>
      </c>
      <c r="BF26" s="163">
        <f t="shared" si="7"/>
        <v>0</v>
      </c>
      <c r="BG26" s="163">
        <f t="shared" si="8"/>
        <v>0</v>
      </c>
      <c r="BH26" s="163">
        <f t="shared" si="9"/>
        <v>0</v>
      </c>
      <c r="BI26" s="163">
        <f t="shared" si="10"/>
        <v>0</v>
      </c>
      <c r="BJ26" s="163">
        <f t="shared" si="11"/>
        <v>0</v>
      </c>
      <c r="BK26" s="163">
        <f t="shared" si="12"/>
        <v>0</v>
      </c>
      <c r="BL26" s="163">
        <f t="shared" si="13"/>
        <v>0</v>
      </c>
      <c r="BM26" s="163">
        <f t="shared" si="14"/>
        <v>0</v>
      </c>
      <c r="BN26" s="145">
        <f t="shared" si="3"/>
        <v>0</v>
      </c>
    </row>
    <row r="27" spans="1:66" ht="12.75" customHeight="1">
      <c r="A27"/>
      <c r="B27"/>
      <c r="C27"/>
      <c r="D27"/>
      <c r="E27"/>
      <c r="F27"/>
      <c r="G27"/>
      <c r="H27"/>
      <c r="I27"/>
      <c r="J27" s="283"/>
      <c r="K27" s="283"/>
      <c r="L27"/>
      <c r="M27"/>
      <c r="N27"/>
      <c r="O27"/>
      <c r="P27"/>
      <c r="Q27"/>
      <c r="R27"/>
      <c r="S27"/>
      <c r="T27"/>
      <c r="U27" s="283"/>
      <c r="V27"/>
      <c r="W27"/>
      <c r="X27"/>
      <c r="Y27"/>
      <c r="Z27" s="22" t="s">
        <v>287</v>
      </c>
      <c r="AA27" s="141">
        <f t="shared" si="16"/>
        <v>0</v>
      </c>
      <c r="AB27" s="141">
        <f t="shared" si="16"/>
        <v>0</v>
      </c>
      <c r="AC27" s="141">
        <f t="shared" si="16"/>
        <v>0</v>
      </c>
      <c r="AD27" s="141">
        <f t="shared" si="16"/>
        <v>0</v>
      </c>
      <c r="AE27" s="141">
        <f t="shared" si="16"/>
        <v>0</v>
      </c>
      <c r="AF27" s="141">
        <f t="shared" si="16"/>
        <v>0</v>
      </c>
      <c r="AG27" s="141">
        <f t="shared" si="16"/>
        <v>0</v>
      </c>
      <c r="AH27" s="141">
        <f t="shared" si="16"/>
        <v>0</v>
      </c>
      <c r="AI27" s="141">
        <f t="shared" si="16"/>
        <v>0</v>
      </c>
      <c r="AJ27" s="141">
        <f t="shared" si="16"/>
        <v>0</v>
      </c>
      <c r="AK27" s="141">
        <f t="shared" si="16"/>
        <v>0</v>
      </c>
      <c r="AL27" s="141">
        <f t="shared" si="16"/>
        <v>0</v>
      </c>
      <c r="AM27" s="141">
        <f t="shared" si="16"/>
        <v>0</v>
      </c>
      <c r="AN27" s="141">
        <f t="shared" si="16"/>
        <v>0</v>
      </c>
      <c r="AO27" s="141">
        <f t="shared" si="16"/>
        <v>0</v>
      </c>
      <c r="AP27" s="141">
        <f t="shared" si="15"/>
        <v>0</v>
      </c>
      <c r="AQ27" s="141">
        <f t="shared" si="15"/>
        <v>0</v>
      </c>
      <c r="AR27" s="141">
        <f t="shared" si="15"/>
        <v>0</v>
      </c>
      <c r="AS27" s="141">
        <f t="shared" si="15"/>
        <v>0</v>
      </c>
      <c r="AT27" s="141">
        <f t="shared" si="15"/>
        <v>0</v>
      </c>
      <c r="AU27" s="141">
        <f t="shared" si="15"/>
        <v>0</v>
      </c>
      <c r="AV27" s="141">
        <f t="shared" si="15"/>
        <v>0</v>
      </c>
      <c r="AW27" s="141">
        <f t="shared" si="15"/>
        <v>0</v>
      </c>
      <c r="AX27" s="141">
        <f t="shared" si="15"/>
        <v>0</v>
      </c>
      <c r="AY27" s="141">
        <f t="shared" si="2"/>
        <v>0</v>
      </c>
      <c r="BC27" s="161">
        <f t="shared" si="4"/>
        <v>0</v>
      </c>
      <c r="BD27" s="163">
        <f t="shared" si="5"/>
        <v>0</v>
      </c>
      <c r="BE27" s="163">
        <f t="shared" si="6"/>
        <v>0</v>
      </c>
      <c r="BF27" s="163">
        <f t="shared" si="7"/>
        <v>0</v>
      </c>
      <c r="BG27" s="163">
        <f t="shared" si="8"/>
        <v>0</v>
      </c>
      <c r="BH27" s="163">
        <f t="shared" si="9"/>
        <v>0</v>
      </c>
      <c r="BI27" s="163">
        <f t="shared" si="10"/>
        <v>0</v>
      </c>
      <c r="BJ27" s="163">
        <f t="shared" si="11"/>
        <v>0</v>
      </c>
      <c r="BK27" s="163">
        <f t="shared" si="12"/>
        <v>0</v>
      </c>
      <c r="BL27" s="163">
        <f t="shared" si="13"/>
        <v>0</v>
      </c>
      <c r="BM27" s="163">
        <f t="shared" si="14"/>
        <v>0</v>
      </c>
      <c r="BN27" s="145">
        <f t="shared" si="3"/>
        <v>0</v>
      </c>
    </row>
    <row r="28" spans="1:6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22" t="s">
        <v>287</v>
      </c>
      <c r="AA28" s="141">
        <f t="shared" si="16"/>
        <v>0</v>
      </c>
      <c r="AB28" s="141">
        <f t="shared" si="16"/>
        <v>0</v>
      </c>
      <c r="AC28" s="141">
        <f t="shared" si="16"/>
        <v>0</v>
      </c>
      <c r="AD28" s="141">
        <f t="shared" si="16"/>
        <v>0</v>
      </c>
      <c r="AE28" s="141">
        <f t="shared" si="16"/>
        <v>0</v>
      </c>
      <c r="AF28" s="141">
        <f t="shared" si="16"/>
        <v>0</v>
      </c>
      <c r="AG28" s="141">
        <f t="shared" si="16"/>
        <v>0</v>
      </c>
      <c r="AH28" s="141">
        <f t="shared" si="16"/>
        <v>0</v>
      </c>
      <c r="AI28" s="141">
        <f t="shared" si="16"/>
        <v>0</v>
      </c>
      <c r="AJ28" s="141">
        <f t="shared" si="16"/>
        <v>0</v>
      </c>
      <c r="AK28" s="141">
        <f t="shared" si="16"/>
        <v>0</v>
      </c>
      <c r="AL28" s="141">
        <f t="shared" si="16"/>
        <v>0</v>
      </c>
      <c r="AM28" s="141">
        <f t="shared" si="16"/>
        <v>0</v>
      </c>
      <c r="AN28" s="141">
        <f t="shared" si="16"/>
        <v>0</v>
      </c>
      <c r="AO28" s="141">
        <f t="shared" si="16"/>
        <v>0</v>
      </c>
      <c r="AP28" s="141">
        <f t="shared" si="15"/>
        <v>0</v>
      </c>
      <c r="AQ28" s="141">
        <f t="shared" si="15"/>
        <v>0</v>
      </c>
      <c r="AR28" s="141">
        <f t="shared" si="15"/>
        <v>0</v>
      </c>
      <c r="AS28" s="141">
        <f t="shared" si="15"/>
        <v>0</v>
      </c>
      <c r="AT28" s="141">
        <f t="shared" si="15"/>
        <v>0</v>
      </c>
      <c r="AU28" s="141">
        <f t="shared" si="15"/>
        <v>0</v>
      </c>
      <c r="AV28" s="141">
        <f t="shared" si="15"/>
        <v>0</v>
      </c>
      <c r="AW28" s="141">
        <f t="shared" si="15"/>
        <v>0</v>
      </c>
      <c r="AX28" s="141">
        <f t="shared" si="15"/>
        <v>0</v>
      </c>
      <c r="AY28" s="141">
        <f t="shared" si="2"/>
        <v>0</v>
      </c>
      <c r="BC28" s="161">
        <f t="shared" si="4"/>
        <v>0</v>
      </c>
      <c r="BD28" s="163">
        <f t="shared" si="5"/>
        <v>0</v>
      </c>
      <c r="BE28" s="163">
        <f t="shared" si="6"/>
        <v>0</v>
      </c>
      <c r="BF28" s="163">
        <f t="shared" si="7"/>
        <v>0</v>
      </c>
      <c r="BG28" s="163">
        <f t="shared" si="8"/>
        <v>0</v>
      </c>
      <c r="BH28" s="163">
        <f t="shared" si="9"/>
        <v>0</v>
      </c>
      <c r="BI28" s="163">
        <f t="shared" si="10"/>
        <v>0</v>
      </c>
      <c r="BJ28" s="163">
        <f t="shared" si="11"/>
        <v>0</v>
      </c>
      <c r="BK28" s="163">
        <f t="shared" si="12"/>
        <v>0</v>
      </c>
      <c r="BL28" s="163">
        <f t="shared" si="13"/>
        <v>0</v>
      </c>
      <c r="BM28" s="163">
        <f t="shared" si="14"/>
        <v>0</v>
      </c>
      <c r="BN28" s="145">
        <f t="shared" si="3"/>
        <v>0</v>
      </c>
    </row>
    <row r="29" spans="1:66" ht="12.75" customHeight="1">
      <c r="A29"/>
      <c r="B29"/>
      <c r="C29" s="283"/>
      <c r="D29"/>
      <c r="E29"/>
      <c r="F29"/>
      <c r="G29"/>
      <c r="H29"/>
      <c r="I29"/>
      <c r="J29"/>
      <c r="K29"/>
      <c r="L29"/>
      <c r="M29"/>
      <c r="N29"/>
      <c r="O29"/>
      <c r="P29"/>
      <c r="Q29" s="283"/>
      <c r="R29"/>
      <c r="S29"/>
      <c r="T29"/>
      <c r="U29"/>
      <c r="V29"/>
      <c r="W29"/>
      <c r="X29"/>
      <c r="Y29"/>
      <c r="Z29" s="22" t="s">
        <v>179</v>
      </c>
      <c r="AA29" s="141">
        <f t="shared" si="16"/>
        <v>0</v>
      </c>
      <c r="AB29" s="141">
        <f t="shared" si="16"/>
        <v>0</v>
      </c>
      <c r="AC29" s="141">
        <f t="shared" si="16"/>
        <v>0</v>
      </c>
      <c r="AD29" s="141">
        <f t="shared" si="16"/>
        <v>0</v>
      </c>
      <c r="AE29" s="141">
        <f t="shared" si="16"/>
        <v>0</v>
      </c>
      <c r="AF29" s="141">
        <f t="shared" si="16"/>
        <v>0</v>
      </c>
      <c r="AG29" s="141">
        <f t="shared" si="16"/>
        <v>0</v>
      </c>
      <c r="AH29" s="141">
        <f t="shared" si="16"/>
        <v>0</v>
      </c>
      <c r="AI29" s="141">
        <f t="shared" si="16"/>
        <v>0</v>
      </c>
      <c r="AJ29" s="141">
        <f t="shared" si="16"/>
        <v>0</v>
      </c>
      <c r="AK29" s="141">
        <f t="shared" si="16"/>
        <v>0</v>
      </c>
      <c r="AL29" s="141">
        <f t="shared" si="16"/>
        <v>0</v>
      </c>
      <c r="AM29" s="141">
        <f t="shared" si="16"/>
        <v>0</v>
      </c>
      <c r="AN29" s="141">
        <f t="shared" si="16"/>
        <v>0</v>
      </c>
      <c r="AO29" s="141">
        <f t="shared" si="16"/>
        <v>0</v>
      </c>
      <c r="AP29" s="141">
        <f t="shared" si="15"/>
        <v>0</v>
      </c>
      <c r="AQ29" s="141">
        <f t="shared" si="15"/>
        <v>0</v>
      </c>
      <c r="AR29" s="141">
        <f t="shared" si="15"/>
        <v>0</v>
      </c>
      <c r="AS29" s="141">
        <f t="shared" si="15"/>
        <v>0</v>
      </c>
      <c r="AT29" s="141">
        <f t="shared" si="15"/>
        <v>0</v>
      </c>
      <c r="AU29" s="141">
        <f t="shared" si="15"/>
        <v>0</v>
      </c>
      <c r="AV29" s="141">
        <f t="shared" si="15"/>
        <v>0</v>
      </c>
      <c r="AW29" s="141">
        <f t="shared" si="15"/>
        <v>0</v>
      </c>
      <c r="AX29" s="141">
        <f t="shared" si="15"/>
        <v>0</v>
      </c>
      <c r="AY29" s="141">
        <f>SUM(AA29:AX29)</f>
        <v>0</v>
      </c>
      <c r="BC29" s="161">
        <f t="shared" si="4"/>
        <v>0</v>
      </c>
      <c r="BD29" s="163">
        <f t="shared" si="5"/>
        <v>0</v>
      </c>
      <c r="BE29" s="163">
        <f t="shared" si="6"/>
        <v>0</v>
      </c>
      <c r="BF29" s="163">
        <f t="shared" si="7"/>
        <v>0</v>
      </c>
      <c r="BG29" s="163">
        <f t="shared" si="8"/>
        <v>0</v>
      </c>
      <c r="BH29" s="163">
        <f t="shared" si="9"/>
        <v>0</v>
      </c>
      <c r="BI29" s="163">
        <f t="shared" si="10"/>
        <v>0</v>
      </c>
      <c r="BJ29" s="163">
        <f t="shared" si="11"/>
        <v>0</v>
      </c>
      <c r="BK29" s="163">
        <f t="shared" si="12"/>
        <v>0</v>
      </c>
      <c r="BL29" s="163">
        <f t="shared" si="13"/>
        <v>0</v>
      </c>
      <c r="BM29" s="163">
        <f t="shared" si="14"/>
        <v>0</v>
      </c>
      <c r="BN29" s="145">
        <f t="shared" si="3"/>
        <v>0</v>
      </c>
    </row>
    <row r="30" spans="1:6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 s="22" t="s">
        <v>287</v>
      </c>
      <c r="AA30" s="141">
        <f t="shared" si="16"/>
        <v>0</v>
      </c>
      <c r="AB30" s="141">
        <f t="shared" si="16"/>
        <v>0</v>
      </c>
      <c r="AC30" s="141">
        <f t="shared" si="16"/>
        <v>0</v>
      </c>
      <c r="AD30" s="141">
        <f t="shared" si="16"/>
        <v>0</v>
      </c>
      <c r="AE30" s="141">
        <f t="shared" si="16"/>
        <v>0</v>
      </c>
      <c r="AF30" s="141">
        <f t="shared" si="16"/>
        <v>0</v>
      </c>
      <c r="AG30" s="141">
        <f t="shared" si="16"/>
        <v>0</v>
      </c>
      <c r="AH30" s="141">
        <f t="shared" si="16"/>
        <v>0</v>
      </c>
      <c r="AI30" s="141">
        <f t="shared" si="16"/>
        <v>0</v>
      </c>
      <c r="AJ30" s="141">
        <f t="shared" si="16"/>
        <v>0</v>
      </c>
      <c r="AK30" s="141">
        <f t="shared" si="16"/>
        <v>0</v>
      </c>
      <c r="AL30" s="141">
        <f t="shared" si="16"/>
        <v>0</v>
      </c>
      <c r="AM30" s="141">
        <f t="shared" si="16"/>
        <v>0</v>
      </c>
      <c r="AN30" s="141">
        <f t="shared" si="16"/>
        <v>0</v>
      </c>
      <c r="AO30" s="141">
        <f t="shared" si="16"/>
        <v>0</v>
      </c>
      <c r="AP30" s="141">
        <f t="shared" si="15"/>
        <v>0</v>
      </c>
      <c r="AQ30" s="141">
        <f t="shared" si="15"/>
        <v>0</v>
      </c>
      <c r="AR30" s="141">
        <f t="shared" si="15"/>
        <v>0</v>
      </c>
      <c r="AS30" s="141">
        <f t="shared" si="15"/>
        <v>0</v>
      </c>
      <c r="AT30" s="141">
        <f t="shared" si="15"/>
        <v>0</v>
      </c>
      <c r="AU30" s="141">
        <f t="shared" si="15"/>
        <v>0</v>
      </c>
      <c r="AV30" s="141">
        <f t="shared" si="15"/>
        <v>0</v>
      </c>
      <c r="AW30" s="141">
        <f t="shared" si="15"/>
        <v>0</v>
      </c>
      <c r="AX30" s="141">
        <f t="shared" si="15"/>
        <v>0</v>
      </c>
      <c r="AY30" s="141">
        <f t="shared" si="2"/>
        <v>0</v>
      </c>
      <c r="BC30" s="161">
        <f t="shared" si="4"/>
        <v>0</v>
      </c>
      <c r="BD30" s="163">
        <f t="shared" si="5"/>
        <v>0</v>
      </c>
      <c r="BE30" s="163">
        <f t="shared" si="6"/>
        <v>0</v>
      </c>
      <c r="BF30" s="163">
        <f t="shared" si="7"/>
        <v>0</v>
      </c>
      <c r="BG30" s="163">
        <f t="shared" si="8"/>
        <v>0</v>
      </c>
      <c r="BH30" s="163">
        <f t="shared" si="9"/>
        <v>0</v>
      </c>
      <c r="BI30" s="163">
        <f t="shared" si="10"/>
        <v>0</v>
      </c>
      <c r="BJ30" s="163">
        <f t="shared" si="11"/>
        <v>0</v>
      </c>
      <c r="BK30" s="163">
        <f>AY293+1</f>
        <v>1</v>
      </c>
      <c r="BL30" s="163">
        <f t="shared" si="13"/>
        <v>0</v>
      </c>
      <c r="BM30" s="163">
        <f t="shared" si="14"/>
        <v>0</v>
      </c>
      <c r="BN30" s="145">
        <f t="shared" si="3"/>
        <v>1</v>
      </c>
    </row>
    <row r="31" spans="1:66" ht="12.75" customHeight="1">
      <c r="A31"/>
      <c r="B31"/>
      <c r="C31"/>
      <c r="D31"/>
      <c r="E31"/>
      <c r="F31"/>
      <c r="G31"/>
      <c r="H31"/>
      <c r="I31"/>
      <c r="J31"/>
      <c r="K31"/>
      <c r="L31"/>
      <c r="M31" s="283"/>
      <c r="N31"/>
      <c r="O31"/>
      <c r="P31"/>
      <c r="Q31"/>
      <c r="R31"/>
      <c r="S31"/>
      <c r="T31"/>
      <c r="U31"/>
      <c r="V31"/>
      <c r="W31"/>
      <c r="X31"/>
      <c r="Y31"/>
      <c r="Z31" s="22" t="s">
        <v>287</v>
      </c>
      <c r="AA31" s="141">
        <f t="shared" si="16"/>
        <v>0</v>
      </c>
      <c r="AB31" s="141">
        <f t="shared" si="16"/>
        <v>0</v>
      </c>
      <c r="AC31" s="141">
        <f t="shared" si="16"/>
        <v>0</v>
      </c>
      <c r="AD31" s="141">
        <f t="shared" si="16"/>
        <v>0</v>
      </c>
      <c r="AE31" s="141">
        <f t="shared" si="16"/>
        <v>0</v>
      </c>
      <c r="AF31" s="141">
        <f t="shared" si="16"/>
        <v>0</v>
      </c>
      <c r="AG31" s="141">
        <f t="shared" si="16"/>
        <v>0</v>
      </c>
      <c r="AH31" s="141">
        <f t="shared" si="16"/>
        <v>0</v>
      </c>
      <c r="AI31" s="141">
        <f t="shared" si="16"/>
        <v>0</v>
      </c>
      <c r="AJ31" s="141">
        <f t="shared" si="16"/>
        <v>0</v>
      </c>
      <c r="AK31" s="141">
        <f t="shared" si="16"/>
        <v>0</v>
      </c>
      <c r="AL31" s="141">
        <f t="shared" si="16"/>
        <v>0</v>
      </c>
      <c r="AM31" s="141">
        <f t="shared" si="16"/>
        <v>0</v>
      </c>
      <c r="AN31" s="141">
        <f t="shared" si="16"/>
        <v>0</v>
      </c>
      <c r="AO31" s="141">
        <f t="shared" si="16"/>
        <v>0</v>
      </c>
      <c r="AP31" s="141">
        <f t="shared" si="15"/>
        <v>0</v>
      </c>
      <c r="AQ31" s="141">
        <f t="shared" si="15"/>
        <v>0</v>
      </c>
      <c r="AR31" s="141">
        <f t="shared" si="15"/>
        <v>0</v>
      </c>
      <c r="AS31" s="141">
        <f t="shared" si="15"/>
        <v>0</v>
      </c>
      <c r="AT31" s="141">
        <f t="shared" si="15"/>
        <v>0</v>
      </c>
      <c r="AU31" s="141">
        <f t="shared" si="15"/>
        <v>0</v>
      </c>
      <c r="AV31" s="141">
        <f t="shared" si="15"/>
        <v>0</v>
      </c>
      <c r="AW31" s="141">
        <f t="shared" si="15"/>
        <v>0</v>
      </c>
      <c r="AX31" s="141">
        <f t="shared" si="15"/>
        <v>0</v>
      </c>
      <c r="AY31" s="141">
        <f t="shared" si="2"/>
        <v>0</v>
      </c>
      <c r="BC31" s="161">
        <f t="shared" si="4"/>
        <v>0</v>
      </c>
      <c r="BD31" s="163">
        <f t="shared" si="5"/>
        <v>0</v>
      </c>
      <c r="BE31" s="163">
        <f t="shared" si="6"/>
        <v>0</v>
      </c>
      <c r="BF31" s="163">
        <f t="shared" si="7"/>
        <v>0</v>
      </c>
      <c r="BG31" s="163">
        <f t="shared" si="8"/>
        <v>0</v>
      </c>
      <c r="BH31" s="163">
        <f t="shared" si="9"/>
        <v>0</v>
      </c>
      <c r="BI31" s="163">
        <f t="shared" si="10"/>
        <v>0</v>
      </c>
      <c r="BJ31" s="163">
        <f t="shared" si="11"/>
        <v>0</v>
      </c>
      <c r="BK31" s="163">
        <f t="shared" si="12"/>
        <v>0</v>
      </c>
      <c r="BL31" s="163">
        <f t="shared" si="13"/>
        <v>0</v>
      </c>
      <c r="BM31" s="163">
        <f t="shared" si="14"/>
        <v>0</v>
      </c>
      <c r="BN31" s="145">
        <f t="shared" si="3"/>
        <v>0</v>
      </c>
    </row>
    <row r="32" spans="1:66" ht="12.75" customHeight="1">
      <c r="A32"/>
      <c r="B32"/>
      <c r="C32"/>
      <c r="D32"/>
      <c r="E32"/>
      <c r="F32"/>
      <c r="G32"/>
      <c r="H32"/>
      <c r="I32"/>
      <c r="J32"/>
      <c r="K32" s="283"/>
      <c r="L32"/>
      <c r="M32"/>
      <c r="N32"/>
      <c r="O32"/>
      <c r="P32"/>
      <c r="Q32"/>
      <c r="R32"/>
      <c r="S32" s="283"/>
      <c r="T32"/>
      <c r="U32"/>
      <c r="V32"/>
      <c r="W32"/>
      <c r="X32"/>
      <c r="Y32"/>
      <c r="Z32" s="22" t="s">
        <v>287</v>
      </c>
      <c r="AA32" s="141">
        <f t="shared" si="16"/>
        <v>0</v>
      </c>
      <c r="AB32" s="141">
        <f t="shared" si="16"/>
        <v>0</v>
      </c>
      <c r="AC32" s="141">
        <f t="shared" si="16"/>
        <v>0</v>
      </c>
      <c r="AD32" s="141">
        <f t="shared" si="16"/>
        <v>0</v>
      </c>
      <c r="AE32" s="141">
        <f t="shared" si="16"/>
        <v>0</v>
      </c>
      <c r="AF32" s="141">
        <f t="shared" si="16"/>
        <v>0</v>
      </c>
      <c r="AG32" s="141">
        <f t="shared" si="16"/>
        <v>0</v>
      </c>
      <c r="AH32" s="141">
        <f t="shared" si="16"/>
        <v>0</v>
      </c>
      <c r="AI32" s="141">
        <f t="shared" si="16"/>
        <v>0</v>
      </c>
      <c r="AJ32" s="141">
        <f t="shared" si="16"/>
        <v>0</v>
      </c>
      <c r="AK32" s="141">
        <f t="shared" si="16"/>
        <v>0</v>
      </c>
      <c r="AL32" s="141">
        <f t="shared" si="16"/>
        <v>0</v>
      </c>
      <c r="AM32" s="141">
        <f t="shared" si="16"/>
        <v>0</v>
      </c>
      <c r="AN32" s="141">
        <f t="shared" si="16"/>
        <v>0</v>
      </c>
      <c r="AO32" s="141">
        <f t="shared" si="16"/>
        <v>0</v>
      </c>
      <c r="AP32" s="141">
        <f t="shared" si="15"/>
        <v>0</v>
      </c>
      <c r="AQ32" s="141">
        <f t="shared" si="15"/>
        <v>0</v>
      </c>
      <c r="AR32" s="141">
        <f t="shared" si="15"/>
        <v>0</v>
      </c>
      <c r="AS32" s="141">
        <f t="shared" si="15"/>
        <v>0</v>
      </c>
      <c r="AT32" s="141">
        <f t="shared" si="15"/>
        <v>0</v>
      </c>
      <c r="AU32" s="141">
        <f t="shared" si="15"/>
        <v>0</v>
      </c>
      <c r="AV32" s="141">
        <f t="shared" si="15"/>
        <v>0</v>
      </c>
      <c r="AW32" s="141">
        <f t="shared" si="15"/>
        <v>0</v>
      </c>
      <c r="AX32" s="141">
        <f t="shared" si="15"/>
        <v>0</v>
      </c>
      <c r="AY32" s="141">
        <f t="shared" si="2"/>
        <v>0</v>
      </c>
      <c r="BC32" s="161">
        <f t="shared" si="4"/>
        <v>0</v>
      </c>
      <c r="BD32" s="163">
        <f t="shared" si="5"/>
        <v>0</v>
      </c>
      <c r="BE32" s="163">
        <f t="shared" si="6"/>
        <v>0</v>
      </c>
      <c r="BF32" s="163">
        <f t="shared" si="7"/>
        <v>0</v>
      </c>
      <c r="BG32" s="163">
        <f t="shared" si="8"/>
        <v>0</v>
      </c>
      <c r="BH32" s="163">
        <f t="shared" si="9"/>
        <v>0</v>
      </c>
      <c r="BI32" s="163">
        <f t="shared" si="10"/>
        <v>0</v>
      </c>
      <c r="BJ32" s="163">
        <f t="shared" si="11"/>
        <v>0</v>
      </c>
      <c r="BK32" s="163">
        <f t="shared" si="12"/>
        <v>0</v>
      </c>
      <c r="BL32" s="163">
        <f t="shared" si="13"/>
        <v>0</v>
      </c>
      <c r="BM32" s="163">
        <f t="shared" si="14"/>
        <v>0</v>
      </c>
      <c r="BN32" s="145">
        <f t="shared" si="3"/>
        <v>0</v>
      </c>
    </row>
    <row r="33" spans="1:6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 s="283"/>
      <c r="S33"/>
      <c r="T33"/>
      <c r="U33"/>
      <c r="V33"/>
      <c r="W33"/>
      <c r="X33"/>
      <c r="Y33"/>
      <c r="Z33" s="22" t="s">
        <v>287</v>
      </c>
      <c r="AA33" s="141">
        <f t="shared" si="16"/>
        <v>0</v>
      </c>
      <c r="AB33" s="141">
        <f t="shared" si="16"/>
        <v>0</v>
      </c>
      <c r="AC33" s="141">
        <f t="shared" si="16"/>
        <v>0</v>
      </c>
      <c r="AD33" s="141">
        <f t="shared" si="16"/>
        <v>0</v>
      </c>
      <c r="AE33" s="141">
        <f t="shared" si="16"/>
        <v>0</v>
      </c>
      <c r="AF33" s="141">
        <f t="shared" si="16"/>
        <v>0</v>
      </c>
      <c r="AG33" s="141">
        <f t="shared" si="16"/>
        <v>0</v>
      </c>
      <c r="AH33" s="141">
        <f t="shared" si="16"/>
        <v>0</v>
      </c>
      <c r="AI33" s="141">
        <f t="shared" si="16"/>
        <v>0</v>
      </c>
      <c r="AJ33" s="141">
        <f t="shared" si="16"/>
        <v>0</v>
      </c>
      <c r="AK33" s="141">
        <f t="shared" si="16"/>
        <v>0</v>
      </c>
      <c r="AL33" s="141">
        <f t="shared" si="16"/>
        <v>0</v>
      </c>
      <c r="AM33" s="141">
        <f t="shared" si="16"/>
        <v>0</v>
      </c>
      <c r="AN33" s="141">
        <f t="shared" si="16"/>
        <v>0</v>
      </c>
      <c r="AO33" s="141">
        <f t="shared" si="16"/>
        <v>0</v>
      </c>
      <c r="AP33" s="141">
        <f t="shared" si="16"/>
        <v>0</v>
      </c>
      <c r="AQ33" s="141">
        <f t="shared" si="15"/>
        <v>0</v>
      </c>
      <c r="AR33" s="141">
        <f t="shared" si="15"/>
        <v>0</v>
      </c>
      <c r="AS33" s="141">
        <f t="shared" si="15"/>
        <v>0</v>
      </c>
      <c r="AT33" s="141">
        <f t="shared" si="15"/>
        <v>0</v>
      </c>
      <c r="AU33" s="141">
        <f t="shared" si="15"/>
        <v>0</v>
      </c>
      <c r="AV33" s="141">
        <f t="shared" si="15"/>
        <v>0</v>
      </c>
      <c r="AW33" s="141">
        <f t="shared" si="15"/>
        <v>0</v>
      </c>
      <c r="AX33" s="141">
        <f t="shared" si="15"/>
        <v>0</v>
      </c>
      <c r="AY33" s="141">
        <f t="shared" si="2"/>
        <v>0</v>
      </c>
      <c r="BC33" s="161">
        <f t="shared" si="4"/>
        <v>0</v>
      </c>
      <c r="BD33" s="163">
        <f t="shared" si="5"/>
        <v>0</v>
      </c>
      <c r="BE33" s="163">
        <f t="shared" si="6"/>
        <v>0</v>
      </c>
      <c r="BF33" s="163">
        <f t="shared" si="7"/>
        <v>0</v>
      </c>
      <c r="BG33" s="163">
        <f t="shared" si="8"/>
        <v>0</v>
      </c>
      <c r="BH33" s="163">
        <f t="shared" si="9"/>
        <v>0</v>
      </c>
      <c r="BI33" s="163">
        <f t="shared" si="10"/>
        <v>0</v>
      </c>
      <c r="BJ33" s="163">
        <f t="shared" si="11"/>
        <v>0</v>
      </c>
      <c r="BK33" s="163">
        <f t="shared" si="12"/>
        <v>0</v>
      </c>
      <c r="BL33" s="163">
        <f t="shared" si="13"/>
        <v>0</v>
      </c>
      <c r="BM33" s="163">
        <f t="shared" si="14"/>
        <v>0</v>
      </c>
      <c r="BN33" s="145">
        <f t="shared" si="3"/>
        <v>0</v>
      </c>
    </row>
    <row r="34" spans="1:66" ht="12.75" customHeight="1">
      <c r="A34"/>
      <c r="B34" s="283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 s="22" t="s">
        <v>287</v>
      </c>
      <c r="AA34" s="141">
        <f t="shared" si="16"/>
        <v>0</v>
      </c>
      <c r="AB34" s="141">
        <f t="shared" si="16"/>
        <v>0</v>
      </c>
      <c r="AC34" s="141">
        <f t="shared" si="16"/>
        <v>0</v>
      </c>
      <c r="AD34" s="141">
        <f t="shared" si="16"/>
        <v>0</v>
      </c>
      <c r="AE34" s="141">
        <f t="shared" si="16"/>
        <v>0</v>
      </c>
      <c r="AF34" s="141">
        <f t="shared" si="16"/>
        <v>0</v>
      </c>
      <c r="AG34" s="141">
        <f t="shared" si="16"/>
        <v>0</v>
      </c>
      <c r="AH34" s="141">
        <f t="shared" si="16"/>
        <v>0</v>
      </c>
      <c r="AI34" s="141">
        <f t="shared" si="16"/>
        <v>0</v>
      </c>
      <c r="AJ34" s="141">
        <f t="shared" si="16"/>
        <v>0</v>
      </c>
      <c r="AK34" s="141">
        <f t="shared" si="16"/>
        <v>0</v>
      </c>
      <c r="AL34" s="141">
        <f t="shared" si="16"/>
        <v>0</v>
      </c>
      <c r="AM34" s="141">
        <f t="shared" si="16"/>
        <v>0</v>
      </c>
      <c r="AN34" s="141">
        <f t="shared" si="16"/>
        <v>0</v>
      </c>
      <c r="AO34" s="141">
        <f t="shared" si="16"/>
        <v>0</v>
      </c>
      <c r="AP34" s="141">
        <f t="shared" si="16"/>
        <v>0</v>
      </c>
      <c r="AQ34" s="141">
        <f t="shared" si="15"/>
        <v>0</v>
      </c>
      <c r="AR34" s="141">
        <f t="shared" si="15"/>
        <v>0</v>
      </c>
      <c r="AS34" s="141">
        <f t="shared" si="15"/>
        <v>0</v>
      </c>
      <c r="AT34" s="141">
        <f t="shared" si="15"/>
        <v>0</v>
      </c>
      <c r="AU34" s="141">
        <f t="shared" si="15"/>
        <v>0</v>
      </c>
      <c r="AV34" s="141">
        <f t="shared" si="15"/>
        <v>0</v>
      </c>
      <c r="AW34" s="141">
        <f t="shared" si="15"/>
        <v>0</v>
      </c>
      <c r="AX34" s="141">
        <f t="shared" si="15"/>
        <v>0</v>
      </c>
      <c r="AY34" s="141">
        <f t="shared" si="2"/>
        <v>0</v>
      </c>
      <c r="BC34" s="161">
        <f t="shared" si="4"/>
        <v>0</v>
      </c>
      <c r="BD34" s="163">
        <f t="shared" si="5"/>
        <v>0</v>
      </c>
      <c r="BE34" s="163">
        <f t="shared" si="6"/>
        <v>0</v>
      </c>
      <c r="BF34" s="163">
        <f t="shared" si="7"/>
        <v>0</v>
      </c>
      <c r="BG34" s="163">
        <f t="shared" si="8"/>
        <v>0</v>
      </c>
      <c r="BH34" s="163">
        <f t="shared" si="9"/>
        <v>0</v>
      </c>
      <c r="BI34" s="163">
        <f t="shared" si="10"/>
        <v>0</v>
      </c>
      <c r="BJ34" s="163">
        <f t="shared" si="11"/>
        <v>0</v>
      </c>
      <c r="BK34" s="163">
        <f t="shared" si="12"/>
        <v>0</v>
      </c>
      <c r="BL34" s="163">
        <f t="shared" si="13"/>
        <v>0</v>
      </c>
      <c r="BM34" s="163">
        <f t="shared" si="14"/>
        <v>0</v>
      </c>
      <c r="BN34" s="145">
        <f>SUM(BD34:BM34)</f>
        <v>0</v>
      </c>
    </row>
    <row r="35" spans="1:6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 s="283"/>
      <c r="P35"/>
      <c r="Q35"/>
      <c r="R35"/>
      <c r="S35"/>
      <c r="T35"/>
      <c r="U35"/>
      <c r="V35"/>
      <c r="W35"/>
      <c r="X35"/>
      <c r="Y35"/>
      <c r="Z35" s="22" t="s">
        <v>287</v>
      </c>
      <c r="AA35" s="141">
        <f t="shared" si="16"/>
        <v>0</v>
      </c>
      <c r="AB35" s="141">
        <f t="shared" si="16"/>
        <v>0</v>
      </c>
      <c r="AC35" s="141">
        <f t="shared" si="16"/>
        <v>0</v>
      </c>
      <c r="AD35" s="141">
        <f t="shared" si="16"/>
        <v>0</v>
      </c>
      <c r="AE35" s="141">
        <f t="shared" si="16"/>
        <v>0</v>
      </c>
      <c r="AF35" s="141">
        <f t="shared" si="16"/>
        <v>0</v>
      </c>
      <c r="AG35" s="141">
        <f t="shared" si="16"/>
        <v>0</v>
      </c>
      <c r="AH35" s="141">
        <f t="shared" si="16"/>
        <v>0</v>
      </c>
      <c r="AI35" s="141">
        <f t="shared" si="16"/>
        <v>0</v>
      </c>
      <c r="AJ35" s="141">
        <f t="shared" si="16"/>
        <v>0</v>
      </c>
      <c r="AK35" s="141">
        <f t="shared" si="16"/>
        <v>0</v>
      </c>
      <c r="AL35" s="141">
        <f t="shared" si="16"/>
        <v>0</v>
      </c>
      <c r="AM35" s="141">
        <f t="shared" si="16"/>
        <v>0</v>
      </c>
      <c r="AN35" s="141">
        <f t="shared" si="16"/>
        <v>0</v>
      </c>
      <c r="AO35" s="141">
        <f t="shared" si="16"/>
        <v>0</v>
      </c>
      <c r="AP35" s="141">
        <f t="shared" si="16"/>
        <v>0</v>
      </c>
      <c r="AQ35" s="141">
        <f t="shared" si="15"/>
        <v>0</v>
      </c>
      <c r="AR35" s="141">
        <f t="shared" si="15"/>
        <v>0</v>
      </c>
      <c r="AS35" s="141">
        <f t="shared" si="15"/>
        <v>0</v>
      </c>
      <c r="AT35" s="141">
        <f t="shared" si="15"/>
        <v>0</v>
      </c>
      <c r="AU35" s="141">
        <f t="shared" si="15"/>
        <v>0</v>
      </c>
      <c r="AV35" s="141">
        <f t="shared" si="15"/>
        <v>0</v>
      </c>
      <c r="AW35" s="141">
        <f t="shared" si="15"/>
        <v>0</v>
      </c>
      <c r="AX35" s="141">
        <f t="shared" si="15"/>
        <v>0</v>
      </c>
      <c r="AY35" s="141">
        <f t="shared" si="2"/>
        <v>0</v>
      </c>
      <c r="BC35" s="161">
        <f t="shared" si="4"/>
        <v>0</v>
      </c>
      <c r="BD35" s="163">
        <f t="shared" si="5"/>
        <v>0</v>
      </c>
      <c r="BE35" s="163">
        <f t="shared" si="6"/>
        <v>0</v>
      </c>
      <c r="BF35" s="163">
        <f t="shared" si="7"/>
        <v>0</v>
      </c>
      <c r="BG35" s="163">
        <f t="shared" si="8"/>
        <v>0</v>
      </c>
      <c r="BH35" s="163">
        <f t="shared" si="9"/>
        <v>0</v>
      </c>
      <c r="BI35" s="163">
        <f t="shared" si="10"/>
        <v>0</v>
      </c>
      <c r="BJ35" s="163">
        <f t="shared" si="11"/>
        <v>0</v>
      </c>
      <c r="BK35" s="163">
        <f t="shared" si="12"/>
        <v>0</v>
      </c>
      <c r="BL35" s="163">
        <f t="shared" si="13"/>
        <v>0</v>
      </c>
      <c r="BM35" s="163">
        <f t="shared" si="14"/>
        <v>0</v>
      </c>
      <c r="BN35" s="145">
        <f>SUM(BD35:BM35)</f>
        <v>0</v>
      </c>
    </row>
    <row r="36" spans="1:66">
      <c r="BC36" s="161">
        <f t="shared" si="4"/>
        <v>0</v>
      </c>
      <c r="BD36" s="163">
        <f t="shared" si="5"/>
        <v>0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0</v>
      </c>
      <c r="BL36" s="163">
        <f t="shared" si="13"/>
        <v>0</v>
      </c>
      <c r="BM36" s="163">
        <f t="shared" si="14"/>
        <v>0</v>
      </c>
      <c r="BN36" s="145">
        <f>SUM(BD36:BM36)</f>
        <v>0</v>
      </c>
    </row>
    <row r="37" spans="1:66">
      <c r="A37" s="158" t="s">
        <v>172</v>
      </c>
      <c r="BD37" s="318"/>
      <c r="BE37" s="319"/>
      <c r="BF37" s="319"/>
      <c r="BG37" s="319"/>
      <c r="BH37" s="319"/>
      <c r="BI37" s="319"/>
      <c r="BJ37" s="319"/>
      <c r="BK37" s="319"/>
      <c r="BL37" s="319"/>
      <c r="BM37" s="320"/>
      <c r="BN37" s="145"/>
    </row>
    <row r="38" spans="1:66">
      <c r="A38" s="141" t="s">
        <v>184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0</v>
      </c>
      <c r="AY38" s="141">
        <f t="shared" ref="AY38:AY68" si="19">SUM(AA38:AX38)</f>
        <v>0</v>
      </c>
      <c r="AZ38" s="22" t="s">
        <v>172</v>
      </c>
      <c r="BD38" s="162">
        <f>(100-SUM(BE38:BM38))</f>
        <v>0</v>
      </c>
      <c r="BE38" s="162">
        <f>(BE39/BN39)*100</f>
        <v>0</v>
      </c>
      <c r="BF38" s="162">
        <f>(BF39/BN39)*100</f>
        <v>0</v>
      </c>
      <c r="BG38" s="162">
        <f>(BG39/BN39)*100</f>
        <v>0</v>
      </c>
      <c r="BH38" s="162">
        <f>(BH39/BN39)*100</f>
        <v>0</v>
      </c>
      <c r="BI38" s="162">
        <f>(BI39/BN39)*100</f>
        <v>0</v>
      </c>
      <c r="BJ38" s="162">
        <f>(BJ39/BN39)*100</f>
        <v>0</v>
      </c>
      <c r="BK38" s="162">
        <f>(BK39/BN39)*100</f>
        <v>100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185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0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0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0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0</v>
      </c>
      <c r="AW39" s="141">
        <f t="shared" si="18"/>
        <v>0</v>
      </c>
      <c r="AX39" s="141">
        <f t="shared" si="18"/>
        <v>0</v>
      </c>
      <c r="AY39" s="141">
        <f t="shared" si="19"/>
        <v>0</v>
      </c>
      <c r="AZ39" s="22" t="s">
        <v>172</v>
      </c>
      <c r="BD39" s="148">
        <f>SUM(BD6:BD36)</f>
        <v>0</v>
      </c>
      <c r="BE39" s="148">
        <f t="shared" ref="BE39:BM39" si="20">SUM(BE6:BE36)</f>
        <v>0</v>
      </c>
      <c r="BF39" s="148">
        <f t="shared" si="20"/>
        <v>0</v>
      </c>
      <c r="BG39" s="148">
        <f t="shared" si="20"/>
        <v>0</v>
      </c>
      <c r="BH39" s="148">
        <f t="shared" si="20"/>
        <v>0</v>
      </c>
      <c r="BI39" s="148">
        <f t="shared" si="20"/>
        <v>0</v>
      </c>
      <c r="BJ39" s="148">
        <f t="shared" si="20"/>
        <v>0</v>
      </c>
      <c r="BK39" s="148">
        <f t="shared" si="20"/>
        <v>1</v>
      </c>
      <c r="BL39" s="148">
        <f t="shared" si="20"/>
        <v>0</v>
      </c>
      <c r="BM39" s="148">
        <f t="shared" si="20"/>
        <v>0</v>
      </c>
      <c r="BN39" s="149">
        <f>SUM(BN6:BN36)</f>
        <v>1</v>
      </c>
    </row>
    <row r="40" spans="1:66">
      <c r="A40" s="141" t="s">
        <v>186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0</v>
      </c>
      <c r="J40" s="141">
        <f t="shared" si="17"/>
        <v>0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0</v>
      </c>
      <c r="AI40" s="141">
        <f t="shared" si="18"/>
        <v>0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0</v>
      </c>
      <c r="AZ40" s="22" t="s">
        <v>172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187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0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0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0</v>
      </c>
      <c r="AZ41" s="22" t="s">
        <v>172</v>
      </c>
    </row>
    <row r="42" spans="1:66">
      <c r="A42" s="141" t="s">
        <v>188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0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0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0</v>
      </c>
      <c r="AZ42" s="22" t="s">
        <v>172</v>
      </c>
    </row>
    <row r="43" spans="1:66">
      <c r="A43" s="141" t="s">
        <v>189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0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0</v>
      </c>
      <c r="AZ43" s="22" t="s">
        <v>172</v>
      </c>
    </row>
    <row r="44" spans="1:66">
      <c r="A44" s="141" t="s">
        <v>190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0</v>
      </c>
      <c r="I44" s="141">
        <f t="shared" si="21"/>
        <v>0</v>
      </c>
      <c r="J44" s="141">
        <f t="shared" si="21"/>
        <v>0</v>
      </c>
      <c r="K44" s="141">
        <f t="shared" si="21"/>
        <v>0</v>
      </c>
      <c r="L44" s="141">
        <f t="shared" si="21"/>
        <v>0</v>
      </c>
      <c r="M44" s="141">
        <f t="shared" si="21"/>
        <v>0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0</v>
      </c>
      <c r="S44" s="141">
        <f t="shared" si="21"/>
        <v>0</v>
      </c>
      <c r="T44" s="141">
        <f t="shared" si="21"/>
        <v>0</v>
      </c>
      <c r="U44" s="141">
        <f t="shared" si="21"/>
        <v>0</v>
      </c>
      <c r="V44" s="141">
        <f t="shared" si="21"/>
        <v>0</v>
      </c>
      <c r="W44" s="141">
        <f t="shared" si="21"/>
        <v>0</v>
      </c>
      <c r="X44" s="141">
        <f t="shared" si="21"/>
        <v>0</v>
      </c>
      <c r="Y44" s="141">
        <f t="shared" si="21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0</v>
      </c>
      <c r="AU44" s="141">
        <f t="shared" si="18"/>
        <v>0</v>
      </c>
      <c r="AV44" s="141">
        <f t="shared" si="18"/>
        <v>0</v>
      </c>
      <c r="AW44" s="141">
        <f t="shared" si="18"/>
        <v>0</v>
      </c>
      <c r="AX44" s="141">
        <f t="shared" si="18"/>
        <v>0</v>
      </c>
      <c r="AY44" s="141">
        <f t="shared" si="19"/>
        <v>0</v>
      </c>
      <c r="AZ44" s="22" t="s">
        <v>172</v>
      </c>
    </row>
    <row r="45" spans="1:66">
      <c r="A45" s="141" t="s">
        <v>191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0</v>
      </c>
      <c r="AZ45" s="22" t="s">
        <v>172</v>
      </c>
    </row>
    <row r="46" spans="1:66">
      <c r="A46" s="141" t="s">
        <v>192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0</v>
      </c>
      <c r="J46" s="141">
        <f>IF(IFERROR(FIND($A$37,K11,1),0)=0,0,1)</f>
        <v>0</v>
      </c>
      <c r="K46" s="141">
        <f t="shared" si="17"/>
        <v>0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0</v>
      </c>
      <c r="V46" s="141">
        <f t="shared" si="17"/>
        <v>0</v>
      </c>
      <c r="W46" s="141">
        <f t="shared" si="17"/>
        <v>0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0</v>
      </c>
      <c r="AI46" s="141">
        <f t="shared" si="18"/>
        <v>0</v>
      </c>
      <c r="AJ46" s="141">
        <f t="shared" si="18"/>
        <v>0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0</v>
      </c>
      <c r="AU46" s="141">
        <f t="shared" si="18"/>
        <v>0</v>
      </c>
      <c r="AV46" s="141">
        <f t="shared" si="18"/>
        <v>0</v>
      </c>
      <c r="AW46" s="141">
        <f t="shared" si="18"/>
        <v>0</v>
      </c>
      <c r="AX46" s="141">
        <f t="shared" si="18"/>
        <v>0</v>
      </c>
      <c r="AY46" s="141">
        <f t="shared" si="19"/>
        <v>0</v>
      </c>
      <c r="AZ46" s="22" t="s">
        <v>172</v>
      </c>
    </row>
    <row r="47" spans="1:66">
      <c r="A47" s="141" t="s">
        <v>193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0</v>
      </c>
      <c r="W47" s="141">
        <f t="shared" si="17"/>
        <v>0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0</v>
      </c>
      <c r="AV47" s="141">
        <f t="shared" si="18"/>
        <v>0</v>
      </c>
      <c r="AW47" s="141">
        <f t="shared" si="18"/>
        <v>0</v>
      </c>
      <c r="AX47" s="141">
        <f t="shared" si="18"/>
        <v>0</v>
      </c>
      <c r="AY47" s="141">
        <f t="shared" si="19"/>
        <v>0</v>
      </c>
      <c r="AZ47" s="22" t="s">
        <v>172</v>
      </c>
    </row>
    <row r="48" spans="1:66">
      <c r="A48" s="141" t="s">
        <v>194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0</v>
      </c>
      <c r="U48" s="141">
        <f t="shared" si="22"/>
        <v>0</v>
      </c>
      <c r="V48" s="141">
        <f t="shared" si="22"/>
        <v>0</v>
      </c>
      <c r="W48" s="141">
        <f t="shared" si="22"/>
        <v>0</v>
      </c>
      <c r="X48" s="141">
        <f t="shared" si="22"/>
        <v>0</v>
      </c>
      <c r="Y48" s="141">
        <f t="shared" si="22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0</v>
      </c>
      <c r="AT48" s="141">
        <f t="shared" si="23"/>
        <v>0</v>
      </c>
      <c r="AU48" s="141">
        <f t="shared" si="23"/>
        <v>0</v>
      </c>
      <c r="AV48" s="141">
        <f t="shared" si="23"/>
        <v>0</v>
      </c>
      <c r="AW48" s="141">
        <f t="shared" si="23"/>
        <v>0</v>
      </c>
      <c r="AX48" s="141">
        <f t="shared" si="23"/>
        <v>0</v>
      </c>
      <c r="AY48" s="141">
        <f t="shared" si="19"/>
        <v>0</v>
      </c>
      <c r="AZ48" s="22" t="s">
        <v>172</v>
      </c>
    </row>
    <row r="49" spans="1:52">
      <c r="A49" s="141" t="s">
        <v>195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0</v>
      </c>
      <c r="K49" s="141">
        <f t="shared" si="24"/>
        <v>0</v>
      </c>
      <c r="L49" s="141">
        <f t="shared" si="24"/>
        <v>0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0</v>
      </c>
      <c r="U49" s="141">
        <f t="shared" si="24"/>
        <v>0</v>
      </c>
      <c r="V49" s="141">
        <f t="shared" si="24"/>
        <v>0</v>
      </c>
      <c r="W49" s="141">
        <f t="shared" si="24"/>
        <v>0</v>
      </c>
      <c r="X49" s="141">
        <f t="shared" si="24"/>
        <v>0</v>
      </c>
      <c r="Y49" s="141">
        <f t="shared" si="24"/>
        <v>0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</v>
      </c>
      <c r="AJ49" s="141">
        <f t="shared" si="25"/>
        <v>0</v>
      </c>
      <c r="AK49" s="141">
        <f t="shared" si="25"/>
        <v>0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0</v>
      </c>
      <c r="AT49" s="141">
        <f t="shared" si="23"/>
        <v>0</v>
      </c>
      <c r="AU49" s="141">
        <f t="shared" si="23"/>
        <v>0</v>
      </c>
      <c r="AV49" s="141">
        <f t="shared" si="23"/>
        <v>0</v>
      </c>
      <c r="AW49" s="141">
        <f t="shared" si="23"/>
        <v>0</v>
      </c>
      <c r="AX49" s="141">
        <f t="shared" si="23"/>
        <v>0</v>
      </c>
      <c r="AY49" s="141">
        <f t="shared" si="19"/>
        <v>0</v>
      </c>
      <c r="AZ49" s="22" t="s">
        <v>172</v>
      </c>
    </row>
    <row r="50" spans="1:52">
      <c r="A50" s="141" t="s">
        <v>196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0</v>
      </c>
      <c r="I50" s="141">
        <f t="shared" si="24"/>
        <v>0</v>
      </c>
      <c r="J50" s="141">
        <f t="shared" si="24"/>
        <v>0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0</v>
      </c>
      <c r="T50" s="141">
        <f t="shared" si="24"/>
        <v>0</v>
      </c>
      <c r="U50" s="141">
        <f t="shared" si="24"/>
        <v>0</v>
      </c>
      <c r="V50" s="141">
        <f t="shared" si="24"/>
        <v>0</v>
      </c>
      <c r="W50" s="141">
        <f t="shared" si="24"/>
        <v>0</v>
      </c>
      <c r="X50" s="141">
        <f t="shared" si="24"/>
        <v>0</v>
      </c>
      <c r="Y50" s="141">
        <f t="shared" si="24"/>
        <v>0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0</v>
      </c>
      <c r="AH50" s="141">
        <f t="shared" si="25"/>
        <v>0</v>
      </c>
      <c r="AI50" s="141">
        <f t="shared" si="25"/>
        <v>0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0</v>
      </c>
      <c r="AS50" s="141">
        <f t="shared" si="23"/>
        <v>0</v>
      </c>
      <c r="AT50" s="141">
        <f t="shared" si="23"/>
        <v>0</v>
      </c>
      <c r="AU50" s="141">
        <f t="shared" si="23"/>
        <v>0</v>
      </c>
      <c r="AV50" s="141">
        <f t="shared" si="23"/>
        <v>0</v>
      </c>
      <c r="AW50" s="141">
        <f t="shared" si="23"/>
        <v>0</v>
      </c>
      <c r="AX50" s="141">
        <f t="shared" si="23"/>
        <v>0</v>
      </c>
      <c r="AY50" s="141">
        <f t="shared" si="19"/>
        <v>0</v>
      </c>
      <c r="AZ50" s="22" t="s">
        <v>172</v>
      </c>
    </row>
    <row r="51" spans="1:52">
      <c r="A51" s="141" t="s">
        <v>197</v>
      </c>
      <c r="B51" s="141">
        <f t="shared" si="24"/>
        <v>0</v>
      </c>
      <c r="C51" s="141">
        <f t="shared" si="24"/>
        <v>0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0</v>
      </c>
      <c r="I51" s="141">
        <f t="shared" si="24"/>
        <v>0</v>
      </c>
      <c r="J51" s="141">
        <f t="shared" si="24"/>
        <v>0</v>
      </c>
      <c r="K51" s="141">
        <f t="shared" si="24"/>
        <v>0</v>
      </c>
      <c r="L51" s="141">
        <f t="shared" si="24"/>
        <v>0</v>
      </c>
      <c r="M51" s="141">
        <f t="shared" si="24"/>
        <v>0</v>
      </c>
      <c r="N51" s="141">
        <f t="shared" si="24"/>
        <v>0</v>
      </c>
      <c r="O51" s="141">
        <f t="shared" si="24"/>
        <v>0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0</v>
      </c>
      <c r="T51" s="141">
        <f t="shared" si="24"/>
        <v>0</v>
      </c>
      <c r="U51" s="141">
        <f t="shared" si="24"/>
        <v>0</v>
      </c>
      <c r="V51" s="141">
        <f t="shared" si="24"/>
        <v>0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0</v>
      </c>
      <c r="AH51" s="141">
        <f t="shared" si="25"/>
        <v>0</v>
      </c>
      <c r="AI51" s="141">
        <f t="shared" si="25"/>
        <v>0</v>
      </c>
      <c r="AJ51" s="141">
        <f t="shared" si="25"/>
        <v>0</v>
      </c>
      <c r="AK51" s="141">
        <f t="shared" si="25"/>
        <v>0</v>
      </c>
      <c r="AL51" s="141">
        <f t="shared" si="25"/>
        <v>0</v>
      </c>
      <c r="AM51" s="141">
        <f t="shared" si="25"/>
        <v>0</v>
      </c>
      <c r="AN51" s="141">
        <f t="shared" si="25"/>
        <v>0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0</v>
      </c>
      <c r="AS51" s="141">
        <f t="shared" si="23"/>
        <v>0</v>
      </c>
      <c r="AT51" s="141">
        <f t="shared" si="23"/>
        <v>0</v>
      </c>
      <c r="AU51" s="141">
        <f t="shared" si="23"/>
        <v>0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0</v>
      </c>
      <c r="AZ51" s="22" t="s">
        <v>172</v>
      </c>
    </row>
    <row r="52" spans="1:52">
      <c r="A52" s="141" t="s">
        <v>198</v>
      </c>
      <c r="B52" s="141">
        <f t="shared" si="24"/>
        <v>0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0</v>
      </c>
      <c r="J52" s="141">
        <f t="shared" si="24"/>
        <v>0</v>
      </c>
      <c r="K52" s="141">
        <f t="shared" si="24"/>
        <v>0</v>
      </c>
      <c r="L52" s="141">
        <f t="shared" si="24"/>
        <v>0</v>
      </c>
      <c r="M52" s="141">
        <f t="shared" si="24"/>
        <v>0</v>
      </c>
      <c r="N52" s="141">
        <f t="shared" si="24"/>
        <v>0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0</v>
      </c>
      <c r="V52" s="141">
        <f t="shared" si="24"/>
        <v>0</v>
      </c>
      <c r="W52" s="141">
        <f t="shared" si="24"/>
        <v>0</v>
      </c>
      <c r="X52" s="141">
        <f t="shared" si="24"/>
        <v>0</v>
      </c>
      <c r="Y52" s="141">
        <f t="shared" si="24"/>
        <v>0</v>
      </c>
      <c r="AA52" s="141">
        <f t="shared" si="25"/>
        <v>0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0</v>
      </c>
      <c r="AI52" s="141">
        <f t="shared" si="25"/>
        <v>0</v>
      </c>
      <c r="AJ52" s="141">
        <f t="shared" si="25"/>
        <v>0</v>
      </c>
      <c r="AK52" s="141">
        <f t="shared" si="25"/>
        <v>0</v>
      </c>
      <c r="AL52" s="141">
        <f t="shared" si="25"/>
        <v>0</v>
      </c>
      <c r="AM52" s="141">
        <f t="shared" si="25"/>
        <v>0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0</v>
      </c>
      <c r="AU52" s="141">
        <f t="shared" si="23"/>
        <v>0</v>
      </c>
      <c r="AV52" s="141">
        <f t="shared" si="23"/>
        <v>0</v>
      </c>
      <c r="AW52" s="141">
        <f t="shared" si="23"/>
        <v>0</v>
      </c>
      <c r="AX52" s="141">
        <f t="shared" si="23"/>
        <v>0</v>
      </c>
      <c r="AY52" s="141">
        <f t="shared" si="19"/>
        <v>0</v>
      </c>
      <c r="AZ52" s="22" t="s">
        <v>172</v>
      </c>
    </row>
    <row r="53" spans="1:52">
      <c r="A53" s="141" t="s">
        <v>199</v>
      </c>
      <c r="B53" s="141">
        <f t="shared" si="24"/>
        <v>0</v>
      </c>
      <c r="C53" s="141">
        <f t="shared" si="24"/>
        <v>0</v>
      </c>
      <c r="D53" s="141">
        <f t="shared" si="24"/>
        <v>0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0</v>
      </c>
      <c r="L53" s="141">
        <f t="shared" si="24"/>
        <v>0</v>
      </c>
      <c r="M53" s="141">
        <f t="shared" si="24"/>
        <v>0</v>
      </c>
      <c r="N53" s="141">
        <f t="shared" si="24"/>
        <v>0</v>
      </c>
      <c r="O53" s="141">
        <f t="shared" si="24"/>
        <v>0</v>
      </c>
      <c r="P53" s="141">
        <f t="shared" si="24"/>
        <v>0</v>
      </c>
      <c r="Q53" s="141">
        <f t="shared" si="24"/>
        <v>0</v>
      </c>
      <c r="R53" s="141">
        <f t="shared" si="24"/>
        <v>0</v>
      </c>
      <c r="S53" s="141">
        <f t="shared" si="24"/>
        <v>0</v>
      </c>
      <c r="T53" s="141">
        <f t="shared" si="24"/>
        <v>0</v>
      </c>
      <c r="U53" s="141">
        <f t="shared" si="24"/>
        <v>0</v>
      </c>
      <c r="V53" s="141">
        <f t="shared" si="24"/>
        <v>0</v>
      </c>
      <c r="W53" s="141">
        <f t="shared" si="24"/>
        <v>0</v>
      </c>
      <c r="X53" s="141">
        <f t="shared" si="24"/>
        <v>0</v>
      </c>
      <c r="Y53" s="141">
        <f t="shared" si="24"/>
        <v>0</v>
      </c>
      <c r="AA53" s="141">
        <f t="shared" si="25"/>
        <v>0</v>
      </c>
      <c r="AB53" s="141">
        <f t="shared" si="25"/>
        <v>0</v>
      </c>
      <c r="AC53" s="141">
        <f t="shared" si="25"/>
        <v>0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0</v>
      </c>
      <c r="AK53" s="141">
        <f t="shared" si="25"/>
        <v>0</v>
      </c>
      <c r="AL53" s="141">
        <f t="shared" si="25"/>
        <v>0</v>
      </c>
      <c r="AM53" s="141">
        <f t="shared" si="25"/>
        <v>0</v>
      </c>
      <c r="AN53" s="141">
        <f t="shared" si="25"/>
        <v>0</v>
      </c>
      <c r="AO53" s="141">
        <f t="shared" si="25"/>
        <v>0</v>
      </c>
      <c r="AP53" s="141">
        <f t="shared" si="23"/>
        <v>0</v>
      </c>
      <c r="AQ53" s="141">
        <f t="shared" si="23"/>
        <v>0</v>
      </c>
      <c r="AR53" s="141">
        <f t="shared" si="23"/>
        <v>0</v>
      </c>
      <c r="AS53" s="141">
        <f t="shared" si="23"/>
        <v>0</v>
      </c>
      <c r="AT53" s="141">
        <f t="shared" si="23"/>
        <v>0</v>
      </c>
      <c r="AU53" s="141">
        <f t="shared" si="23"/>
        <v>0</v>
      </c>
      <c r="AV53" s="141">
        <f t="shared" si="23"/>
        <v>0</v>
      </c>
      <c r="AW53" s="141">
        <f t="shared" si="23"/>
        <v>0</v>
      </c>
      <c r="AX53" s="141">
        <f t="shared" si="23"/>
        <v>0</v>
      </c>
      <c r="AY53" s="141">
        <f t="shared" si="19"/>
        <v>0</v>
      </c>
      <c r="AZ53" s="22" t="s">
        <v>172</v>
      </c>
    </row>
    <row r="54" spans="1:52">
      <c r="A54" s="141" t="s">
        <v>200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0</v>
      </c>
      <c r="G54" s="141">
        <f t="shared" si="24"/>
        <v>0</v>
      </c>
      <c r="H54" s="141">
        <f t="shared" si="24"/>
        <v>0</v>
      </c>
      <c r="I54" s="141">
        <f t="shared" si="24"/>
        <v>0</v>
      </c>
      <c r="J54" s="141">
        <f t="shared" si="24"/>
        <v>0</v>
      </c>
      <c r="K54" s="141">
        <f t="shared" si="24"/>
        <v>0</v>
      </c>
      <c r="L54" s="141">
        <f t="shared" si="24"/>
        <v>0</v>
      </c>
      <c r="M54" s="141">
        <f t="shared" si="24"/>
        <v>0</v>
      </c>
      <c r="N54" s="141">
        <f t="shared" si="24"/>
        <v>0</v>
      </c>
      <c r="O54" s="141">
        <f t="shared" si="24"/>
        <v>0</v>
      </c>
      <c r="P54" s="141">
        <f t="shared" si="24"/>
        <v>0</v>
      </c>
      <c r="Q54" s="141">
        <f t="shared" si="24"/>
        <v>0</v>
      </c>
      <c r="R54" s="141">
        <f t="shared" si="24"/>
        <v>0</v>
      </c>
      <c r="S54" s="141">
        <f t="shared" si="24"/>
        <v>0</v>
      </c>
      <c r="T54" s="141">
        <f t="shared" si="24"/>
        <v>0</v>
      </c>
      <c r="U54" s="141">
        <f t="shared" si="24"/>
        <v>0</v>
      </c>
      <c r="V54" s="141">
        <f t="shared" si="24"/>
        <v>0</v>
      </c>
      <c r="W54" s="141">
        <f t="shared" si="24"/>
        <v>0</v>
      </c>
      <c r="X54" s="141">
        <f t="shared" si="24"/>
        <v>0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</v>
      </c>
      <c r="AF54" s="141">
        <f t="shared" si="25"/>
        <v>0</v>
      </c>
      <c r="AG54" s="141">
        <f t="shared" si="25"/>
        <v>0</v>
      </c>
      <c r="AH54" s="141">
        <f t="shared" si="25"/>
        <v>0</v>
      </c>
      <c r="AI54" s="141">
        <f t="shared" si="25"/>
        <v>0</v>
      </c>
      <c r="AJ54" s="141">
        <f t="shared" si="25"/>
        <v>0</v>
      </c>
      <c r="AK54" s="141">
        <f t="shared" si="25"/>
        <v>0</v>
      </c>
      <c r="AL54" s="141">
        <f t="shared" si="25"/>
        <v>0</v>
      </c>
      <c r="AM54" s="141">
        <f t="shared" si="25"/>
        <v>0</v>
      </c>
      <c r="AN54" s="141">
        <f t="shared" si="25"/>
        <v>0</v>
      </c>
      <c r="AO54" s="141">
        <f t="shared" si="25"/>
        <v>0</v>
      </c>
      <c r="AP54" s="141">
        <f t="shared" si="23"/>
        <v>0</v>
      </c>
      <c r="AQ54" s="141">
        <f t="shared" si="23"/>
        <v>0</v>
      </c>
      <c r="AR54" s="141">
        <f t="shared" si="23"/>
        <v>0</v>
      </c>
      <c r="AS54" s="141">
        <f t="shared" si="23"/>
        <v>0</v>
      </c>
      <c r="AT54" s="141">
        <f t="shared" si="23"/>
        <v>0</v>
      </c>
      <c r="AU54" s="141">
        <f t="shared" si="23"/>
        <v>0</v>
      </c>
      <c r="AV54" s="141">
        <f t="shared" si="23"/>
        <v>0</v>
      </c>
      <c r="AW54" s="141">
        <f t="shared" si="23"/>
        <v>0</v>
      </c>
      <c r="AX54" s="141">
        <f t="shared" si="23"/>
        <v>0</v>
      </c>
      <c r="AY54" s="141">
        <f t="shared" si="19"/>
        <v>0</v>
      </c>
      <c r="AZ54" s="22" t="s">
        <v>172</v>
      </c>
    </row>
    <row r="55" spans="1:52">
      <c r="A55" s="141" t="s">
        <v>201</v>
      </c>
      <c r="B55" s="141">
        <f t="shared" si="24"/>
        <v>0</v>
      </c>
      <c r="C55" s="141">
        <f t="shared" si="24"/>
        <v>0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41">
        <f t="shared" si="24"/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1">
        <f t="shared" si="24"/>
        <v>0</v>
      </c>
      <c r="T55" s="141">
        <f t="shared" si="24"/>
        <v>0</v>
      </c>
      <c r="U55" s="141">
        <f t="shared" si="24"/>
        <v>0</v>
      </c>
      <c r="V55" s="141">
        <f t="shared" si="24"/>
        <v>0</v>
      </c>
      <c r="W55" s="141">
        <f t="shared" si="24"/>
        <v>0</v>
      </c>
      <c r="X55" s="141">
        <f t="shared" si="24"/>
        <v>0</v>
      </c>
      <c r="Y55" s="141">
        <f t="shared" si="24"/>
        <v>0</v>
      </c>
      <c r="AA55" s="141">
        <f t="shared" si="25"/>
        <v>0</v>
      </c>
      <c r="AB55" s="141">
        <f t="shared" si="25"/>
        <v>0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0</v>
      </c>
      <c r="AJ55" s="141">
        <f t="shared" si="25"/>
        <v>0</v>
      </c>
      <c r="AK55" s="141">
        <f t="shared" si="25"/>
        <v>0</v>
      </c>
      <c r="AL55" s="141">
        <f t="shared" si="25"/>
        <v>0</v>
      </c>
      <c r="AM55" s="141">
        <f t="shared" si="25"/>
        <v>0</v>
      </c>
      <c r="AN55" s="141">
        <f t="shared" si="25"/>
        <v>0</v>
      </c>
      <c r="AO55" s="141">
        <f t="shared" si="25"/>
        <v>0</v>
      </c>
      <c r="AP55" s="141">
        <f t="shared" si="23"/>
        <v>0</v>
      </c>
      <c r="AQ55" s="141">
        <f t="shared" si="23"/>
        <v>0</v>
      </c>
      <c r="AR55" s="141">
        <f t="shared" si="23"/>
        <v>0</v>
      </c>
      <c r="AS55" s="141">
        <f t="shared" si="23"/>
        <v>0</v>
      </c>
      <c r="AT55" s="141">
        <f t="shared" si="23"/>
        <v>0</v>
      </c>
      <c r="AU55" s="141">
        <f t="shared" si="23"/>
        <v>0</v>
      </c>
      <c r="AV55" s="141">
        <f t="shared" si="23"/>
        <v>0</v>
      </c>
      <c r="AW55" s="141">
        <f t="shared" si="23"/>
        <v>0</v>
      </c>
      <c r="AX55" s="141">
        <f t="shared" si="23"/>
        <v>0</v>
      </c>
      <c r="AY55" s="141">
        <f t="shared" si="19"/>
        <v>0</v>
      </c>
      <c r="AZ55" s="22" t="s">
        <v>172</v>
      </c>
    </row>
    <row r="56" spans="1:52">
      <c r="A56" s="141" t="s">
        <v>202</v>
      </c>
      <c r="B56" s="141">
        <f t="shared" si="24"/>
        <v>0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0</v>
      </c>
      <c r="K56" s="141">
        <f t="shared" si="24"/>
        <v>0</v>
      </c>
      <c r="L56" s="141">
        <f t="shared" si="24"/>
        <v>0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0</v>
      </c>
      <c r="V56" s="141">
        <f t="shared" si="24"/>
        <v>0</v>
      </c>
      <c r="W56" s="141">
        <f t="shared" si="24"/>
        <v>0</v>
      </c>
      <c r="X56" s="141">
        <f t="shared" si="24"/>
        <v>0</v>
      </c>
      <c r="Y56" s="141">
        <f t="shared" si="24"/>
        <v>0</v>
      </c>
      <c r="AA56" s="141">
        <f t="shared" si="25"/>
        <v>0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</v>
      </c>
      <c r="AJ56" s="141">
        <f t="shared" si="25"/>
        <v>0</v>
      </c>
      <c r="AK56" s="141">
        <f t="shared" si="25"/>
        <v>0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0</v>
      </c>
      <c r="AU56" s="141">
        <f t="shared" si="23"/>
        <v>0</v>
      </c>
      <c r="AV56" s="141">
        <f t="shared" si="23"/>
        <v>0</v>
      </c>
      <c r="AW56" s="141">
        <f t="shared" si="23"/>
        <v>0</v>
      </c>
      <c r="AX56" s="141">
        <f t="shared" si="23"/>
        <v>0</v>
      </c>
      <c r="AY56" s="141">
        <f t="shared" si="19"/>
        <v>0</v>
      </c>
      <c r="AZ56" s="22" t="s">
        <v>172</v>
      </c>
    </row>
    <row r="57" spans="1:52">
      <c r="A57" s="141" t="s">
        <v>203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0</v>
      </c>
      <c r="U57" s="141">
        <f t="shared" si="24"/>
        <v>0</v>
      </c>
      <c r="V57" s="141">
        <f t="shared" si="24"/>
        <v>0</v>
      </c>
      <c r="W57" s="141">
        <f t="shared" si="24"/>
        <v>0</v>
      </c>
      <c r="X57" s="141">
        <f t="shared" si="24"/>
        <v>0</v>
      </c>
      <c r="Y57" s="141">
        <f t="shared" si="24"/>
        <v>0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0</v>
      </c>
      <c r="AJ57" s="141">
        <f t="shared" si="25"/>
        <v>0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0</v>
      </c>
      <c r="AT57" s="141">
        <f t="shared" si="23"/>
        <v>0</v>
      </c>
      <c r="AU57" s="141">
        <f t="shared" si="23"/>
        <v>0</v>
      </c>
      <c r="AV57" s="141">
        <f t="shared" si="23"/>
        <v>0</v>
      </c>
      <c r="AW57" s="141">
        <f t="shared" si="23"/>
        <v>0</v>
      </c>
      <c r="AX57" s="141">
        <f t="shared" si="23"/>
        <v>0</v>
      </c>
      <c r="AY57" s="141">
        <f t="shared" si="19"/>
        <v>0</v>
      </c>
      <c r="AZ57" s="22" t="s">
        <v>172</v>
      </c>
    </row>
    <row r="58" spans="1:52">
      <c r="A58" s="141" t="s">
        <v>204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0</v>
      </c>
      <c r="I58" s="141">
        <f t="shared" si="24"/>
        <v>0</v>
      </c>
      <c r="J58" s="141">
        <f t="shared" si="24"/>
        <v>0</v>
      </c>
      <c r="K58" s="141">
        <f t="shared" si="24"/>
        <v>0</v>
      </c>
      <c r="L58" s="141">
        <f t="shared" si="24"/>
        <v>0</v>
      </c>
      <c r="M58" s="141">
        <f t="shared" si="24"/>
        <v>0</v>
      </c>
      <c r="N58" s="141">
        <f t="shared" si="24"/>
        <v>0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0</v>
      </c>
      <c r="U58" s="141">
        <f t="shared" si="24"/>
        <v>0</v>
      </c>
      <c r="V58" s="141">
        <f t="shared" si="24"/>
        <v>0</v>
      </c>
      <c r="W58" s="141">
        <f t="shared" si="24"/>
        <v>0</v>
      </c>
      <c r="X58" s="141">
        <f t="shared" si="24"/>
        <v>0</v>
      </c>
      <c r="Y58" s="141">
        <f t="shared" si="24"/>
        <v>0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0</v>
      </c>
      <c r="AH58" s="141">
        <f t="shared" si="25"/>
        <v>0</v>
      </c>
      <c r="AI58" s="141">
        <f t="shared" si="25"/>
        <v>0</v>
      </c>
      <c r="AJ58" s="141">
        <f t="shared" si="25"/>
        <v>0</v>
      </c>
      <c r="AK58" s="141">
        <f t="shared" si="25"/>
        <v>0</v>
      </c>
      <c r="AL58" s="141">
        <f t="shared" si="25"/>
        <v>0</v>
      </c>
      <c r="AM58" s="141">
        <f t="shared" si="25"/>
        <v>0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</v>
      </c>
      <c r="AT58" s="141">
        <f t="shared" si="23"/>
        <v>0</v>
      </c>
      <c r="AU58" s="141">
        <f t="shared" si="23"/>
        <v>0</v>
      </c>
      <c r="AV58" s="141">
        <f t="shared" si="23"/>
        <v>0</v>
      </c>
      <c r="AW58" s="141">
        <f t="shared" si="23"/>
        <v>0</v>
      </c>
      <c r="AX58" s="141">
        <f t="shared" si="23"/>
        <v>0</v>
      </c>
      <c r="AY58" s="141">
        <f t="shared" si="19"/>
        <v>0</v>
      </c>
      <c r="AZ58" s="22" t="s">
        <v>172</v>
      </c>
    </row>
    <row r="59" spans="1:52">
      <c r="A59" s="141" t="s">
        <v>205</v>
      </c>
      <c r="B59" s="141">
        <f t="shared" si="24"/>
        <v>0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0</v>
      </c>
      <c r="J59" s="141">
        <f t="shared" si="24"/>
        <v>0</v>
      </c>
      <c r="K59" s="141">
        <f t="shared" si="24"/>
        <v>0</v>
      </c>
      <c r="L59" s="141">
        <f t="shared" si="24"/>
        <v>0</v>
      </c>
      <c r="M59" s="141">
        <f t="shared" si="24"/>
        <v>0</v>
      </c>
      <c r="N59" s="141">
        <f t="shared" si="24"/>
        <v>0</v>
      </c>
      <c r="O59" s="141">
        <f t="shared" si="24"/>
        <v>0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0</v>
      </c>
      <c r="S59" s="141">
        <f t="shared" si="26"/>
        <v>0</v>
      </c>
      <c r="T59" s="141">
        <f t="shared" si="26"/>
        <v>0</v>
      </c>
      <c r="U59" s="141">
        <f t="shared" si="26"/>
        <v>0</v>
      </c>
      <c r="V59" s="141">
        <f t="shared" si="26"/>
        <v>0</v>
      </c>
      <c r="W59" s="141">
        <f t="shared" si="26"/>
        <v>0</v>
      </c>
      <c r="X59" s="141">
        <f t="shared" si="26"/>
        <v>0</v>
      </c>
      <c r="Y59" s="141">
        <f t="shared" si="26"/>
        <v>0</v>
      </c>
      <c r="AA59" s="141">
        <f t="shared" si="25"/>
        <v>0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0</v>
      </c>
      <c r="AI59" s="141">
        <f t="shared" si="25"/>
        <v>0</v>
      </c>
      <c r="AJ59" s="141">
        <f t="shared" si="25"/>
        <v>0</v>
      </c>
      <c r="AK59" s="141">
        <f t="shared" si="25"/>
        <v>0</v>
      </c>
      <c r="AL59" s="141">
        <f t="shared" si="25"/>
        <v>0</v>
      </c>
      <c r="AM59" s="141">
        <f t="shared" si="25"/>
        <v>0</v>
      </c>
      <c r="AN59" s="141">
        <f t="shared" si="25"/>
        <v>0</v>
      </c>
      <c r="AO59" s="141">
        <f t="shared" si="25"/>
        <v>0</v>
      </c>
      <c r="AP59" s="141">
        <f t="shared" si="23"/>
        <v>0</v>
      </c>
      <c r="AQ59" s="141">
        <f t="shared" si="23"/>
        <v>0</v>
      </c>
      <c r="AR59" s="141">
        <f t="shared" si="23"/>
        <v>0</v>
      </c>
      <c r="AS59" s="141">
        <f t="shared" si="23"/>
        <v>0</v>
      </c>
      <c r="AT59" s="141">
        <f t="shared" si="23"/>
        <v>0</v>
      </c>
      <c r="AU59" s="141">
        <f t="shared" si="23"/>
        <v>0</v>
      </c>
      <c r="AV59" s="141">
        <f t="shared" si="23"/>
        <v>0</v>
      </c>
      <c r="AW59" s="141">
        <f t="shared" si="23"/>
        <v>0</v>
      </c>
      <c r="AX59" s="141">
        <f t="shared" si="23"/>
        <v>0</v>
      </c>
      <c r="AY59" s="141">
        <f t="shared" si="19"/>
        <v>0</v>
      </c>
      <c r="AZ59" s="22" t="s">
        <v>172</v>
      </c>
    </row>
    <row r="60" spans="1:52">
      <c r="A60" s="141" t="s">
        <v>206</v>
      </c>
      <c r="B60" s="141">
        <f t="shared" ref="B60:Y68" si="27">IF(IFERROR(FIND($A$37,B27,1),0)=0,0,1)</f>
        <v>0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0</v>
      </c>
      <c r="I60" s="141">
        <f t="shared" si="27"/>
        <v>0</v>
      </c>
      <c r="J60" s="141">
        <f t="shared" si="27"/>
        <v>0</v>
      </c>
      <c r="K60" s="141">
        <f t="shared" si="27"/>
        <v>0</v>
      </c>
      <c r="L60" s="141">
        <f t="shared" si="27"/>
        <v>0</v>
      </c>
      <c r="M60" s="141">
        <f t="shared" si="27"/>
        <v>0</v>
      </c>
      <c r="N60" s="141">
        <f t="shared" si="27"/>
        <v>0</v>
      </c>
      <c r="O60" s="141">
        <f t="shared" si="27"/>
        <v>0</v>
      </c>
      <c r="P60" s="141">
        <f t="shared" si="27"/>
        <v>0</v>
      </c>
      <c r="Q60" s="141">
        <f t="shared" si="27"/>
        <v>0</v>
      </c>
      <c r="R60" s="141">
        <f t="shared" si="27"/>
        <v>0</v>
      </c>
      <c r="S60" s="141">
        <f t="shared" si="27"/>
        <v>0</v>
      </c>
      <c r="T60" s="141">
        <f t="shared" si="27"/>
        <v>0</v>
      </c>
      <c r="U60" s="141">
        <f t="shared" si="27"/>
        <v>0</v>
      </c>
      <c r="V60" s="141">
        <f t="shared" si="27"/>
        <v>0</v>
      </c>
      <c r="W60" s="141">
        <f t="shared" si="27"/>
        <v>0</v>
      </c>
      <c r="X60" s="141">
        <f t="shared" si="27"/>
        <v>0</v>
      </c>
      <c r="Y60" s="141">
        <f t="shared" si="27"/>
        <v>0</v>
      </c>
      <c r="AA60" s="141">
        <f t="shared" si="25"/>
        <v>0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</v>
      </c>
      <c r="AH60" s="141">
        <f t="shared" si="25"/>
        <v>0</v>
      </c>
      <c r="AI60" s="141">
        <f t="shared" si="25"/>
        <v>0</v>
      </c>
      <c r="AJ60" s="141">
        <f t="shared" si="25"/>
        <v>0</v>
      </c>
      <c r="AK60" s="141">
        <f t="shared" si="25"/>
        <v>0</v>
      </c>
      <c r="AL60" s="141">
        <f t="shared" si="25"/>
        <v>0</v>
      </c>
      <c r="AM60" s="141">
        <f t="shared" si="25"/>
        <v>0</v>
      </c>
      <c r="AN60" s="141">
        <f t="shared" si="25"/>
        <v>0</v>
      </c>
      <c r="AO60" s="141">
        <f t="shared" si="25"/>
        <v>0</v>
      </c>
      <c r="AP60" s="141">
        <f t="shared" si="23"/>
        <v>0</v>
      </c>
      <c r="AQ60" s="141">
        <f t="shared" si="23"/>
        <v>0</v>
      </c>
      <c r="AR60" s="141">
        <f t="shared" si="23"/>
        <v>0</v>
      </c>
      <c r="AS60" s="141">
        <f t="shared" si="23"/>
        <v>0</v>
      </c>
      <c r="AT60" s="141">
        <f t="shared" si="23"/>
        <v>0</v>
      </c>
      <c r="AU60" s="141">
        <f t="shared" si="23"/>
        <v>0</v>
      </c>
      <c r="AV60" s="141">
        <f t="shared" si="23"/>
        <v>0</v>
      </c>
      <c r="AW60" s="141">
        <f t="shared" si="23"/>
        <v>0</v>
      </c>
      <c r="AX60" s="141">
        <f t="shared" si="23"/>
        <v>0</v>
      </c>
      <c r="AY60" s="141">
        <f t="shared" si="19"/>
        <v>0</v>
      </c>
      <c r="AZ60" s="22" t="s">
        <v>172</v>
      </c>
    </row>
    <row r="61" spans="1:52">
      <c r="A61" s="141" t="s">
        <v>207</v>
      </c>
      <c r="B61" s="141">
        <f t="shared" si="27"/>
        <v>0</v>
      </c>
      <c r="C61" s="141">
        <f t="shared" si="27"/>
        <v>0</v>
      </c>
      <c r="D61" s="141">
        <f t="shared" si="27"/>
        <v>0</v>
      </c>
      <c r="E61" s="141">
        <f t="shared" si="27"/>
        <v>0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0</v>
      </c>
      <c r="J61" s="141">
        <f t="shared" si="27"/>
        <v>0</v>
      </c>
      <c r="K61" s="141">
        <f t="shared" si="27"/>
        <v>0</v>
      </c>
      <c r="L61" s="141">
        <f t="shared" si="27"/>
        <v>0</v>
      </c>
      <c r="M61" s="141">
        <f t="shared" si="27"/>
        <v>0</v>
      </c>
      <c r="N61" s="141">
        <f t="shared" si="27"/>
        <v>0</v>
      </c>
      <c r="O61" s="141">
        <f t="shared" si="27"/>
        <v>0</v>
      </c>
      <c r="P61" s="141">
        <f t="shared" si="27"/>
        <v>0</v>
      </c>
      <c r="Q61" s="141">
        <f t="shared" si="27"/>
        <v>0</v>
      </c>
      <c r="R61" s="141">
        <f t="shared" si="27"/>
        <v>0</v>
      </c>
      <c r="S61" s="141">
        <f t="shared" si="27"/>
        <v>0</v>
      </c>
      <c r="T61" s="141">
        <f t="shared" si="27"/>
        <v>0</v>
      </c>
      <c r="U61" s="141">
        <f t="shared" si="27"/>
        <v>0</v>
      </c>
      <c r="V61" s="141">
        <f t="shared" si="27"/>
        <v>0</v>
      </c>
      <c r="W61" s="141">
        <f t="shared" si="27"/>
        <v>0</v>
      </c>
      <c r="X61" s="141">
        <f t="shared" si="27"/>
        <v>0</v>
      </c>
      <c r="Y61" s="141">
        <f t="shared" si="27"/>
        <v>0</v>
      </c>
      <c r="AA61" s="141">
        <f t="shared" si="25"/>
        <v>0</v>
      </c>
      <c r="AB61" s="141">
        <f t="shared" si="25"/>
        <v>0</v>
      </c>
      <c r="AC61" s="141">
        <f t="shared" si="25"/>
        <v>0</v>
      </c>
      <c r="AD61" s="141">
        <f t="shared" si="25"/>
        <v>0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0</v>
      </c>
      <c r="AI61" s="141">
        <f t="shared" si="25"/>
        <v>0</v>
      </c>
      <c r="AJ61" s="141">
        <f t="shared" si="25"/>
        <v>0</v>
      </c>
      <c r="AK61" s="141">
        <f t="shared" si="25"/>
        <v>0</v>
      </c>
      <c r="AL61" s="141">
        <f t="shared" si="25"/>
        <v>0</v>
      </c>
      <c r="AM61" s="141">
        <f t="shared" si="25"/>
        <v>0</v>
      </c>
      <c r="AN61" s="141">
        <f t="shared" si="25"/>
        <v>0</v>
      </c>
      <c r="AO61" s="141">
        <f t="shared" si="25"/>
        <v>0</v>
      </c>
      <c r="AP61" s="141">
        <f t="shared" si="23"/>
        <v>0</v>
      </c>
      <c r="AQ61" s="141">
        <f t="shared" si="23"/>
        <v>0</v>
      </c>
      <c r="AR61" s="141">
        <f t="shared" si="23"/>
        <v>0</v>
      </c>
      <c r="AS61" s="141">
        <f t="shared" si="23"/>
        <v>0</v>
      </c>
      <c r="AT61" s="141">
        <f t="shared" si="23"/>
        <v>0</v>
      </c>
      <c r="AU61" s="141">
        <f t="shared" si="23"/>
        <v>0</v>
      </c>
      <c r="AV61" s="141">
        <f t="shared" si="23"/>
        <v>0</v>
      </c>
      <c r="AW61" s="141">
        <f t="shared" si="23"/>
        <v>0</v>
      </c>
      <c r="AX61" s="141">
        <f t="shared" si="23"/>
        <v>0</v>
      </c>
      <c r="AY61" s="141">
        <f t="shared" si="19"/>
        <v>0</v>
      </c>
      <c r="AZ61" s="22" t="s">
        <v>172</v>
      </c>
    </row>
    <row r="62" spans="1:52">
      <c r="A62" s="141" t="s">
        <v>208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0</v>
      </c>
      <c r="J62" s="141">
        <f t="shared" si="27"/>
        <v>0</v>
      </c>
      <c r="K62" s="141">
        <f t="shared" si="27"/>
        <v>0</v>
      </c>
      <c r="L62" s="141">
        <f t="shared" si="27"/>
        <v>0</v>
      </c>
      <c r="M62" s="141">
        <f t="shared" si="27"/>
        <v>0</v>
      </c>
      <c r="N62" s="141">
        <f t="shared" si="27"/>
        <v>0</v>
      </c>
      <c r="O62" s="141">
        <f t="shared" si="27"/>
        <v>0</v>
      </c>
      <c r="P62" s="141">
        <f t="shared" si="27"/>
        <v>0</v>
      </c>
      <c r="Q62" s="141">
        <f t="shared" si="27"/>
        <v>0</v>
      </c>
      <c r="R62" s="141">
        <f t="shared" si="27"/>
        <v>0</v>
      </c>
      <c r="S62" s="141">
        <f t="shared" si="27"/>
        <v>0</v>
      </c>
      <c r="T62" s="141">
        <f t="shared" si="27"/>
        <v>0</v>
      </c>
      <c r="U62" s="141">
        <f t="shared" si="27"/>
        <v>0</v>
      </c>
      <c r="V62" s="141">
        <f t="shared" si="27"/>
        <v>0</v>
      </c>
      <c r="W62" s="141">
        <f t="shared" si="27"/>
        <v>0</v>
      </c>
      <c r="X62" s="141">
        <f t="shared" si="27"/>
        <v>0</v>
      </c>
      <c r="Y62" s="141">
        <f t="shared" si="27"/>
        <v>0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0</v>
      </c>
      <c r="AI62" s="141">
        <f t="shared" si="25"/>
        <v>0</v>
      </c>
      <c r="AJ62" s="141">
        <f t="shared" si="25"/>
        <v>0</v>
      </c>
      <c r="AK62" s="141">
        <f t="shared" si="25"/>
        <v>0</v>
      </c>
      <c r="AL62" s="141">
        <f t="shared" si="25"/>
        <v>0</v>
      </c>
      <c r="AM62" s="141">
        <f t="shared" si="25"/>
        <v>0</v>
      </c>
      <c r="AN62" s="141">
        <f t="shared" si="25"/>
        <v>0</v>
      </c>
      <c r="AO62" s="141">
        <f t="shared" si="25"/>
        <v>0</v>
      </c>
      <c r="AP62" s="141">
        <f t="shared" si="23"/>
        <v>0</v>
      </c>
      <c r="AQ62" s="141">
        <f t="shared" si="23"/>
        <v>0</v>
      </c>
      <c r="AR62" s="141">
        <f t="shared" si="23"/>
        <v>0</v>
      </c>
      <c r="AS62" s="141">
        <f t="shared" si="23"/>
        <v>0</v>
      </c>
      <c r="AT62" s="141">
        <f t="shared" si="23"/>
        <v>0</v>
      </c>
      <c r="AU62" s="141">
        <f t="shared" si="23"/>
        <v>0</v>
      </c>
      <c r="AV62" s="141">
        <f t="shared" si="23"/>
        <v>0</v>
      </c>
      <c r="AW62" s="141">
        <f t="shared" si="23"/>
        <v>0</v>
      </c>
      <c r="AX62" s="141">
        <f t="shared" si="23"/>
        <v>0</v>
      </c>
      <c r="AY62" s="141">
        <f t="shared" si="19"/>
        <v>0</v>
      </c>
      <c r="AZ62" s="22" t="s">
        <v>172</v>
      </c>
    </row>
    <row r="63" spans="1:52">
      <c r="A63" s="141" t="s">
        <v>209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0</v>
      </c>
      <c r="O63" s="141">
        <f t="shared" si="27"/>
        <v>0</v>
      </c>
      <c r="P63" s="141">
        <f t="shared" si="27"/>
        <v>0</v>
      </c>
      <c r="Q63" s="141">
        <f t="shared" si="27"/>
        <v>0</v>
      </c>
      <c r="R63" s="141">
        <f t="shared" si="27"/>
        <v>0</v>
      </c>
      <c r="S63" s="141">
        <f t="shared" si="27"/>
        <v>0</v>
      </c>
      <c r="T63" s="141">
        <f t="shared" si="27"/>
        <v>0</v>
      </c>
      <c r="U63" s="141">
        <f t="shared" si="27"/>
        <v>0</v>
      </c>
      <c r="V63" s="141">
        <f t="shared" si="27"/>
        <v>0</v>
      </c>
      <c r="W63" s="141">
        <f t="shared" si="27"/>
        <v>0</v>
      </c>
      <c r="X63" s="141">
        <f t="shared" si="27"/>
        <v>0</v>
      </c>
      <c r="Y63" s="141">
        <f t="shared" si="27"/>
        <v>0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0</v>
      </c>
      <c r="AH63" s="141">
        <f t="shared" si="25"/>
        <v>0</v>
      </c>
      <c r="AI63" s="141">
        <f t="shared" si="25"/>
        <v>0</v>
      </c>
      <c r="AJ63" s="141">
        <f t="shared" si="25"/>
        <v>0</v>
      </c>
      <c r="AK63" s="141">
        <f t="shared" si="25"/>
        <v>0</v>
      </c>
      <c r="AL63" s="141">
        <f t="shared" si="25"/>
        <v>0</v>
      </c>
      <c r="AM63" s="141">
        <f t="shared" si="25"/>
        <v>0</v>
      </c>
      <c r="AN63" s="141">
        <f t="shared" si="25"/>
        <v>0</v>
      </c>
      <c r="AO63" s="141">
        <f t="shared" si="25"/>
        <v>0</v>
      </c>
      <c r="AP63" s="141">
        <f t="shared" si="23"/>
        <v>0</v>
      </c>
      <c r="AQ63" s="141">
        <f t="shared" si="23"/>
        <v>0</v>
      </c>
      <c r="AR63" s="141">
        <f t="shared" si="23"/>
        <v>0</v>
      </c>
      <c r="AS63" s="141">
        <f t="shared" si="23"/>
        <v>0</v>
      </c>
      <c r="AT63" s="141">
        <f t="shared" si="23"/>
        <v>0</v>
      </c>
      <c r="AU63" s="141">
        <f t="shared" si="23"/>
        <v>0</v>
      </c>
      <c r="AV63" s="141">
        <f t="shared" si="23"/>
        <v>0</v>
      </c>
      <c r="AW63" s="141">
        <f t="shared" si="23"/>
        <v>0</v>
      </c>
      <c r="AX63" s="141">
        <f t="shared" si="23"/>
        <v>0</v>
      </c>
      <c r="AY63" s="141">
        <f t="shared" si="19"/>
        <v>0</v>
      </c>
      <c r="AZ63" s="22" t="s">
        <v>172</v>
      </c>
    </row>
    <row r="64" spans="1:52">
      <c r="A64" s="141" t="s">
        <v>210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0</v>
      </c>
      <c r="H64" s="141">
        <f t="shared" si="27"/>
        <v>0</v>
      </c>
      <c r="I64" s="141">
        <f t="shared" si="27"/>
        <v>0</v>
      </c>
      <c r="J64" s="141">
        <f t="shared" si="27"/>
        <v>0</v>
      </c>
      <c r="K64" s="141">
        <f t="shared" si="27"/>
        <v>0</v>
      </c>
      <c r="L64" s="141">
        <f t="shared" si="27"/>
        <v>0</v>
      </c>
      <c r="M64" s="141">
        <f t="shared" si="27"/>
        <v>0</v>
      </c>
      <c r="N64" s="141">
        <f t="shared" si="27"/>
        <v>0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0</v>
      </c>
      <c r="U64" s="141">
        <f t="shared" si="27"/>
        <v>0</v>
      </c>
      <c r="V64" s="141">
        <f t="shared" si="27"/>
        <v>0</v>
      </c>
      <c r="W64" s="141">
        <f t="shared" si="27"/>
        <v>0</v>
      </c>
      <c r="X64" s="141">
        <f t="shared" si="27"/>
        <v>0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0</v>
      </c>
      <c r="AG64" s="141">
        <f t="shared" si="25"/>
        <v>0</v>
      </c>
      <c r="AH64" s="141">
        <f t="shared" si="25"/>
        <v>0</v>
      </c>
      <c r="AI64" s="141">
        <f t="shared" si="25"/>
        <v>0</v>
      </c>
      <c r="AJ64" s="141">
        <f t="shared" si="25"/>
        <v>0</v>
      </c>
      <c r="AK64" s="141">
        <f t="shared" si="25"/>
        <v>0</v>
      </c>
      <c r="AL64" s="141">
        <f t="shared" si="25"/>
        <v>0</v>
      </c>
      <c r="AM64" s="141">
        <f t="shared" si="25"/>
        <v>0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0</v>
      </c>
      <c r="AT64" s="141">
        <f t="shared" si="28"/>
        <v>0</v>
      </c>
      <c r="AU64" s="141">
        <f t="shared" si="28"/>
        <v>0</v>
      </c>
      <c r="AV64" s="141">
        <f t="shared" si="28"/>
        <v>0</v>
      </c>
      <c r="AW64" s="141">
        <f t="shared" si="28"/>
        <v>0</v>
      </c>
      <c r="AX64" s="141">
        <f t="shared" si="28"/>
        <v>0</v>
      </c>
      <c r="AY64" s="141">
        <f t="shared" si="19"/>
        <v>0</v>
      </c>
      <c r="AZ64" s="22" t="s">
        <v>172</v>
      </c>
    </row>
    <row r="65" spans="1:52">
      <c r="A65" s="141" t="s">
        <v>211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0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0</v>
      </c>
      <c r="V65" s="141">
        <f t="shared" si="27"/>
        <v>0</v>
      </c>
      <c r="W65" s="141">
        <f t="shared" si="27"/>
        <v>0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0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0</v>
      </c>
      <c r="AU65" s="141">
        <f t="shared" si="28"/>
        <v>0</v>
      </c>
      <c r="AV65" s="141">
        <f t="shared" si="28"/>
        <v>0</v>
      </c>
      <c r="AW65" s="141">
        <f t="shared" si="28"/>
        <v>0</v>
      </c>
      <c r="AX65" s="141">
        <f t="shared" si="28"/>
        <v>0</v>
      </c>
      <c r="AY65" s="141">
        <f t="shared" si="19"/>
        <v>0</v>
      </c>
      <c r="AZ65" s="22" t="s">
        <v>172</v>
      </c>
    </row>
    <row r="66" spans="1:52">
      <c r="A66" s="141" t="s">
        <v>212</v>
      </c>
      <c r="B66" s="141">
        <f t="shared" si="27"/>
        <v>0</v>
      </c>
      <c r="C66" s="141">
        <f t="shared" si="27"/>
        <v>0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0</v>
      </c>
      <c r="J66" s="141">
        <f t="shared" si="27"/>
        <v>0</v>
      </c>
      <c r="K66" s="141">
        <f t="shared" si="27"/>
        <v>0</v>
      </c>
      <c r="L66" s="141">
        <f t="shared" si="27"/>
        <v>0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0</v>
      </c>
      <c r="T66" s="141">
        <f t="shared" si="27"/>
        <v>0</v>
      </c>
      <c r="U66" s="141">
        <f t="shared" si="27"/>
        <v>0</v>
      </c>
      <c r="V66" s="141">
        <f t="shared" si="27"/>
        <v>0</v>
      </c>
      <c r="W66" s="141">
        <f t="shared" si="27"/>
        <v>0</v>
      </c>
      <c r="X66" s="141">
        <f t="shared" si="27"/>
        <v>0</v>
      </c>
      <c r="Y66" s="141">
        <f t="shared" si="27"/>
        <v>0</v>
      </c>
      <c r="AA66" s="141">
        <f t="shared" si="29"/>
        <v>0</v>
      </c>
      <c r="AB66" s="141">
        <f t="shared" si="29"/>
        <v>0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</v>
      </c>
      <c r="AI66" s="141">
        <f t="shared" si="29"/>
        <v>0</v>
      </c>
      <c r="AJ66" s="141">
        <f t="shared" si="29"/>
        <v>0</v>
      </c>
      <c r="AK66" s="141">
        <f t="shared" si="29"/>
        <v>0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0</v>
      </c>
      <c r="AS66" s="141">
        <f t="shared" si="28"/>
        <v>0</v>
      </c>
      <c r="AT66" s="141">
        <f t="shared" si="28"/>
        <v>0</v>
      </c>
      <c r="AU66" s="141">
        <f t="shared" si="28"/>
        <v>0</v>
      </c>
      <c r="AV66" s="141">
        <f t="shared" si="28"/>
        <v>0</v>
      </c>
      <c r="AW66" s="141">
        <f t="shared" si="28"/>
        <v>0</v>
      </c>
      <c r="AX66" s="141">
        <f t="shared" si="28"/>
        <v>0</v>
      </c>
      <c r="AY66" s="141">
        <f t="shared" si="19"/>
        <v>0</v>
      </c>
      <c r="AZ66" s="22" t="s">
        <v>172</v>
      </c>
    </row>
    <row r="67" spans="1:52">
      <c r="A67" s="141" t="s">
        <v>213</v>
      </c>
      <c r="B67" s="141">
        <f t="shared" si="27"/>
        <v>0</v>
      </c>
      <c r="C67" s="141">
        <f t="shared" si="27"/>
        <v>0</v>
      </c>
      <c r="D67" s="141">
        <f t="shared" si="27"/>
        <v>0</v>
      </c>
      <c r="E67" s="141">
        <f t="shared" si="27"/>
        <v>0</v>
      </c>
      <c r="F67" s="141">
        <f t="shared" si="27"/>
        <v>0</v>
      </c>
      <c r="G67" s="141">
        <f t="shared" si="27"/>
        <v>0</v>
      </c>
      <c r="H67" s="141">
        <f t="shared" si="27"/>
        <v>0</v>
      </c>
      <c r="I67" s="141">
        <f t="shared" si="27"/>
        <v>0</v>
      </c>
      <c r="J67" s="141">
        <f t="shared" si="27"/>
        <v>0</v>
      </c>
      <c r="K67" s="141">
        <f t="shared" si="27"/>
        <v>0</v>
      </c>
      <c r="L67" s="141">
        <f t="shared" si="27"/>
        <v>0</v>
      </c>
      <c r="M67" s="141">
        <f t="shared" si="27"/>
        <v>0</v>
      </c>
      <c r="N67" s="141">
        <f t="shared" si="27"/>
        <v>0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0</v>
      </c>
      <c r="T67" s="141">
        <f t="shared" si="27"/>
        <v>0</v>
      </c>
      <c r="U67" s="141">
        <f t="shared" si="27"/>
        <v>0</v>
      </c>
      <c r="V67" s="141">
        <f t="shared" si="27"/>
        <v>0</v>
      </c>
      <c r="W67" s="141">
        <f t="shared" si="27"/>
        <v>0</v>
      </c>
      <c r="X67" s="141">
        <f t="shared" si="27"/>
        <v>0</v>
      </c>
      <c r="Y67" s="141">
        <f t="shared" si="27"/>
        <v>0</v>
      </c>
      <c r="AA67" s="141">
        <f t="shared" si="29"/>
        <v>0</v>
      </c>
      <c r="AB67" s="141">
        <f t="shared" si="29"/>
        <v>0</v>
      </c>
      <c r="AC67" s="141">
        <f t="shared" si="29"/>
        <v>0</v>
      </c>
      <c r="AD67" s="141">
        <f t="shared" si="29"/>
        <v>0</v>
      </c>
      <c r="AE67" s="141">
        <f t="shared" si="29"/>
        <v>0</v>
      </c>
      <c r="AF67" s="141">
        <f t="shared" si="29"/>
        <v>0</v>
      </c>
      <c r="AG67" s="141">
        <f t="shared" si="29"/>
        <v>0</v>
      </c>
      <c r="AH67" s="141">
        <f t="shared" si="29"/>
        <v>0</v>
      </c>
      <c r="AI67" s="141">
        <f t="shared" si="29"/>
        <v>0</v>
      </c>
      <c r="AJ67" s="141">
        <f t="shared" si="29"/>
        <v>0</v>
      </c>
      <c r="AK67" s="141">
        <f t="shared" si="29"/>
        <v>0</v>
      </c>
      <c r="AL67" s="141">
        <f t="shared" si="29"/>
        <v>0</v>
      </c>
      <c r="AM67" s="141">
        <f t="shared" si="29"/>
        <v>0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0</v>
      </c>
      <c r="AS67" s="141">
        <f t="shared" si="28"/>
        <v>0</v>
      </c>
      <c r="AT67" s="141">
        <f t="shared" si="28"/>
        <v>0</v>
      </c>
      <c r="AU67" s="141">
        <f t="shared" si="28"/>
        <v>0</v>
      </c>
      <c r="AV67" s="141">
        <f t="shared" si="28"/>
        <v>0</v>
      </c>
      <c r="AW67" s="141">
        <f t="shared" si="28"/>
        <v>0</v>
      </c>
      <c r="AX67" s="141">
        <f t="shared" si="28"/>
        <v>0</v>
      </c>
      <c r="AY67" s="141">
        <f t="shared" si="19"/>
        <v>0</v>
      </c>
      <c r="AZ67" s="22" t="s">
        <v>172</v>
      </c>
    </row>
    <row r="68" spans="1:52">
      <c r="A68" s="141" t="s">
        <v>214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0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0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0</v>
      </c>
      <c r="T68" s="141">
        <f t="shared" si="27"/>
        <v>0</v>
      </c>
      <c r="U68" s="141">
        <f t="shared" si="27"/>
        <v>0</v>
      </c>
      <c r="V68" s="141">
        <f t="shared" si="27"/>
        <v>0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0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0</v>
      </c>
      <c r="AS68" s="141">
        <f t="shared" si="28"/>
        <v>0</v>
      </c>
      <c r="AT68" s="141">
        <f t="shared" si="28"/>
        <v>0</v>
      </c>
      <c r="AU68" s="141">
        <f t="shared" si="28"/>
        <v>0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0</v>
      </c>
      <c r="AZ68" s="22" t="s">
        <v>172</v>
      </c>
    </row>
    <row r="70" spans="1:52">
      <c r="A70" s="158" t="s">
        <v>173</v>
      </c>
    </row>
    <row r="71" spans="1:52">
      <c r="A71" s="141" t="s">
        <v>184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173</v>
      </c>
    </row>
    <row r="72" spans="1:52">
      <c r="A72" s="141" t="s">
        <v>185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173</v>
      </c>
    </row>
    <row r="73" spans="1:52">
      <c r="A73" s="141" t="s">
        <v>186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173</v>
      </c>
    </row>
    <row r="74" spans="1:52">
      <c r="A74" s="141" t="s">
        <v>187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173</v>
      </c>
    </row>
    <row r="75" spans="1:52">
      <c r="A75" s="141" t="s">
        <v>188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173</v>
      </c>
    </row>
    <row r="76" spans="1:52">
      <c r="A76" s="141" t="s">
        <v>189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173</v>
      </c>
    </row>
    <row r="77" spans="1:52">
      <c r="A77" s="141" t="s">
        <v>190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173</v>
      </c>
    </row>
    <row r="78" spans="1:52">
      <c r="A78" s="141" t="s">
        <v>191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173</v>
      </c>
    </row>
    <row r="79" spans="1:52">
      <c r="A79" s="141" t="s">
        <v>192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173</v>
      </c>
    </row>
    <row r="80" spans="1:52">
      <c r="A80" s="141" t="s">
        <v>193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173</v>
      </c>
    </row>
    <row r="81" spans="1:52">
      <c r="A81" s="141" t="s">
        <v>194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173</v>
      </c>
    </row>
    <row r="82" spans="1:52">
      <c r="A82" s="141" t="s">
        <v>195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173</v>
      </c>
    </row>
    <row r="83" spans="1:52">
      <c r="A83" s="141" t="s">
        <v>196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173</v>
      </c>
    </row>
    <row r="84" spans="1:52">
      <c r="A84" s="141" t="s">
        <v>197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173</v>
      </c>
    </row>
    <row r="85" spans="1:52">
      <c r="A85" s="141" t="s">
        <v>198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173</v>
      </c>
    </row>
    <row r="86" spans="1:52">
      <c r="A86" s="141" t="s">
        <v>199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173</v>
      </c>
    </row>
    <row r="87" spans="1:52">
      <c r="A87" s="141" t="s">
        <v>200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173</v>
      </c>
    </row>
    <row r="88" spans="1:52">
      <c r="A88" s="141" t="s">
        <v>201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173</v>
      </c>
    </row>
    <row r="89" spans="1:52">
      <c r="A89" s="141" t="s">
        <v>202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173</v>
      </c>
    </row>
    <row r="90" spans="1:52">
      <c r="A90" s="141" t="s">
        <v>203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173</v>
      </c>
    </row>
    <row r="91" spans="1:52">
      <c r="A91" s="141" t="s">
        <v>204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173</v>
      </c>
    </row>
    <row r="92" spans="1:52">
      <c r="A92" s="141" t="s">
        <v>205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173</v>
      </c>
    </row>
    <row r="93" spans="1:52">
      <c r="A93" s="141" t="s">
        <v>206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173</v>
      </c>
    </row>
    <row r="94" spans="1:52">
      <c r="A94" s="141" t="s">
        <v>207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173</v>
      </c>
    </row>
    <row r="95" spans="1:52">
      <c r="A95" s="141" t="s">
        <v>208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173</v>
      </c>
    </row>
    <row r="96" spans="1:52">
      <c r="A96" s="141" t="s">
        <v>209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173</v>
      </c>
    </row>
    <row r="97" spans="1:52">
      <c r="A97" s="141" t="s">
        <v>210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173</v>
      </c>
    </row>
    <row r="98" spans="1:52">
      <c r="A98" s="141" t="s">
        <v>211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173</v>
      </c>
    </row>
    <row r="99" spans="1:52">
      <c r="A99" s="141" t="s">
        <v>212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173</v>
      </c>
    </row>
    <row r="100" spans="1:52">
      <c r="A100" s="141" t="s">
        <v>213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173</v>
      </c>
    </row>
    <row r="101" spans="1:52">
      <c r="A101" s="141" t="s">
        <v>214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173</v>
      </c>
    </row>
    <row r="103" spans="1:52">
      <c r="A103" s="158" t="s">
        <v>174</v>
      </c>
    </row>
    <row r="104" spans="1:52">
      <c r="A104" s="141" t="s">
        <v>184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174</v>
      </c>
    </row>
    <row r="105" spans="1:52">
      <c r="A105" s="141" t="s">
        <v>185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174</v>
      </c>
    </row>
    <row r="106" spans="1:52">
      <c r="A106" s="141" t="s">
        <v>186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174</v>
      </c>
    </row>
    <row r="107" spans="1:52">
      <c r="A107" s="141" t="s">
        <v>187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174</v>
      </c>
    </row>
    <row r="108" spans="1:52">
      <c r="A108" s="141" t="s">
        <v>188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174</v>
      </c>
    </row>
    <row r="109" spans="1:52">
      <c r="A109" s="141" t="s">
        <v>189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174</v>
      </c>
    </row>
    <row r="110" spans="1:52">
      <c r="A110" s="141" t="s">
        <v>190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174</v>
      </c>
    </row>
    <row r="111" spans="1:52">
      <c r="A111" s="141" t="s">
        <v>191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174</v>
      </c>
    </row>
    <row r="112" spans="1:52">
      <c r="A112" s="141" t="s">
        <v>192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174</v>
      </c>
    </row>
    <row r="113" spans="1:52">
      <c r="A113" s="141" t="s">
        <v>193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174</v>
      </c>
    </row>
    <row r="114" spans="1:52">
      <c r="A114" s="141" t="s">
        <v>194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174</v>
      </c>
    </row>
    <row r="115" spans="1:52">
      <c r="A115" s="141" t="s">
        <v>195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174</v>
      </c>
    </row>
    <row r="116" spans="1:52">
      <c r="A116" s="141" t="s">
        <v>196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174</v>
      </c>
    </row>
    <row r="117" spans="1:52">
      <c r="A117" s="141" t="s">
        <v>197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174</v>
      </c>
    </row>
    <row r="118" spans="1:52">
      <c r="A118" s="141" t="s">
        <v>198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174</v>
      </c>
    </row>
    <row r="119" spans="1:52">
      <c r="A119" s="141" t="s">
        <v>199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174</v>
      </c>
    </row>
    <row r="120" spans="1:52">
      <c r="A120" s="141" t="s">
        <v>200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174</v>
      </c>
    </row>
    <row r="121" spans="1:52">
      <c r="A121" s="141" t="s">
        <v>201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174</v>
      </c>
    </row>
    <row r="122" spans="1:52">
      <c r="A122" s="141" t="s">
        <v>202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174</v>
      </c>
    </row>
    <row r="123" spans="1:52">
      <c r="A123" s="141" t="s">
        <v>203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174</v>
      </c>
    </row>
    <row r="124" spans="1:52">
      <c r="A124" s="141" t="s">
        <v>204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174</v>
      </c>
    </row>
    <row r="125" spans="1:52">
      <c r="A125" s="141" t="s">
        <v>205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174</v>
      </c>
    </row>
    <row r="126" spans="1:52">
      <c r="A126" s="141" t="s">
        <v>206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174</v>
      </c>
    </row>
    <row r="127" spans="1:52">
      <c r="A127" s="141" t="s">
        <v>207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174</v>
      </c>
    </row>
    <row r="128" spans="1:52">
      <c r="A128" s="141" t="s">
        <v>208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174</v>
      </c>
    </row>
    <row r="129" spans="1:52">
      <c r="A129" s="141" t="s">
        <v>209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174</v>
      </c>
    </row>
    <row r="130" spans="1:52">
      <c r="A130" s="141" t="s">
        <v>210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174</v>
      </c>
    </row>
    <row r="131" spans="1:52">
      <c r="A131" s="141" t="s">
        <v>211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174</v>
      </c>
    </row>
    <row r="132" spans="1:52">
      <c r="A132" s="141" t="s">
        <v>212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174</v>
      </c>
    </row>
    <row r="133" spans="1:52">
      <c r="A133" s="141" t="s">
        <v>213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174</v>
      </c>
    </row>
    <row r="134" spans="1:52">
      <c r="A134" s="141" t="s">
        <v>214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174</v>
      </c>
    </row>
    <row r="136" spans="1:52">
      <c r="A136" s="158" t="s">
        <v>175</v>
      </c>
    </row>
    <row r="137" spans="1:52">
      <c r="A137" s="141" t="s">
        <v>184</v>
      </c>
      <c r="B137" s="141">
        <f t="shared" ref="B137:Y147" si="53">IF(IFERROR(FIND($A$136,B5,1),0)=0,0,1)</f>
        <v>0</v>
      </c>
      <c r="C137" s="141">
        <f t="shared" si="53"/>
        <v>0</v>
      </c>
      <c r="D137" s="141">
        <f t="shared" si="53"/>
        <v>0</v>
      </c>
      <c r="E137" s="141">
        <f t="shared" si="53"/>
        <v>0</v>
      </c>
      <c r="F137" s="141">
        <f t="shared" si="53"/>
        <v>0</v>
      </c>
      <c r="G137" s="141">
        <f t="shared" si="53"/>
        <v>0</v>
      </c>
      <c r="H137" s="141">
        <f t="shared" si="53"/>
        <v>0</v>
      </c>
      <c r="I137" s="141">
        <f t="shared" si="53"/>
        <v>0</v>
      </c>
      <c r="J137" s="141">
        <f t="shared" si="53"/>
        <v>0</v>
      </c>
      <c r="K137" s="141">
        <f t="shared" si="53"/>
        <v>0</v>
      </c>
      <c r="L137" s="141">
        <f t="shared" si="53"/>
        <v>0</v>
      </c>
      <c r="M137" s="141">
        <f t="shared" si="53"/>
        <v>0</v>
      </c>
      <c r="N137" s="141">
        <f t="shared" si="53"/>
        <v>0</v>
      </c>
      <c r="O137" s="141">
        <f t="shared" si="53"/>
        <v>0</v>
      </c>
      <c r="P137" s="141">
        <f t="shared" si="53"/>
        <v>0</v>
      </c>
      <c r="Q137" s="141">
        <f t="shared" si="53"/>
        <v>0</v>
      </c>
      <c r="R137" s="141">
        <f t="shared" si="53"/>
        <v>0</v>
      </c>
      <c r="S137" s="141">
        <f t="shared" si="53"/>
        <v>0</v>
      </c>
      <c r="T137" s="141">
        <f t="shared" si="53"/>
        <v>0</v>
      </c>
      <c r="U137" s="141">
        <f t="shared" si="53"/>
        <v>0</v>
      </c>
      <c r="V137" s="141">
        <f t="shared" si="53"/>
        <v>0</v>
      </c>
      <c r="W137" s="141">
        <f t="shared" si="53"/>
        <v>0</v>
      </c>
      <c r="X137" s="141">
        <f t="shared" si="53"/>
        <v>0</v>
      </c>
      <c r="Y137" s="141">
        <f t="shared" si="53"/>
        <v>0</v>
      </c>
      <c r="AA137" s="141">
        <f t="shared" ref="AA137:AX147" si="54">IF(B137=0,0,B137/AA5)</f>
        <v>0</v>
      </c>
      <c r="AB137" s="141">
        <f t="shared" si="54"/>
        <v>0</v>
      </c>
      <c r="AC137" s="141">
        <f t="shared" si="54"/>
        <v>0</v>
      </c>
      <c r="AD137" s="141">
        <f t="shared" si="54"/>
        <v>0</v>
      </c>
      <c r="AE137" s="141">
        <f t="shared" si="54"/>
        <v>0</v>
      </c>
      <c r="AF137" s="141">
        <f t="shared" si="54"/>
        <v>0</v>
      </c>
      <c r="AG137" s="141">
        <f t="shared" si="54"/>
        <v>0</v>
      </c>
      <c r="AH137" s="141">
        <f t="shared" si="54"/>
        <v>0</v>
      </c>
      <c r="AI137" s="141">
        <f t="shared" si="54"/>
        <v>0</v>
      </c>
      <c r="AJ137" s="141">
        <f t="shared" si="54"/>
        <v>0</v>
      </c>
      <c r="AK137" s="141">
        <f t="shared" si="54"/>
        <v>0</v>
      </c>
      <c r="AL137" s="141">
        <f t="shared" si="54"/>
        <v>0</v>
      </c>
      <c r="AM137" s="141">
        <f t="shared" si="54"/>
        <v>0</v>
      </c>
      <c r="AN137" s="141">
        <f t="shared" si="54"/>
        <v>0</v>
      </c>
      <c r="AO137" s="141">
        <f t="shared" si="54"/>
        <v>0</v>
      </c>
      <c r="AP137" s="141">
        <f t="shared" si="54"/>
        <v>0</v>
      </c>
      <c r="AQ137" s="141">
        <f t="shared" si="54"/>
        <v>0</v>
      </c>
      <c r="AR137" s="141">
        <f t="shared" si="54"/>
        <v>0</v>
      </c>
      <c r="AS137" s="141">
        <f t="shared" si="54"/>
        <v>0</v>
      </c>
      <c r="AT137" s="141">
        <f t="shared" si="54"/>
        <v>0</v>
      </c>
      <c r="AU137" s="141">
        <f t="shared" si="54"/>
        <v>0</v>
      </c>
      <c r="AV137" s="141">
        <f t="shared" si="54"/>
        <v>0</v>
      </c>
      <c r="AW137" s="141">
        <f t="shared" si="54"/>
        <v>0</v>
      </c>
      <c r="AX137" s="141">
        <f t="shared" si="54"/>
        <v>0</v>
      </c>
      <c r="AY137" s="141">
        <f t="shared" ref="AY137:AY167" si="55">SUM(AA137:AX137)</f>
        <v>0</v>
      </c>
      <c r="AZ137" s="22" t="s">
        <v>175</v>
      </c>
    </row>
    <row r="138" spans="1:52">
      <c r="A138" s="141" t="s">
        <v>185</v>
      </c>
      <c r="B138" s="141">
        <f t="shared" si="53"/>
        <v>0</v>
      </c>
      <c r="C138" s="141">
        <f t="shared" si="53"/>
        <v>0</v>
      </c>
      <c r="D138" s="141">
        <f t="shared" si="53"/>
        <v>0</v>
      </c>
      <c r="E138" s="141">
        <f t="shared" si="53"/>
        <v>0</v>
      </c>
      <c r="F138" s="141">
        <f t="shared" si="53"/>
        <v>0</v>
      </c>
      <c r="G138" s="141">
        <f t="shared" si="53"/>
        <v>0</v>
      </c>
      <c r="H138" s="141">
        <f t="shared" si="53"/>
        <v>0</v>
      </c>
      <c r="I138" s="141">
        <f t="shared" si="53"/>
        <v>0</v>
      </c>
      <c r="J138" s="141">
        <f t="shared" si="53"/>
        <v>0</v>
      </c>
      <c r="K138" s="141">
        <f t="shared" si="53"/>
        <v>0</v>
      </c>
      <c r="L138" s="141">
        <f t="shared" si="53"/>
        <v>0</v>
      </c>
      <c r="M138" s="141">
        <f t="shared" si="53"/>
        <v>0</v>
      </c>
      <c r="N138" s="141">
        <f t="shared" si="53"/>
        <v>0</v>
      </c>
      <c r="O138" s="141">
        <f t="shared" si="53"/>
        <v>0</v>
      </c>
      <c r="P138" s="141">
        <f t="shared" si="53"/>
        <v>0</v>
      </c>
      <c r="Q138" s="141">
        <f t="shared" si="53"/>
        <v>0</v>
      </c>
      <c r="R138" s="141">
        <f t="shared" si="53"/>
        <v>0</v>
      </c>
      <c r="S138" s="141">
        <f t="shared" si="53"/>
        <v>0</v>
      </c>
      <c r="T138" s="141">
        <f t="shared" si="53"/>
        <v>0</v>
      </c>
      <c r="U138" s="141">
        <f t="shared" si="53"/>
        <v>0</v>
      </c>
      <c r="V138" s="141">
        <f t="shared" si="53"/>
        <v>0</v>
      </c>
      <c r="W138" s="141">
        <f t="shared" si="53"/>
        <v>0</v>
      </c>
      <c r="X138" s="141">
        <f t="shared" si="53"/>
        <v>0</v>
      </c>
      <c r="Y138" s="141">
        <f t="shared" si="53"/>
        <v>0</v>
      </c>
      <c r="AA138" s="141">
        <f t="shared" si="54"/>
        <v>0</v>
      </c>
      <c r="AB138" s="141">
        <f t="shared" si="54"/>
        <v>0</v>
      </c>
      <c r="AC138" s="141">
        <f t="shared" si="54"/>
        <v>0</v>
      </c>
      <c r="AD138" s="141">
        <f t="shared" si="54"/>
        <v>0</v>
      </c>
      <c r="AE138" s="141">
        <f t="shared" si="54"/>
        <v>0</v>
      </c>
      <c r="AF138" s="141">
        <f t="shared" si="54"/>
        <v>0</v>
      </c>
      <c r="AG138" s="141">
        <f t="shared" si="54"/>
        <v>0</v>
      </c>
      <c r="AH138" s="141">
        <f t="shared" si="54"/>
        <v>0</v>
      </c>
      <c r="AI138" s="141">
        <f t="shared" si="54"/>
        <v>0</v>
      </c>
      <c r="AJ138" s="141">
        <f t="shared" si="54"/>
        <v>0</v>
      </c>
      <c r="AK138" s="141">
        <f t="shared" si="54"/>
        <v>0</v>
      </c>
      <c r="AL138" s="141">
        <f t="shared" si="54"/>
        <v>0</v>
      </c>
      <c r="AM138" s="141">
        <f t="shared" si="54"/>
        <v>0</v>
      </c>
      <c r="AN138" s="141">
        <f t="shared" si="54"/>
        <v>0</v>
      </c>
      <c r="AO138" s="141">
        <f t="shared" si="54"/>
        <v>0</v>
      </c>
      <c r="AP138" s="141">
        <f t="shared" si="54"/>
        <v>0</v>
      </c>
      <c r="AQ138" s="141">
        <f t="shared" si="54"/>
        <v>0</v>
      </c>
      <c r="AR138" s="141">
        <f t="shared" si="54"/>
        <v>0</v>
      </c>
      <c r="AS138" s="141">
        <f t="shared" si="54"/>
        <v>0</v>
      </c>
      <c r="AT138" s="141">
        <f t="shared" si="54"/>
        <v>0</v>
      </c>
      <c r="AU138" s="141">
        <f t="shared" si="54"/>
        <v>0</v>
      </c>
      <c r="AV138" s="141">
        <f t="shared" si="54"/>
        <v>0</v>
      </c>
      <c r="AW138" s="141">
        <f t="shared" si="54"/>
        <v>0</v>
      </c>
      <c r="AX138" s="141">
        <f t="shared" si="54"/>
        <v>0</v>
      </c>
      <c r="AY138" s="141">
        <f t="shared" si="55"/>
        <v>0</v>
      </c>
      <c r="AZ138" s="22" t="s">
        <v>175</v>
      </c>
    </row>
    <row r="139" spans="1:52">
      <c r="A139" s="141" t="s">
        <v>186</v>
      </c>
      <c r="B139" s="141">
        <f t="shared" si="53"/>
        <v>0</v>
      </c>
      <c r="C139" s="141">
        <f t="shared" si="53"/>
        <v>0</v>
      </c>
      <c r="D139" s="141">
        <f t="shared" si="53"/>
        <v>0</v>
      </c>
      <c r="E139" s="141">
        <f t="shared" si="53"/>
        <v>0</v>
      </c>
      <c r="F139" s="141">
        <f t="shared" si="53"/>
        <v>0</v>
      </c>
      <c r="G139" s="141">
        <f t="shared" si="53"/>
        <v>0</v>
      </c>
      <c r="H139" s="141">
        <f t="shared" si="53"/>
        <v>0</v>
      </c>
      <c r="I139" s="141">
        <f t="shared" si="53"/>
        <v>0</v>
      </c>
      <c r="J139" s="141">
        <f t="shared" si="53"/>
        <v>0</v>
      </c>
      <c r="K139" s="141">
        <f t="shared" si="53"/>
        <v>0</v>
      </c>
      <c r="L139" s="141">
        <f t="shared" si="53"/>
        <v>0</v>
      </c>
      <c r="M139" s="141">
        <f t="shared" si="53"/>
        <v>0</v>
      </c>
      <c r="N139" s="141">
        <f t="shared" si="53"/>
        <v>0</v>
      </c>
      <c r="O139" s="141">
        <f t="shared" si="53"/>
        <v>0</v>
      </c>
      <c r="P139" s="141">
        <f t="shared" si="53"/>
        <v>0</v>
      </c>
      <c r="Q139" s="141">
        <f t="shared" si="53"/>
        <v>0</v>
      </c>
      <c r="R139" s="141">
        <f t="shared" si="53"/>
        <v>0</v>
      </c>
      <c r="S139" s="141">
        <f t="shared" si="53"/>
        <v>0</v>
      </c>
      <c r="T139" s="141">
        <f t="shared" si="53"/>
        <v>0</v>
      </c>
      <c r="U139" s="141">
        <f t="shared" si="53"/>
        <v>0</v>
      </c>
      <c r="V139" s="141">
        <f t="shared" si="53"/>
        <v>0</v>
      </c>
      <c r="W139" s="141">
        <f t="shared" si="53"/>
        <v>0</v>
      </c>
      <c r="X139" s="141">
        <f t="shared" si="53"/>
        <v>0</v>
      </c>
      <c r="Y139" s="141">
        <f t="shared" si="53"/>
        <v>0</v>
      </c>
      <c r="AA139" s="141">
        <f t="shared" si="54"/>
        <v>0</v>
      </c>
      <c r="AB139" s="141">
        <f t="shared" si="54"/>
        <v>0</v>
      </c>
      <c r="AC139" s="141">
        <f t="shared" si="54"/>
        <v>0</v>
      </c>
      <c r="AD139" s="141">
        <f t="shared" si="54"/>
        <v>0</v>
      </c>
      <c r="AE139" s="141">
        <f t="shared" si="54"/>
        <v>0</v>
      </c>
      <c r="AF139" s="141">
        <f t="shared" si="54"/>
        <v>0</v>
      </c>
      <c r="AG139" s="141">
        <f t="shared" si="54"/>
        <v>0</v>
      </c>
      <c r="AH139" s="141">
        <f t="shared" si="54"/>
        <v>0</v>
      </c>
      <c r="AI139" s="141">
        <f t="shared" si="54"/>
        <v>0</v>
      </c>
      <c r="AJ139" s="141">
        <f t="shared" si="54"/>
        <v>0</v>
      </c>
      <c r="AK139" s="141">
        <f t="shared" si="54"/>
        <v>0</v>
      </c>
      <c r="AL139" s="141">
        <f t="shared" si="54"/>
        <v>0</v>
      </c>
      <c r="AM139" s="141">
        <f t="shared" si="54"/>
        <v>0</v>
      </c>
      <c r="AN139" s="141">
        <f t="shared" si="54"/>
        <v>0</v>
      </c>
      <c r="AO139" s="141">
        <f t="shared" si="54"/>
        <v>0</v>
      </c>
      <c r="AP139" s="141">
        <f t="shared" si="54"/>
        <v>0</v>
      </c>
      <c r="AQ139" s="141">
        <f t="shared" si="54"/>
        <v>0</v>
      </c>
      <c r="AR139" s="141">
        <f t="shared" si="54"/>
        <v>0</v>
      </c>
      <c r="AS139" s="141">
        <f t="shared" si="54"/>
        <v>0</v>
      </c>
      <c r="AT139" s="141">
        <f t="shared" si="54"/>
        <v>0</v>
      </c>
      <c r="AU139" s="141">
        <f t="shared" si="54"/>
        <v>0</v>
      </c>
      <c r="AV139" s="141">
        <f t="shared" si="54"/>
        <v>0</v>
      </c>
      <c r="AW139" s="141">
        <f t="shared" si="54"/>
        <v>0</v>
      </c>
      <c r="AX139" s="141">
        <f t="shared" si="54"/>
        <v>0</v>
      </c>
      <c r="AY139" s="141">
        <f t="shared" si="55"/>
        <v>0</v>
      </c>
      <c r="AZ139" s="22" t="s">
        <v>175</v>
      </c>
    </row>
    <row r="140" spans="1:52">
      <c r="A140" s="141" t="s">
        <v>187</v>
      </c>
      <c r="B140" s="141">
        <f t="shared" si="53"/>
        <v>0</v>
      </c>
      <c r="C140" s="141">
        <f t="shared" si="53"/>
        <v>0</v>
      </c>
      <c r="D140" s="141">
        <f t="shared" si="53"/>
        <v>0</v>
      </c>
      <c r="E140" s="141">
        <f t="shared" si="53"/>
        <v>0</v>
      </c>
      <c r="F140" s="141">
        <f t="shared" si="53"/>
        <v>0</v>
      </c>
      <c r="G140" s="141">
        <f t="shared" si="53"/>
        <v>0</v>
      </c>
      <c r="H140" s="141">
        <f t="shared" si="53"/>
        <v>0</v>
      </c>
      <c r="I140" s="141">
        <f t="shared" si="53"/>
        <v>0</v>
      </c>
      <c r="J140" s="141">
        <f t="shared" si="53"/>
        <v>0</v>
      </c>
      <c r="K140" s="141">
        <f t="shared" si="53"/>
        <v>0</v>
      </c>
      <c r="L140" s="141">
        <f t="shared" si="53"/>
        <v>0</v>
      </c>
      <c r="M140" s="141">
        <f t="shared" si="53"/>
        <v>0</v>
      </c>
      <c r="N140" s="141">
        <f t="shared" si="53"/>
        <v>0</v>
      </c>
      <c r="O140" s="141">
        <f t="shared" si="53"/>
        <v>0</v>
      </c>
      <c r="P140" s="141">
        <f t="shared" si="53"/>
        <v>0</v>
      </c>
      <c r="Q140" s="141">
        <f t="shared" si="53"/>
        <v>0</v>
      </c>
      <c r="R140" s="141">
        <f t="shared" si="53"/>
        <v>0</v>
      </c>
      <c r="S140" s="141">
        <f t="shared" si="53"/>
        <v>0</v>
      </c>
      <c r="T140" s="141">
        <f t="shared" si="53"/>
        <v>0</v>
      </c>
      <c r="U140" s="141">
        <f t="shared" si="53"/>
        <v>0</v>
      </c>
      <c r="V140" s="141">
        <f t="shared" si="53"/>
        <v>0</v>
      </c>
      <c r="W140" s="141">
        <f t="shared" si="53"/>
        <v>0</v>
      </c>
      <c r="X140" s="141">
        <f t="shared" si="53"/>
        <v>0</v>
      </c>
      <c r="Y140" s="141">
        <f t="shared" si="53"/>
        <v>0</v>
      </c>
      <c r="AA140" s="141">
        <f t="shared" si="54"/>
        <v>0</v>
      </c>
      <c r="AB140" s="141">
        <f t="shared" si="54"/>
        <v>0</v>
      </c>
      <c r="AC140" s="141">
        <f t="shared" si="54"/>
        <v>0</v>
      </c>
      <c r="AD140" s="141">
        <f t="shared" si="54"/>
        <v>0</v>
      </c>
      <c r="AE140" s="141">
        <f t="shared" si="54"/>
        <v>0</v>
      </c>
      <c r="AF140" s="141">
        <f t="shared" si="54"/>
        <v>0</v>
      </c>
      <c r="AG140" s="141">
        <f t="shared" si="54"/>
        <v>0</v>
      </c>
      <c r="AH140" s="141">
        <f t="shared" si="54"/>
        <v>0</v>
      </c>
      <c r="AI140" s="141">
        <f t="shared" si="54"/>
        <v>0</v>
      </c>
      <c r="AJ140" s="141">
        <f t="shared" si="54"/>
        <v>0</v>
      </c>
      <c r="AK140" s="141">
        <f t="shared" si="54"/>
        <v>0</v>
      </c>
      <c r="AL140" s="141">
        <f t="shared" si="54"/>
        <v>0</v>
      </c>
      <c r="AM140" s="141">
        <f t="shared" si="54"/>
        <v>0</v>
      </c>
      <c r="AN140" s="141">
        <f t="shared" si="54"/>
        <v>0</v>
      </c>
      <c r="AO140" s="141">
        <f t="shared" si="54"/>
        <v>0</v>
      </c>
      <c r="AP140" s="141">
        <f t="shared" si="54"/>
        <v>0</v>
      </c>
      <c r="AQ140" s="141">
        <f t="shared" si="54"/>
        <v>0</v>
      </c>
      <c r="AR140" s="141">
        <f t="shared" si="54"/>
        <v>0</v>
      </c>
      <c r="AS140" s="141">
        <f t="shared" si="54"/>
        <v>0</v>
      </c>
      <c r="AT140" s="141">
        <f t="shared" si="54"/>
        <v>0</v>
      </c>
      <c r="AU140" s="141">
        <f t="shared" si="54"/>
        <v>0</v>
      </c>
      <c r="AV140" s="141">
        <f t="shared" si="54"/>
        <v>0</v>
      </c>
      <c r="AW140" s="141">
        <f t="shared" si="54"/>
        <v>0</v>
      </c>
      <c r="AX140" s="141">
        <f t="shared" si="54"/>
        <v>0</v>
      </c>
      <c r="AY140" s="141">
        <f t="shared" si="55"/>
        <v>0</v>
      </c>
      <c r="AZ140" s="22" t="s">
        <v>175</v>
      </c>
    </row>
    <row r="141" spans="1:52">
      <c r="A141" s="141" t="s">
        <v>188</v>
      </c>
      <c r="B141" s="141">
        <f t="shared" si="53"/>
        <v>0</v>
      </c>
      <c r="C141" s="141">
        <f t="shared" si="53"/>
        <v>0</v>
      </c>
      <c r="D141" s="141">
        <f t="shared" si="53"/>
        <v>0</v>
      </c>
      <c r="E141" s="141">
        <f t="shared" si="53"/>
        <v>0</v>
      </c>
      <c r="F141" s="141">
        <f t="shared" si="53"/>
        <v>0</v>
      </c>
      <c r="G141" s="141">
        <f t="shared" si="53"/>
        <v>0</v>
      </c>
      <c r="H141" s="141">
        <f t="shared" si="53"/>
        <v>0</v>
      </c>
      <c r="I141" s="141">
        <f t="shared" si="53"/>
        <v>0</v>
      </c>
      <c r="J141" s="141">
        <f t="shared" si="53"/>
        <v>0</v>
      </c>
      <c r="K141" s="141">
        <f t="shared" si="53"/>
        <v>0</v>
      </c>
      <c r="L141" s="141">
        <f t="shared" si="53"/>
        <v>0</v>
      </c>
      <c r="M141" s="141">
        <f t="shared" si="53"/>
        <v>0</v>
      </c>
      <c r="N141" s="141">
        <f t="shared" si="53"/>
        <v>0</v>
      </c>
      <c r="O141" s="141">
        <f t="shared" si="53"/>
        <v>0</v>
      </c>
      <c r="P141" s="141">
        <f t="shared" si="53"/>
        <v>0</v>
      </c>
      <c r="Q141" s="141">
        <f t="shared" si="53"/>
        <v>0</v>
      </c>
      <c r="R141" s="141">
        <f t="shared" si="53"/>
        <v>0</v>
      </c>
      <c r="S141" s="141">
        <f t="shared" si="53"/>
        <v>0</v>
      </c>
      <c r="T141" s="141">
        <f t="shared" si="53"/>
        <v>0</v>
      </c>
      <c r="U141" s="141">
        <f t="shared" si="53"/>
        <v>0</v>
      </c>
      <c r="V141" s="141">
        <f t="shared" si="53"/>
        <v>0</v>
      </c>
      <c r="W141" s="141">
        <f t="shared" si="53"/>
        <v>0</v>
      </c>
      <c r="X141" s="141">
        <f t="shared" si="53"/>
        <v>0</v>
      </c>
      <c r="Y141" s="141">
        <f t="shared" si="53"/>
        <v>0</v>
      </c>
      <c r="AA141" s="141">
        <f t="shared" si="54"/>
        <v>0</v>
      </c>
      <c r="AB141" s="141">
        <f t="shared" si="54"/>
        <v>0</v>
      </c>
      <c r="AC141" s="141">
        <f t="shared" si="54"/>
        <v>0</v>
      </c>
      <c r="AD141" s="141">
        <f t="shared" si="54"/>
        <v>0</v>
      </c>
      <c r="AE141" s="141">
        <f t="shared" si="54"/>
        <v>0</v>
      </c>
      <c r="AF141" s="141">
        <f t="shared" si="54"/>
        <v>0</v>
      </c>
      <c r="AG141" s="141">
        <f t="shared" si="54"/>
        <v>0</v>
      </c>
      <c r="AH141" s="141">
        <f t="shared" si="54"/>
        <v>0</v>
      </c>
      <c r="AI141" s="141">
        <f t="shared" si="54"/>
        <v>0</v>
      </c>
      <c r="AJ141" s="141">
        <f t="shared" si="54"/>
        <v>0</v>
      </c>
      <c r="AK141" s="141">
        <f t="shared" si="54"/>
        <v>0</v>
      </c>
      <c r="AL141" s="141">
        <f t="shared" si="54"/>
        <v>0</v>
      </c>
      <c r="AM141" s="141">
        <f t="shared" si="54"/>
        <v>0</v>
      </c>
      <c r="AN141" s="141">
        <f t="shared" si="54"/>
        <v>0</v>
      </c>
      <c r="AO141" s="141">
        <f t="shared" si="54"/>
        <v>0</v>
      </c>
      <c r="AP141" s="141">
        <f t="shared" si="54"/>
        <v>0</v>
      </c>
      <c r="AQ141" s="141">
        <f t="shared" si="54"/>
        <v>0</v>
      </c>
      <c r="AR141" s="141">
        <f t="shared" si="54"/>
        <v>0</v>
      </c>
      <c r="AS141" s="141">
        <f t="shared" si="54"/>
        <v>0</v>
      </c>
      <c r="AT141" s="141">
        <f t="shared" si="54"/>
        <v>0</v>
      </c>
      <c r="AU141" s="141">
        <f t="shared" si="54"/>
        <v>0</v>
      </c>
      <c r="AV141" s="141">
        <f t="shared" si="54"/>
        <v>0</v>
      </c>
      <c r="AW141" s="141">
        <f t="shared" si="54"/>
        <v>0</v>
      </c>
      <c r="AX141" s="141">
        <f t="shared" si="54"/>
        <v>0</v>
      </c>
      <c r="AY141" s="141">
        <f t="shared" si="55"/>
        <v>0</v>
      </c>
      <c r="AZ141" s="22" t="s">
        <v>175</v>
      </c>
    </row>
    <row r="142" spans="1:52">
      <c r="A142" s="141" t="s">
        <v>189</v>
      </c>
      <c r="B142" s="141">
        <f t="shared" si="53"/>
        <v>0</v>
      </c>
      <c r="C142" s="141">
        <f t="shared" si="53"/>
        <v>0</v>
      </c>
      <c r="D142" s="141">
        <f t="shared" si="53"/>
        <v>0</v>
      </c>
      <c r="E142" s="141">
        <f t="shared" si="53"/>
        <v>0</v>
      </c>
      <c r="F142" s="141">
        <f t="shared" si="53"/>
        <v>0</v>
      </c>
      <c r="G142" s="141">
        <f t="shared" si="53"/>
        <v>0</v>
      </c>
      <c r="H142" s="141">
        <f t="shared" si="53"/>
        <v>0</v>
      </c>
      <c r="I142" s="141">
        <f t="shared" si="53"/>
        <v>0</v>
      </c>
      <c r="J142" s="141">
        <f t="shared" si="53"/>
        <v>0</v>
      </c>
      <c r="K142" s="141">
        <f t="shared" si="53"/>
        <v>0</v>
      </c>
      <c r="L142" s="141">
        <f t="shared" si="53"/>
        <v>0</v>
      </c>
      <c r="M142" s="141">
        <f t="shared" si="53"/>
        <v>0</v>
      </c>
      <c r="N142" s="141">
        <f t="shared" si="53"/>
        <v>0</v>
      </c>
      <c r="O142" s="141">
        <f t="shared" si="53"/>
        <v>0</v>
      </c>
      <c r="P142" s="141">
        <f t="shared" si="53"/>
        <v>0</v>
      </c>
      <c r="Q142" s="141">
        <f t="shared" si="53"/>
        <v>0</v>
      </c>
      <c r="R142" s="141">
        <f t="shared" si="53"/>
        <v>0</v>
      </c>
      <c r="S142" s="141">
        <f t="shared" si="53"/>
        <v>0</v>
      </c>
      <c r="T142" s="141">
        <f t="shared" si="53"/>
        <v>0</v>
      </c>
      <c r="U142" s="141">
        <f t="shared" si="53"/>
        <v>0</v>
      </c>
      <c r="V142" s="141">
        <f t="shared" si="53"/>
        <v>0</v>
      </c>
      <c r="W142" s="141">
        <f t="shared" si="53"/>
        <v>0</v>
      </c>
      <c r="X142" s="141">
        <f t="shared" si="53"/>
        <v>0</v>
      </c>
      <c r="Y142" s="141">
        <f t="shared" si="53"/>
        <v>0</v>
      </c>
      <c r="AA142" s="141">
        <f t="shared" si="54"/>
        <v>0</v>
      </c>
      <c r="AB142" s="141">
        <f t="shared" si="54"/>
        <v>0</v>
      </c>
      <c r="AC142" s="141">
        <f t="shared" si="54"/>
        <v>0</v>
      </c>
      <c r="AD142" s="141">
        <f t="shared" si="54"/>
        <v>0</v>
      </c>
      <c r="AE142" s="141">
        <f t="shared" si="54"/>
        <v>0</v>
      </c>
      <c r="AF142" s="141">
        <f t="shared" si="54"/>
        <v>0</v>
      </c>
      <c r="AG142" s="141">
        <f t="shared" si="54"/>
        <v>0</v>
      </c>
      <c r="AH142" s="141">
        <f t="shared" si="54"/>
        <v>0</v>
      </c>
      <c r="AI142" s="141">
        <f t="shared" si="54"/>
        <v>0</v>
      </c>
      <c r="AJ142" s="141">
        <f t="shared" si="54"/>
        <v>0</v>
      </c>
      <c r="AK142" s="141">
        <f t="shared" si="54"/>
        <v>0</v>
      </c>
      <c r="AL142" s="141">
        <f t="shared" si="54"/>
        <v>0</v>
      </c>
      <c r="AM142" s="141">
        <f t="shared" si="54"/>
        <v>0</v>
      </c>
      <c r="AN142" s="141">
        <f t="shared" si="54"/>
        <v>0</v>
      </c>
      <c r="AO142" s="141">
        <f t="shared" si="54"/>
        <v>0</v>
      </c>
      <c r="AP142" s="141">
        <f t="shared" si="54"/>
        <v>0</v>
      </c>
      <c r="AQ142" s="141">
        <f t="shared" si="54"/>
        <v>0</v>
      </c>
      <c r="AR142" s="141">
        <f t="shared" si="54"/>
        <v>0</v>
      </c>
      <c r="AS142" s="141">
        <f t="shared" si="54"/>
        <v>0</v>
      </c>
      <c r="AT142" s="141">
        <f t="shared" si="54"/>
        <v>0</v>
      </c>
      <c r="AU142" s="141">
        <f t="shared" si="54"/>
        <v>0</v>
      </c>
      <c r="AV142" s="141">
        <f t="shared" si="54"/>
        <v>0</v>
      </c>
      <c r="AW142" s="141">
        <f t="shared" si="54"/>
        <v>0</v>
      </c>
      <c r="AX142" s="141">
        <f t="shared" si="54"/>
        <v>0</v>
      </c>
      <c r="AY142" s="141">
        <f t="shared" si="55"/>
        <v>0</v>
      </c>
      <c r="AZ142" s="22" t="s">
        <v>175</v>
      </c>
    </row>
    <row r="143" spans="1:52">
      <c r="A143" s="141" t="s">
        <v>190</v>
      </c>
      <c r="B143" s="141">
        <f t="shared" si="53"/>
        <v>0</v>
      </c>
      <c r="C143" s="141">
        <f t="shared" si="53"/>
        <v>0</v>
      </c>
      <c r="D143" s="141">
        <f t="shared" si="53"/>
        <v>0</v>
      </c>
      <c r="E143" s="141">
        <f t="shared" ref="E143:Y143" si="56">IF(IFERROR(FIND($A$136,E11,1),0)=0,0,1)</f>
        <v>0</v>
      </c>
      <c r="F143" s="141">
        <f t="shared" si="56"/>
        <v>0</v>
      </c>
      <c r="G143" s="141">
        <f t="shared" si="56"/>
        <v>0</v>
      </c>
      <c r="H143" s="141">
        <f t="shared" si="56"/>
        <v>0</v>
      </c>
      <c r="I143" s="141">
        <f t="shared" si="56"/>
        <v>0</v>
      </c>
      <c r="J143" s="141">
        <f t="shared" si="56"/>
        <v>0</v>
      </c>
      <c r="K143" s="141">
        <f t="shared" si="56"/>
        <v>0</v>
      </c>
      <c r="L143" s="141">
        <f t="shared" si="56"/>
        <v>0</v>
      </c>
      <c r="M143" s="141">
        <f t="shared" si="56"/>
        <v>0</v>
      </c>
      <c r="N143" s="141">
        <f t="shared" si="56"/>
        <v>0</v>
      </c>
      <c r="O143" s="141">
        <f t="shared" si="56"/>
        <v>0</v>
      </c>
      <c r="P143" s="141">
        <f t="shared" si="56"/>
        <v>0</v>
      </c>
      <c r="Q143" s="141">
        <f t="shared" si="56"/>
        <v>0</v>
      </c>
      <c r="R143" s="141">
        <f t="shared" si="56"/>
        <v>0</v>
      </c>
      <c r="S143" s="141">
        <f t="shared" si="56"/>
        <v>0</v>
      </c>
      <c r="T143" s="141">
        <f t="shared" si="56"/>
        <v>0</v>
      </c>
      <c r="U143" s="141">
        <f t="shared" si="56"/>
        <v>0</v>
      </c>
      <c r="V143" s="141">
        <f t="shared" si="56"/>
        <v>0</v>
      </c>
      <c r="W143" s="141">
        <f t="shared" si="56"/>
        <v>0</v>
      </c>
      <c r="X143" s="141">
        <f t="shared" si="56"/>
        <v>0</v>
      </c>
      <c r="Y143" s="141">
        <f t="shared" si="56"/>
        <v>0</v>
      </c>
      <c r="AA143" s="141">
        <f t="shared" si="54"/>
        <v>0</v>
      </c>
      <c r="AB143" s="141">
        <f t="shared" si="54"/>
        <v>0</v>
      </c>
      <c r="AC143" s="141">
        <f t="shared" si="54"/>
        <v>0</v>
      </c>
      <c r="AD143" s="141">
        <f t="shared" si="54"/>
        <v>0</v>
      </c>
      <c r="AE143" s="141">
        <f t="shared" si="54"/>
        <v>0</v>
      </c>
      <c r="AF143" s="141">
        <f t="shared" si="54"/>
        <v>0</v>
      </c>
      <c r="AG143" s="141">
        <f t="shared" si="54"/>
        <v>0</v>
      </c>
      <c r="AH143" s="141">
        <f t="shared" si="54"/>
        <v>0</v>
      </c>
      <c r="AI143" s="141">
        <f t="shared" si="54"/>
        <v>0</v>
      </c>
      <c r="AJ143" s="141">
        <f t="shared" si="54"/>
        <v>0</v>
      </c>
      <c r="AK143" s="141">
        <f t="shared" si="54"/>
        <v>0</v>
      </c>
      <c r="AL143" s="141">
        <f t="shared" si="54"/>
        <v>0</v>
      </c>
      <c r="AM143" s="141">
        <f t="shared" si="54"/>
        <v>0</v>
      </c>
      <c r="AN143" s="141">
        <f t="shared" si="54"/>
        <v>0</v>
      </c>
      <c r="AO143" s="141">
        <f t="shared" si="54"/>
        <v>0</v>
      </c>
      <c r="AP143" s="141">
        <f t="shared" si="54"/>
        <v>0</v>
      </c>
      <c r="AQ143" s="141">
        <f t="shared" si="54"/>
        <v>0</v>
      </c>
      <c r="AR143" s="141">
        <f t="shared" si="54"/>
        <v>0</v>
      </c>
      <c r="AS143" s="141">
        <f t="shared" si="54"/>
        <v>0</v>
      </c>
      <c r="AT143" s="141">
        <f t="shared" si="54"/>
        <v>0</v>
      </c>
      <c r="AU143" s="141">
        <f t="shared" si="54"/>
        <v>0</v>
      </c>
      <c r="AV143" s="141">
        <f t="shared" si="54"/>
        <v>0</v>
      </c>
      <c r="AW143" s="141">
        <f t="shared" si="54"/>
        <v>0</v>
      </c>
      <c r="AX143" s="141">
        <f t="shared" si="54"/>
        <v>0</v>
      </c>
      <c r="AY143" s="141">
        <f t="shared" si="55"/>
        <v>0</v>
      </c>
      <c r="AZ143" s="22" t="s">
        <v>175</v>
      </c>
    </row>
    <row r="144" spans="1:52">
      <c r="A144" s="141" t="s">
        <v>191</v>
      </c>
      <c r="B144" s="141">
        <f t="shared" si="53"/>
        <v>0</v>
      </c>
      <c r="C144" s="141">
        <f t="shared" si="53"/>
        <v>0</v>
      </c>
      <c r="D144" s="141">
        <f t="shared" si="53"/>
        <v>0</v>
      </c>
      <c r="E144" s="141">
        <f t="shared" si="53"/>
        <v>0</v>
      </c>
      <c r="F144" s="141">
        <f t="shared" si="53"/>
        <v>0</v>
      </c>
      <c r="G144" s="141">
        <f t="shared" si="53"/>
        <v>0</v>
      </c>
      <c r="H144" s="141">
        <f t="shared" si="53"/>
        <v>0</v>
      </c>
      <c r="I144" s="141">
        <f t="shared" si="53"/>
        <v>0</v>
      </c>
      <c r="J144" s="141">
        <f t="shared" si="53"/>
        <v>0</v>
      </c>
      <c r="K144" s="141">
        <f t="shared" si="53"/>
        <v>0</v>
      </c>
      <c r="L144" s="141">
        <f t="shared" si="53"/>
        <v>0</v>
      </c>
      <c r="M144" s="141">
        <f t="shared" si="53"/>
        <v>0</v>
      </c>
      <c r="N144" s="141">
        <f t="shared" si="53"/>
        <v>0</v>
      </c>
      <c r="O144" s="141">
        <f t="shared" si="53"/>
        <v>0</v>
      </c>
      <c r="P144" s="141">
        <f t="shared" si="53"/>
        <v>0</v>
      </c>
      <c r="Q144" s="141">
        <f t="shared" si="53"/>
        <v>0</v>
      </c>
      <c r="R144" s="141">
        <f t="shared" si="53"/>
        <v>0</v>
      </c>
      <c r="S144" s="141">
        <f t="shared" si="53"/>
        <v>0</v>
      </c>
      <c r="T144" s="141">
        <f t="shared" si="53"/>
        <v>0</v>
      </c>
      <c r="U144" s="141">
        <f t="shared" si="53"/>
        <v>0</v>
      </c>
      <c r="V144" s="141">
        <f t="shared" si="53"/>
        <v>0</v>
      </c>
      <c r="W144" s="141">
        <f t="shared" si="53"/>
        <v>0</v>
      </c>
      <c r="X144" s="141">
        <f t="shared" si="53"/>
        <v>0</v>
      </c>
      <c r="Y144" s="141">
        <f t="shared" si="53"/>
        <v>0</v>
      </c>
      <c r="AA144" s="141">
        <f t="shared" si="54"/>
        <v>0</v>
      </c>
      <c r="AB144" s="141">
        <f t="shared" si="54"/>
        <v>0</v>
      </c>
      <c r="AC144" s="141">
        <f t="shared" si="54"/>
        <v>0</v>
      </c>
      <c r="AD144" s="141">
        <f t="shared" si="54"/>
        <v>0</v>
      </c>
      <c r="AE144" s="141">
        <f t="shared" si="54"/>
        <v>0</v>
      </c>
      <c r="AF144" s="141">
        <f t="shared" si="54"/>
        <v>0</v>
      </c>
      <c r="AG144" s="141">
        <f t="shared" si="54"/>
        <v>0</v>
      </c>
      <c r="AH144" s="141">
        <f t="shared" si="54"/>
        <v>0</v>
      </c>
      <c r="AI144" s="141">
        <f t="shared" si="54"/>
        <v>0</v>
      </c>
      <c r="AJ144" s="141">
        <f t="shared" si="54"/>
        <v>0</v>
      </c>
      <c r="AK144" s="141">
        <f t="shared" si="54"/>
        <v>0</v>
      </c>
      <c r="AL144" s="141">
        <f t="shared" si="54"/>
        <v>0</v>
      </c>
      <c r="AM144" s="141">
        <f t="shared" si="54"/>
        <v>0</v>
      </c>
      <c r="AN144" s="141">
        <f t="shared" si="54"/>
        <v>0</v>
      </c>
      <c r="AO144" s="141">
        <f t="shared" si="54"/>
        <v>0</v>
      </c>
      <c r="AP144" s="141">
        <f t="shared" si="54"/>
        <v>0</v>
      </c>
      <c r="AQ144" s="141">
        <f t="shared" si="54"/>
        <v>0</v>
      </c>
      <c r="AR144" s="141">
        <f t="shared" si="54"/>
        <v>0</v>
      </c>
      <c r="AS144" s="141">
        <f t="shared" si="54"/>
        <v>0</v>
      </c>
      <c r="AT144" s="141">
        <f t="shared" si="54"/>
        <v>0</v>
      </c>
      <c r="AU144" s="141">
        <f t="shared" si="54"/>
        <v>0</v>
      </c>
      <c r="AV144" s="141">
        <f t="shared" si="54"/>
        <v>0</v>
      </c>
      <c r="AW144" s="141">
        <f t="shared" si="54"/>
        <v>0</v>
      </c>
      <c r="AX144" s="141">
        <f t="shared" si="54"/>
        <v>0</v>
      </c>
      <c r="AY144" s="141">
        <f t="shared" si="55"/>
        <v>0</v>
      </c>
      <c r="AZ144" s="22" t="s">
        <v>175</v>
      </c>
    </row>
    <row r="145" spans="1:52">
      <c r="A145" s="141" t="s">
        <v>192</v>
      </c>
      <c r="B145" s="141">
        <f t="shared" si="53"/>
        <v>0</v>
      </c>
      <c r="C145" s="141">
        <f t="shared" si="53"/>
        <v>0</v>
      </c>
      <c r="D145" s="141">
        <f t="shared" si="53"/>
        <v>0</v>
      </c>
      <c r="E145" s="141">
        <f t="shared" si="53"/>
        <v>0</v>
      </c>
      <c r="F145" s="141">
        <f t="shared" si="53"/>
        <v>0</v>
      </c>
      <c r="G145" s="141">
        <f t="shared" si="53"/>
        <v>0</v>
      </c>
      <c r="H145" s="141">
        <f t="shared" si="53"/>
        <v>0</v>
      </c>
      <c r="I145" s="141">
        <f t="shared" si="53"/>
        <v>0</v>
      </c>
      <c r="J145" s="141">
        <f>IF(IFERROR(FIND($A$136,K11,1),0)=0,0,1)</f>
        <v>0</v>
      </c>
      <c r="K145" s="141">
        <f t="shared" si="53"/>
        <v>0</v>
      </c>
      <c r="L145" s="141">
        <f t="shared" si="53"/>
        <v>0</v>
      </c>
      <c r="M145" s="141">
        <f t="shared" si="53"/>
        <v>0</v>
      </c>
      <c r="N145" s="141">
        <f t="shared" si="53"/>
        <v>0</v>
      </c>
      <c r="O145" s="141">
        <f t="shared" si="53"/>
        <v>0</v>
      </c>
      <c r="P145" s="141">
        <f t="shared" si="53"/>
        <v>0</v>
      </c>
      <c r="Q145" s="141">
        <f t="shared" si="53"/>
        <v>0</v>
      </c>
      <c r="R145" s="141">
        <f t="shared" si="53"/>
        <v>0</v>
      </c>
      <c r="S145" s="141">
        <f t="shared" si="53"/>
        <v>0</v>
      </c>
      <c r="T145" s="141">
        <f t="shared" si="53"/>
        <v>0</v>
      </c>
      <c r="U145" s="141">
        <f t="shared" si="53"/>
        <v>0</v>
      </c>
      <c r="V145" s="141">
        <f t="shared" si="53"/>
        <v>0</v>
      </c>
      <c r="W145" s="141">
        <f t="shared" si="53"/>
        <v>0</v>
      </c>
      <c r="X145" s="141">
        <f t="shared" si="53"/>
        <v>0</v>
      </c>
      <c r="Y145" s="141">
        <f t="shared" si="53"/>
        <v>0</v>
      </c>
      <c r="AA145" s="141">
        <f t="shared" si="54"/>
        <v>0</v>
      </c>
      <c r="AB145" s="141">
        <f t="shared" si="54"/>
        <v>0</v>
      </c>
      <c r="AC145" s="141">
        <f t="shared" si="54"/>
        <v>0</v>
      </c>
      <c r="AD145" s="141">
        <f t="shared" si="54"/>
        <v>0</v>
      </c>
      <c r="AE145" s="141">
        <f t="shared" si="54"/>
        <v>0</v>
      </c>
      <c r="AF145" s="141">
        <f t="shared" si="54"/>
        <v>0</v>
      </c>
      <c r="AG145" s="141">
        <f t="shared" si="54"/>
        <v>0</v>
      </c>
      <c r="AH145" s="141">
        <f t="shared" si="54"/>
        <v>0</v>
      </c>
      <c r="AI145" s="141">
        <f t="shared" si="54"/>
        <v>0</v>
      </c>
      <c r="AJ145" s="141">
        <f t="shared" si="54"/>
        <v>0</v>
      </c>
      <c r="AK145" s="141">
        <f t="shared" si="54"/>
        <v>0</v>
      </c>
      <c r="AL145" s="141">
        <f t="shared" si="54"/>
        <v>0</v>
      </c>
      <c r="AM145" s="141">
        <f t="shared" si="54"/>
        <v>0</v>
      </c>
      <c r="AN145" s="141">
        <f t="shared" si="54"/>
        <v>0</v>
      </c>
      <c r="AO145" s="141">
        <f t="shared" si="54"/>
        <v>0</v>
      </c>
      <c r="AP145" s="141">
        <f t="shared" si="54"/>
        <v>0</v>
      </c>
      <c r="AQ145" s="141">
        <f t="shared" si="54"/>
        <v>0</v>
      </c>
      <c r="AR145" s="141">
        <f t="shared" si="54"/>
        <v>0</v>
      </c>
      <c r="AS145" s="141">
        <f t="shared" si="54"/>
        <v>0</v>
      </c>
      <c r="AT145" s="141">
        <f t="shared" si="54"/>
        <v>0</v>
      </c>
      <c r="AU145" s="141">
        <f t="shared" si="54"/>
        <v>0</v>
      </c>
      <c r="AV145" s="141">
        <f t="shared" si="54"/>
        <v>0</v>
      </c>
      <c r="AW145" s="141">
        <f t="shared" si="54"/>
        <v>0</v>
      </c>
      <c r="AX145" s="141">
        <f t="shared" si="54"/>
        <v>0</v>
      </c>
      <c r="AY145" s="141">
        <f t="shared" si="55"/>
        <v>0</v>
      </c>
      <c r="AZ145" s="22" t="s">
        <v>175</v>
      </c>
    </row>
    <row r="146" spans="1:52">
      <c r="A146" s="141" t="s">
        <v>193</v>
      </c>
      <c r="B146" s="141">
        <f t="shared" si="53"/>
        <v>0</v>
      </c>
      <c r="C146" s="141">
        <f t="shared" si="53"/>
        <v>0</v>
      </c>
      <c r="D146" s="141">
        <f t="shared" si="53"/>
        <v>0</v>
      </c>
      <c r="E146" s="141">
        <f t="shared" si="53"/>
        <v>0</v>
      </c>
      <c r="F146" s="141">
        <f t="shared" si="53"/>
        <v>0</v>
      </c>
      <c r="G146" s="141">
        <f t="shared" si="53"/>
        <v>0</v>
      </c>
      <c r="H146" s="141">
        <f t="shared" si="53"/>
        <v>0</v>
      </c>
      <c r="I146" s="141">
        <f t="shared" si="53"/>
        <v>0</v>
      </c>
      <c r="J146" s="141">
        <f t="shared" si="53"/>
        <v>0</v>
      </c>
      <c r="K146" s="141">
        <f t="shared" si="53"/>
        <v>0</v>
      </c>
      <c r="L146" s="141">
        <f t="shared" si="53"/>
        <v>0</v>
      </c>
      <c r="M146" s="141">
        <f t="shared" si="53"/>
        <v>0</v>
      </c>
      <c r="N146" s="141">
        <f t="shared" si="53"/>
        <v>0</v>
      </c>
      <c r="O146" s="141">
        <f t="shared" si="53"/>
        <v>0</v>
      </c>
      <c r="P146" s="141">
        <f t="shared" si="53"/>
        <v>0</v>
      </c>
      <c r="Q146" s="141">
        <f t="shared" si="53"/>
        <v>0</v>
      </c>
      <c r="R146" s="141">
        <f t="shared" si="53"/>
        <v>0</v>
      </c>
      <c r="S146" s="141">
        <f t="shared" si="53"/>
        <v>0</v>
      </c>
      <c r="T146" s="141">
        <f t="shared" si="53"/>
        <v>0</v>
      </c>
      <c r="U146" s="141">
        <f t="shared" si="53"/>
        <v>0</v>
      </c>
      <c r="V146" s="141">
        <f t="shared" si="53"/>
        <v>0</v>
      </c>
      <c r="W146" s="141">
        <f t="shared" si="53"/>
        <v>0</v>
      </c>
      <c r="X146" s="141">
        <f t="shared" si="53"/>
        <v>0</v>
      </c>
      <c r="Y146" s="141">
        <f t="shared" si="53"/>
        <v>0</v>
      </c>
      <c r="AA146" s="141">
        <f t="shared" si="54"/>
        <v>0</v>
      </c>
      <c r="AB146" s="141">
        <f t="shared" si="54"/>
        <v>0</v>
      </c>
      <c r="AC146" s="141">
        <f t="shared" si="54"/>
        <v>0</v>
      </c>
      <c r="AD146" s="141">
        <f t="shared" si="54"/>
        <v>0</v>
      </c>
      <c r="AE146" s="141">
        <f t="shared" si="54"/>
        <v>0</v>
      </c>
      <c r="AF146" s="141">
        <f t="shared" si="54"/>
        <v>0</v>
      </c>
      <c r="AG146" s="141">
        <f t="shared" si="54"/>
        <v>0</v>
      </c>
      <c r="AH146" s="141">
        <f t="shared" si="54"/>
        <v>0</v>
      </c>
      <c r="AI146" s="141">
        <f t="shared" si="54"/>
        <v>0</v>
      </c>
      <c r="AJ146" s="141">
        <f t="shared" si="54"/>
        <v>0</v>
      </c>
      <c r="AK146" s="141">
        <f t="shared" si="54"/>
        <v>0</v>
      </c>
      <c r="AL146" s="141">
        <f t="shared" si="54"/>
        <v>0</v>
      </c>
      <c r="AM146" s="141">
        <f t="shared" si="54"/>
        <v>0</v>
      </c>
      <c r="AN146" s="141">
        <f t="shared" si="54"/>
        <v>0</v>
      </c>
      <c r="AO146" s="141">
        <f t="shared" si="54"/>
        <v>0</v>
      </c>
      <c r="AP146" s="141">
        <f t="shared" si="54"/>
        <v>0</v>
      </c>
      <c r="AQ146" s="141">
        <f t="shared" si="54"/>
        <v>0</v>
      </c>
      <c r="AR146" s="141">
        <f t="shared" si="54"/>
        <v>0</v>
      </c>
      <c r="AS146" s="141">
        <f t="shared" si="54"/>
        <v>0</v>
      </c>
      <c r="AT146" s="141">
        <f t="shared" si="54"/>
        <v>0</v>
      </c>
      <c r="AU146" s="141">
        <f t="shared" si="54"/>
        <v>0</v>
      </c>
      <c r="AV146" s="141">
        <f t="shared" si="54"/>
        <v>0</v>
      </c>
      <c r="AW146" s="141">
        <f t="shared" si="54"/>
        <v>0</v>
      </c>
      <c r="AX146" s="141">
        <f t="shared" si="54"/>
        <v>0</v>
      </c>
      <c r="AY146" s="141">
        <f t="shared" si="55"/>
        <v>0</v>
      </c>
      <c r="AZ146" s="22" t="s">
        <v>175</v>
      </c>
    </row>
    <row r="147" spans="1:52">
      <c r="A147" s="141" t="s">
        <v>194</v>
      </c>
      <c r="B147" s="141">
        <f t="shared" si="53"/>
        <v>0</v>
      </c>
      <c r="C147" s="141">
        <f t="shared" si="53"/>
        <v>0</v>
      </c>
      <c r="D147" s="141">
        <f t="shared" si="53"/>
        <v>0</v>
      </c>
      <c r="E147" s="141">
        <f t="shared" si="53"/>
        <v>0</v>
      </c>
      <c r="F147" s="141">
        <f t="shared" si="53"/>
        <v>0</v>
      </c>
      <c r="G147" s="141">
        <f t="shared" si="53"/>
        <v>0</v>
      </c>
      <c r="H147" s="141">
        <f t="shared" si="53"/>
        <v>0</v>
      </c>
      <c r="I147" s="141">
        <f t="shared" si="53"/>
        <v>0</v>
      </c>
      <c r="J147" s="141">
        <f t="shared" si="53"/>
        <v>0</v>
      </c>
      <c r="K147" s="141">
        <f t="shared" si="53"/>
        <v>0</v>
      </c>
      <c r="L147" s="141">
        <f t="shared" si="53"/>
        <v>0</v>
      </c>
      <c r="M147" s="141">
        <f t="shared" si="53"/>
        <v>0</v>
      </c>
      <c r="N147" s="141">
        <f t="shared" si="53"/>
        <v>0</v>
      </c>
      <c r="O147" s="141">
        <f t="shared" si="53"/>
        <v>0</v>
      </c>
      <c r="P147" s="141">
        <f t="shared" si="53"/>
        <v>0</v>
      </c>
      <c r="Q147" s="141">
        <f t="shared" ref="Q147:Y147" si="57">IF(IFERROR(FIND($A$136,Q15,1),0)=0,0,1)</f>
        <v>0</v>
      </c>
      <c r="R147" s="141">
        <f t="shared" si="57"/>
        <v>0</v>
      </c>
      <c r="S147" s="141">
        <f t="shared" si="57"/>
        <v>0</v>
      </c>
      <c r="T147" s="141">
        <f t="shared" si="57"/>
        <v>0</v>
      </c>
      <c r="U147" s="141">
        <f t="shared" si="57"/>
        <v>0</v>
      </c>
      <c r="V147" s="141">
        <f t="shared" si="57"/>
        <v>0</v>
      </c>
      <c r="W147" s="141">
        <f t="shared" si="57"/>
        <v>0</v>
      </c>
      <c r="X147" s="141">
        <f t="shared" si="57"/>
        <v>0</v>
      </c>
      <c r="Y147" s="141">
        <f t="shared" si="57"/>
        <v>0</v>
      </c>
      <c r="AA147" s="141">
        <f t="shared" si="54"/>
        <v>0</v>
      </c>
      <c r="AB147" s="141">
        <f t="shared" si="54"/>
        <v>0</v>
      </c>
      <c r="AC147" s="141">
        <f t="shared" si="54"/>
        <v>0</v>
      </c>
      <c r="AD147" s="141">
        <f t="shared" si="54"/>
        <v>0</v>
      </c>
      <c r="AE147" s="141">
        <f t="shared" si="54"/>
        <v>0</v>
      </c>
      <c r="AF147" s="141">
        <f t="shared" si="54"/>
        <v>0</v>
      </c>
      <c r="AG147" s="141">
        <f t="shared" si="54"/>
        <v>0</v>
      </c>
      <c r="AH147" s="141">
        <f t="shared" si="54"/>
        <v>0</v>
      </c>
      <c r="AI147" s="141">
        <f t="shared" si="54"/>
        <v>0</v>
      </c>
      <c r="AJ147" s="141">
        <f t="shared" si="54"/>
        <v>0</v>
      </c>
      <c r="AK147" s="141">
        <f t="shared" si="54"/>
        <v>0</v>
      </c>
      <c r="AL147" s="141">
        <f t="shared" si="54"/>
        <v>0</v>
      </c>
      <c r="AM147" s="141">
        <f t="shared" si="54"/>
        <v>0</v>
      </c>
      <c r="AN147" s="141">
        <f t="shared" si="54"/>
        <v>0</v>
      </c>
      <c r="AO147" s="141">
        <f t="shared" si="54"/>
        <v>0</v>
      </c>
      <c r="AP147" s="141">
        <f t="shared" ref="AP147:AX162" si="58">IF(Q147=0,0,Q147/AP15)</f>
        <v>0</v>
      </c>
      <c r="AQ147" s="141">
        <f t="shared" si="58"/>
        <v>0</v>
      </c>
      <c r="AR147" s="141">
        <f t="shared" si="58"/>
        <v>0</v>
      </c>
      <c r="AS147" s="141">
        <f t="shared" si="58"/>
        <v>0</v>
      </c>
      <c r="AT147" s="141">
        <f t="shared" si="58"/>
        <v>0</v>
      </c>
      <c r="AU147" s="141">
        <f t="shared" si="58"/>
        <v>0</v>
      </c>
      <c r="AV147" s="141">
        <f t="shared" si="58"/>
        <v>0</v>
      </c>
      <c r="AW147" s="141">
        <f t="shared" si="58"/>
        <v>0</v>
      </c>
      <c r="AX147" s="141">
        <f t="shared" si="58"/>
        <v>0</v>
      </c>
      <c r="AY147" s="141">
        <f t="shared" si="55"/>
        <v>0</v>
      </c>
      <c r="AZ147" s="22" t="s">
        <v>175</v>
      </c>
    </row>
    <row r="148" spans="1:52">
      <c r="A148" s="141" t="s">
        <v>195</v>
      </c>
      <c r="B148" s="141">
        <f t="shared" ref="B148:Y158" si="59">IF(IFERROR(FIND($A$136,B16,1),0)=0,0,1)</f>
        <v>0</v>
      </c>
      <c r="C148" s="141">
        <f t="shared" si="59"/>
        <v>0</v>
      </c>
      <c r="D148" s="141">
        <f t="shared" si="59"/>
        <v>0</v>
      </c>
      <c r="E148" s="141">
        <f t="shared" si="59"/>
        <v>0</v>
      </c>
      <c r="F148" s="141">
        <f t="shared" si="59"/>
        <v>0</v>
      </c>
      <c r="G148" s="141">
        <f t="shared" si="59"/>
        <v>0</v>
      </c>
      <c r="H148" s="141">
        <f t="shared" si="59"/>
        <v>0</v>
      </c>
      <c r="I148" s="141">
        <f t="shared" si="59"/>
        <v>0</v>
      </c>
      <c r="J148" s="141">
        <f t="shared" si="59"/>
        <v>0</v>
      </c>
      <c r="K148" s="141">
        <f t="shared" si="59"/>
        <v>0</v>
      </c>
      <c r="L148" s="141">
        <f t="shared" si="59"/>
        <v>0</v>
      </c>
      <c r="M148" s="141">
        <f t="shared" si="59"/>
        <v>0</v>
      </c>
      <c r="N148" s="141">
        <f t="shared" si="59"/>
        <v>0</v>
      </c>
      <c r="O148" s="141">
        <f t="shared" si="59"/>
        <v>0</v>
      </c>
      <c r="P148" s="141">
        <f t="shared" si="59"/>
        <v>0</v>
      </c>
      <c r="Q148" s="141">
        <f t="shared" si="59"/>
        <v>0</v>
      </c>
      <c r="R148" s="141">
        <f t="shared" si="59"/>
        <v>0</v>
      </c>
      <c r="S148" s="141">
        <f t="shared" si="59"/>
        <v>0</v>
      </c>
      <c r="T148" s="141">
        <f t="shared" si="59"/>
        <v>0</v>
      </c>
      <c r="U148" s="141">
        <f t="shared" si="59"/>
        <v>0</v>
      </c>
      <c r="V148" s="141">
        <f t="shared" si="59"/>
        <v>0</v>
      </c>
      <c r="W148" s="141">
        <f t="shared" si="59"/>
        <v>0</v>
      </c>
      <c r="X148" s="141">
        <f t="shared" si="59"/>
        <v>0</v>
      </c>
      <c r="Y148" s="141">
        <f t="shared" si="59"/>
        <v>0</v>
      </c>
      <c r="AA148" s="141">
        <f t="shared" ref="AA148:AP163" si="60">IF(B148=0,0,B148/AA16)</f>
        <v>0</v>
      </c>
      <c r="AB148" s="141">
        <f t="shared" si="60"/>
        <v>0</v>
      </c>
      <c r="AC148" s="141">
        <f t="shared" si="60"/>
        <v>0</v>
      </c>
      <c r="AD148" s="141">
        <f t="shared" si="60"/>
        <v>0</v>
      </c>
      <c r="AE148" s="141">
        <f t="shared" si="60"/>
        <v>0</v>
      </c>
      <c r="AF148" s="141">
        <f t="shared" si="60"/>
        <v>0</v>
      </c>
      <c r="AG148" s="141">
        <f t="shared" si="60"/>
        <v>0</v>
      </c>
      <c r="AH148" s="141">
        <f t="shared" si="60"/>
        <v>0</v>
      </c>
      <c r="AI148" s="141">
        <f t="shared" si="60"/>
        <v>0</v>
      </c>
      <c r="AJ148" s="141">
        <f t="shared" si="60"/>
        <v>0</v>
      </c>
      <c r="AK148" s="141">
        <f t="shared" si="60"/>
        <v>0</v>
      </c>
      <c r="AL148" s="141">
        <f t="shared" si="60"/>
        <v>0</v>
      </c>
      <c r="AM148" s="141">
        <f t="shared" si="60"/>
        <v>0</v>
      </c>
      <c r="AN148" s="141">
        <f t="shared" si="60"/>
        <v>0</v>
      </c>
      <c r="AO148" s="141">
        <f t="shared" si="60"/>
        <v>0</v>
      </c>
      <c r="AP148" s="141">
        <f t="shared" si="58"/>
        <v>0</v>
      </c>
      <c r="AQ148" s="141">
        <f t="shared" si="58"/>
        <v>0</v>
      </c>
      <c r="AR148" s="141">
        <f t="shared" si="58"/>
        <v>0</v>
      </c>
      <c r="AS148" s="141">
        <f t="shared" si="58"/>
        <v>0</v>
      </c>
      <c r="AT148" s="141">
        <f t="shared" si="58"/>
        <v>0</v>
      </c>
      <c r="AU148" s="141">
        <f t="shared" si="58"/>
        <v>0</v>
      </c>
      <c r="AV148" s="141">
        <f t="shared" si="58"/>
        <v>0</v>
      </c>
      <c r="AW148" s="141">
        <f t="shared" si="58"/>
        <v>0</v>
      </c>
      <c r="AX148" s="141">
        <f t="shared" si="58"/>
        <v>0</v>
      </c>
      <c r="AY148" s="141">
        <f t="shared" si="55"/>
        <v>0</v>
      </c>
      <c r="AZ148" s="22" t="s">
        <v>175</v>
      </c>
    </row>
    <row r="149" spans="1:52">
      <c r="A149" s="141" t="s">
        <v>196</v>
      </c>
      <c r="B149" s="141">
        <f t="shared" si="59"/>
        <v>0</v>
      </c>
      <c r="C149" s="141">
        <f t="shared" si="59"/>
        <v>0</v>
      </c>
      <c r="D149" s="141">
        <f t="shared" si="59"/>
        <v>0</v>
      </c>
      <c r="E149" s="141">
        <f t="shared" si="59"/>
        <v>0</v>
      </c>
      <c r="F149" s="141">
        <f t="shared" si="59"/>
        <v>0</v>
      </c>
      <c r="G149" s="141">
        <f t="shared" si="59"/>
        <v>0</v>
      </c>
      <c r="H149" s="141">
        <f t="shared" si="59"/>
        <v>0</v>
      </c>
      <c r="I149" s="141">
        <f t="shared" si="59"/>
        <v>0</v>
      </c>
      <c r="J149" s="141">
        <f t="shared" si="59"/>
        <v>0</v>
      </c>
      <c r="K149" s="141">
        <f t="shared" si="59"/>
        <v>0</v>
      </c>
      <c r="L149" s="141">
        <f t="shared" si="59"/>
        <v>0</v>
      </c>
      <c r="M149" s="141">
        <f t="shared" si="59"/>
        <v>0</v>
      </c>
      <c r="N149" s="141">
        <f t="shared" si="59"/>
        <v>0</v>
      </c>
      <c r="O149" s="141">
        <f t="shared" si="59"/>
        <v>0</v>
      </c>
      <c r="P149" s="141">
        <f t="shared" si="59"/>
        <v>0</v>
      </c>
      <c r="Q149" s="141">
        <f t="shared" si="59"/>
        <v>0</v>
      </c>
      <c r="R149" s="141">
        <f t="shared" si="59"/>
        <v>0</v>
      </c>
      <c r="S149" s="141">
        <f t="shared" si="59"/>
        <v>0</v>
      </c>
      <c r="T149" s="141">
        <f t="shared" si="59"/>
        <v>0</v>
      </c>
      <c r="U149" s="141">
        <f t="shared" si="59"/>
        <v>0</v>
      </c>
      <c r="V149" s="141">
        <f t="shared" si="59"/>
        <v>0</v>
      </c>
      <c r="W149" s="141">
        <f t="shared" si="59"/>
        <v>0</v>
      </c>
      <c r="X149" s="141">
        <f t="shared" si="59"/>
        <v>0</v>
      </c>
      <c r="Y149" s="141">
        <f t="shared" si="59"/>
        <v>0</v>
      </c>
      <c r="AA149" s="141">
        <f t="shared" si="60"/>
        <v>0</v>
      </c>
      <c r="AB149" s="141">
        <f t="shared" si="60"/>
        <v>0</v>
      </c>
      <c r="AC149" s="141">
        <f t="shared" si="60"/>
        <v>0</v>
      </c>
      <c r="AD149" s="141">
        <f t="shared" si="60"/>
        <v>0</v>
      </c>
      <c r="AE149" s="141">
        <f t="shared" si="60"/>
        <v>0</v>
      </c>
      <c r="AF149" s="141">
        <f t="shared" si="60"/>
        <v>0</v>
      </c>
      <c r="AG149" s="141">
        <f t="shared" si="60"/>
        <v>0</v>
      </c>
      <c r="AH149" s="141">
        <f t="shared" si="60"/>
        <v>0</v>
      </c>
      <c r="AI149" s="141">
        <f t="shared" si="60"/>
        <v>0</v>
      </c>
      <c r="AJ149" s="141">
        <f t="shared" si="60"/>
        <v>0</v>
      </c>
      <c r="AK149" s="141">
        <f t="shared" si="60"/>
        <v>0</v>
      </c>
      <c r="AL149" s="141">
        <f t="shared" si="60"/>
        <v>0</v>
      </c>
      <c r="AM149" s="141">
        <f t="shared" si="60"/>
        <v>0</v>
      </c>
      <c r="AN149" s="141">
        <f t="shared" si="60"/>
        <v>0</v>
      </c>
      <c r="AO149" s="141">
        <f t="shared" si="60"/>
        <v>0</v>
      </c>
      <c r="AP149" s="141">
        <f t="shared" si="58"/>
        <v>0</v>
      </c>
      <c r="AQ149" s="141">
        <f t="shared" si="58"/>
        <v>0</v>
      </c>
      <c r="AR149" s="141">
        <f t="shared" si="58"/>
        <v>0</v>
      </c>
      <c r="AS149" s="141">
        <f t="shared" si="58"/>
        <v>0</v>
      </c>
      <c r="AT149" s="141">
        <f t="shared" si="58"/>
        <v>0</v>
      </c>
      <c r="AU149" s="141">
        <f t="shared" si="58"/>
        <v>0</v>
      </c>
      <c r="AV149" s="141">
        <f t="shared" si="58"/>
        <v>0</v>
      </c>
      <c r="AW149" s="141">
        <f t="shared" si="58"/>
        <v>0</v>
      </c>
      <c r="AX149" s="141">
        <f t="shared" si="58"/>
        <v>0</v>
      </c>
      <c r="AY149" s="141">
        <f t="shared" si="55"/>
        <v>0</v>
      </c>
      <c r="AZ149" s="22" t="s">
        <v>175</v>
      </c>
    </row>
    <row r="150" spans="1:52">
      <c r="A150" s="141" t="s">
        <v>197</v>
      </c>
      <c r="B150" s="141">
        <f t="shared" si="59"/>
        <v>0</v>
      </c>
      <c r="C150" s="141">
        <f t="shared" si="59"/>
        <v>0</v>
      </c>
      <c r="D150" s="141">
        <f t="shared" si="59"/>
        <v>0</v>
      </c>
      <c r="E150" s="141">
        <f t="shared" si="59"/>
        <v>0</v>
      </c>
      <c r="F150" s="141">
        <f t="shared" si="59"/>
        <v>0</v>
      </c>
      <c r="G150" s="141">
        <f t="shared" si="59"/>
        <v>0</v>
      </c>
      <c r="H150" s="141">
        <f t="shared" si="59"/>
        <v>0</v>
      </c>
      <c r="I150" s="141">
        <f t="shared" si="59"/>
        <v>0</v>
      </c>
      <c r="J150" s="141">
        <f t="shared" si="59"/>
        <v>0</v>
      </c>
      <c r="K150" s="141">
        <f t="shared" si="59"/>
        <v>0</v>
      </c>
      <c r="L150" s="141">
        <f t="shared" si="59"/>
        <v>0</v>
      </c>
      <c r="M150" s="141">
        <f t="shared" si="59"/>
        <v>0</v>
      </c>
      <c r="N150" s="141">
        <f t="shared" si="59"/>
        <v>0</v>
      </c>
      <c r="O150" s="141">
        <f t="shared" si="59"/>
        <v>0</v>
      </c>
      <c r="P150" s="141">
        <f t="shared" si="59"/>
        <v>0</v>
      </c>
      <c r="Q150" s="141">
        <f t="shared" si="59"/>
        <v>0</v>
      </c>
      <c r="R150" s="141">
        <f t="shared" si="59"/>
        <v>0</v>
      </c>
      <c r="S150" s="141">
        <f t="shared" si="59"/>
        <v>0</v>
      </c>
      <c r="T150" s="141">
        <f t="shared" si="59"/>
        <v>0</v>
      </c>
      <c r="U150" s="141">
        <f t="shared" si="59"/>
        <v>0</v>
      </c>
      <c r="V150" s="141">
        <f t="shared" si="59"/>
        <v>0</v>
      </c>
      <c r="W150" s="141">
        <f t="shared" si="59"/>
        <v>0</v>
      </c>
      <c r="X150" s="141">
        <f t="shared" si="59"/>
        <v>0</v>
      </c>
      <c r="Y150" s="141">
        <f t="shared" si="59"/>
        <v>0</v>
      </c>
      <c r="AA150" s="141">
        <f t="shared" si="60"/>
        <v>0</v>
      </c>
      <c r="AB150" s="141">
        <f t="shared" si="60"/>
        <v>0</v>
      </c>
      <c r="AC150" s="141">
        <f t="shared" si="60"/>
        <v>0</v>
      </c>
      <c r="AD150" s="141">
        <f t="shared" si="60"/>
        <v>0</v>
      </c>
      <c r="AE150" s="141">
        <f t="shared" si="60"/>
        <v>0</v>
      </c>
      <c r="AF150" s="141">
        <f t="shared" si="60"/>
        <v>0</v>
      </c>
      <c r="AG150" s="141">
        <f t="shared" si="60"/>
        <v>0</v>
      </c>
      <c r="AH150" s="141">
        <f t="shared" si="60"/>
        <v>0</v>
      </c>
      <c r="AI150" s="141">
        <f t="shared" si="60"/>
        <v>0</v>
      </c>
      <c r="AJ150" s="141">
        <f t="shared" si="60"/>
        <v>0</v>
      </c>
      <c r="AK150" s="141">
        <f t="shared" si="60"/>
        <v>0</v>
      </c>
      <c r="AL150" s="141">
        <f t="shared" si="60"/>
        <v>0</v>
      </c>
      <c r="AM150" s="141">
        <f t="shared" si="60"/>
        <v>0</v>
      </c>
      <c r="AN150" s="141">
        <f t="shared" si="60"/>
        <v>0</v>
      </c>
      <c r="AO150" s="141">
        <f t="shared" si="60"/>
        <v>0</v>
      </c>
      <c r="AP150" s="141">
        <f t="shared" si="58"/>
        <v>0</v>
      </c>
      <c r="AQ150" s="141">
        <f t="shared" si="58"/>
        <v>0</v>
      </c>
      <c r="AR150" s="141">
        <f t="shared" si="58"/>
        <v>0</v>
      </c>
      <c r="AS150" s="141">
        <f t="shared" si="58"/>
        <v>0</v>
      </c>
      <c r="AT150" s="141">
        <f t="shared" si="58"/>
        <v>0</v>
      </c>
      <c r="AU150" s="141">
        <f t="shared" si="58"/>
        <v>0</v>
      </c>
      <c r="AV150" s="141">
        <f t="shared" si="58"/>
        <v>0</v>
      </c>
      <c r="AW150" s="141">
        <f t="shared" si="58"/>
        <v>0</v>
      </c>
      <c r="AX150" s="141">
        <f t="shared" si="58"/>
        <v>0</v>
      </c>
      <c r="AY150" s="141">
        <f t="shared" si="55"/>
        <v>0</v>
      </c>
      <c r="AZ150" s="22" t="s">
        <v>175</v>
      </c>
    </row>
    <row r="151" spans="1:52">
      <c r="A151" s="141" t="s">
        <v>198</v>
      </c>
      <c r="B151" s="141">
        <f t="shared" si="59"/>
        <v>0</v>
      </c>
      <c r="C151" s="141">
        <f t="shared" si="59"/>
        <v>0</v>
      </c>
      <c r="D151" s="141">
        <f t="shared" si="59"/>
        <v>0</v>
      </c>
      <c r="E151" s="141">
        <f t="shared" si="59"/>
        <v>0</v>
      </c>
      <c r="F151" s="141">
        <f t="shared" si="59"/>
        <v>0</v>
      </c>
      <c r="G151" s="141">
        <f t="shared" si="59"/>
        <v>0</v>
      </c>
      <c r="H151" s="141">
        <f t="shared" si="59"/>
        <v>0</v>
      </c>
      <c r="I151" s="141">
        <f t="shared" si="59"/>
        <v>0</v>
      </c>
      <c r="J151" s="141">
        <f t="shared" si="59"/>
        <v>0</v>
      </c>
      <c r="K151" s="141">
        <f t="shared" si="59"/>
        <v>0</v>
      </c>
      <c r="L151" s="141">
        <f t="shared" si="59"/>
        <v>0</v>
      </c>
      <c r="M151" s="141">
        <f t="shared" si="59"/>
        <v>0</v>
      </c>
      <c r="N151" s="141">
        <f t="shared" si="59"/>
        <v>0</v>
      </c>
      <c r="O151" s="141">
        <f t="shared" si="59"/>
        <v>0</v>
      </c>
      <c r="P151" s="141">
        <f t="shared" si="59"/>
        <v>0</v>
      </c>
      <c r="Q151" s="141">
        <f t="shared" si="59"/>
        <v>0</v>
      </c>
      <c r="R151" s="141">
        <f t="shared" si="59"/>
        <v>0</v>
      </c>
      <c r="S151" s="141">
        <f t="shared" si="59"/>
        <v>0</v>
      </c>
      <c r="T151" s="141">
        <f t="shared" si="59"/>
        <v>0</v>
      </c>
      <c r="U151" s="141">
        <f t="shared" si="59"/>
        <v>0</v>
      </c>
      <c r="V151" s="141">
        <f t="shared" si="59"/>
        <v>0</v>
      </c>
      <c r="W151" s="141">
        <f t="shared" si="59"/>
        <v>0</v>
      </c>
      <c r="X151" s="141">
        <f t="shared" si="59"/>
        <v>0</v>
      </c>
      <c r="Y151" s="141">
        <f t="shared" si="59"/>
        <v>0</v>
      </c>
      <c r="AA151" s="141">
        <f t="shared" si="60"/>
        <v>0</v>
      </c>
      <c r="AB151" s="141">
        <f t="shared" si="60"/>
        <v>0</v>
      </c>
      <c r="AC151" s="141">
        <f t="shared" si="60"/>
        <v>0</v>
      </c>
      <c r="AD151" s="141">
        <f t="shared" si="60"/>
        <v>0</v>
      </c>
      <c r="AE151" s="141">
        <f t="shared" si="60"/>
        <v>0</v>
      </c>
      <c r="AF151" s="141">
        <f t="shared" si="60"/>
        <v>0</v>
      </c>
      <c r="AG151" s="141">
        <f t="shared" si="60"/>
        <v>0</v>
      </c>
      <c r="AH151" s="141">
        <f t="shared" si="60"/>
        <v>0</v>
      </c>
      <c r="AI151" s="141">
        <f t="shared" si="60"/>
        <v>0</v>
      </c>
      <c r="AJ151" s="141">
        <f t="shared" si="60"/>
        <v>0</v>
      </c>
      <c r="AK151" s="141">
        <f t="shared" si="60"/>
        <v>0</v>
      </c>
      <c r="AL151" s="141">
        <f t="shared" si="60"/>
        <v>0</v>
      </c>
      <c r="AM151" s="141">
        <f t="shared" si="60"/>
        <v>0</v>
      </c>
      <c r="AN151" s="141">
        <f t="shared" si="60"/>
        <v>0</v>
      </c>
      <c r="AO151" s="141">
        <f t="shared" si="60"/>
        <v>0</v>
      </c>
      <c r="AP151" s="141">
        <f t="shared" si="58"/>
        <v>0</v>
      </c>
      <c r="AQ151" s="141">
        <f t="shared" si="58"/>
        <v>0</v>
      </c>
      <c r="AR151" s="141">
        <f t="shared" si="58"/>
        <v>0</v>
      </c>
      <c r="AS151" s="141">
        <f t="shared" si="58"/>
        <v>0</v>
      </c>
      <c r="AT151" s="141">
        <f t="shared" si="58"/>
        <v>0</v>
      </c>
      <c r="AU151" s="141">
        <f t="shared" si="58"/>
        <v>0</v>
      </c>
      <c r="AV151" s="141">
        <f t="shared" si="58"/>
        <v>0</v>
      </c>
      <c r="AW151" s="141">
        <f t="shared" si="58"/>
        <v>0</v>
      </c>
      <c r="AX151" s="141">
        <f t="shared" si="58"/>
        <v>0</v>
      </c>
      <c r="AY151" s="141">
        <f t="shared" si="55"/>
        <v>0</v>
      </c>
      <c r="AZ151" s="22" t="s">
        <v>175</v>
      </c>
    </row>
    <row r="152" spans="1:52">
      <c r="A152" s="141" t="s">
        <v>199</v>
      </c>
      <c r="B152" s="141">
        <f t="shared" si="59"/>
        <v>0</v>
      </c>
      <c r="C152" s="141">
        <f t="shared" si="59"/>
        <v>0</v>
      </c>
      <c r="D152" s="141">
        <f t="shared" si="59"/>
        <v>0</v>
      </c>
      <c r="E152" s="141">
        <f t="shared" si="59"/>
        <v>0</v>
      </c>
      <c r="F152" s="141">
        <f t="shared" si="59"/>
        <v>0</v>
      </c>
      <c r="G152" s="141">
        <f t="shared" si="59"/>
        <v>0</v>
      </c>
      <c r="H152" s="141">
        <f t="shared" si="59"/>
        <v>0</v>
      </c>
      <c r="I152" s="141">
        <f t="shared" si="59"/>
        <v>0</v>
      </c>
      <c r="J152" s="141">
        <f t="shared" si="59"/>
        <v>0</v>
      </c>
      <c r="K152" s="141">
        <f t="shared" si="59"/>
        <v>0</v>
      </c>
      <c r="L152" s="141">
        <f t="shared" si="59"/>
        <v>0</v>
      </c>
      <c r="M152" s="141">
        <f t="shared" si="59"/>
        <v>0</v>
      </c>
      <c r="N152" s="141">
        <f t="shared" si="59"/>
        <v>0</v>
      </c>
      <c r="O152" s="141">
        <f t="shared" si="59"/>
        <v>0</v>
      </c>
      <c r="P152" s="141">
        <f t="shared" si="59"/>
        <v>0</v>
      </c>
      <c r="Q152" s="141">
        <f t="shared" si="59"/>
        <v>0</v>
      </c>
      <c r="R152" s="141">
        <f t="shared" si="59"/>
        <v>0</v>
      </c>
      <c r="S152" s="141">
        <f t="shared" si="59"/>
        <v>0</v>
      </c>
      <c r="T152" s="141">
        <f t="shared" si="59"/>
        <v>0</v>
      </c>
      <c r="U152" s="141">
        <f t="shared" si="59"/>
        <v>0</v>
      </c>
      <c r="V152" s="141">
        <f t="shared" si="59"/>
        <v>0</v>
      </c>
      <c r="W152" s="141">
        <f t="shared" si="59"/>
        <v>0</v>
      </c>
      <c r="X152" s="141">
        <f t="shared" si="59"/>
        <v>0</v>
      </c>
      <c r="Y152" s="141">
        <f t="shared" si="59"/>
        <v>0</v>
      </c>
      <c r="AA152" s="141">
        <f t="shared" si="60"/>
        <v>0</v>
      </c>
      <c r="AB152" s="141">
        <f t="shared" si="60"/>
        <v>0</v>
      </c>
      <c r="AC152" s="141">
        <f t="shared" si="60"/>
        <v>0</v>
      </c>
      <c r="AD152" s="141">
        <f t="shared" si="60"/>
        <v>0</v>
      </c>
      <c r="AE152" s="141">
        <f t="shared" si="60"/>
        <v>0</v>
      </c>
      <c r="AF152" s="141">
        <f t="shared" si="60"/>
        <v>0</v>
      </c>
      <c r="AG152" s="141">
        <f t="shared" si="60"/>
        <v>0</v>
      </c>
      <c r="AH152" s="141">
        <f t="shared" si="60"/>
        <v>0</v>
      </c>
      <c r="AI152" s="141">
        <f t="shared" si="60"/>
        <v>0</v>
      </c>
      <c r="AJ152" s="141">
        <f t="shared" si="60"/>
        <v>0</v>
      </c>
      <c r="AK152" s="141">
        <f t="shared" si="60"/>
        <v>0</v>
      </c>
      <c r="AL152" s="141">
        <f t="shared" si="60"/>
        <v>0</v>
      </c>
      <c r="AM152" s="141">
        <f t="shared" si="60"/>
        <v>0</v>
      </c>
      <c r="AN152" s="141">
        <f t="shared" si="60"/>
        <v>0</v>
      </c>
      <c r="AO152" s="141">
        <f t="shared" si="60"/>
        <v>0</v>
      </c>
      <c r="AP152" s="141">
        <f t="shared" si="58"/>
        <v>0</v>
      </c>
      <c r="AQ152" s="141">
        <f t="shared" si="58"/>
        <v>0</v>
      </c>
      <c r="AR152" s="141">
        <f t="shared" si="58"/>
        <v>0</v>
      </c>
      <c r="AS152" s="141">
        <f t="shared" si="58"/>
        <v>0</v>
      </c>
      <c r="AT152" s="141">
        <f t="shared" si="58"/>
        <v>0</v>
      </c>
      <c r="AU152" s="141">
        <f t="shared" si="58"/>
        <v>0</v>
      </c>
      <c r="AV152" s="141">
        <f t="shared" si="58"/>
        <v>0</v>
      </c>
      <c r="AW152" s="141">
        <f t="shared" si="58"/>
        <v>0</v>
      </c>
      <c r="AX152" s="141">
        <f t="shared" si="58"/>
        <v>0</v>
      </c>
      <c r="AY152" s="141">
        <f t="shared" si="55"/>
        <v>0</v>
      </c>
      <c r="AZ152" s="22" t="s">
        <v>175</v>
      </c>
    </row>
    <row r="153" spans="1:52">
      <c r="A153" s="141" t="s">
        <v>200</v>
      </c>
      <c r="B153" s="141">
        <f t="shared" si="59"/>
        <v>0</v>
      </c>
      <c r="C153" s="141">
        <f t="shared" si="59"/>
        <v>0</v>
      </c>
      <c r="D153" s="141">
        <f t="shared" si="59"/>
        <v>0</v>
      </c>
      <c r="E153" s="141">
        <f t="shared" si="59"/>
        <v>0</v>
      </c>
      <c r="F153" s="141">
        <f t="shared" si="59"/>
        <v>0</v>
      </c>
      <c r="G153" s="141">
        <f t="shared" si="59"/>
        <v>0</v>
      </c>
      <c r="H153" s="141">
        <f t="shared" si="59"/>
        <v>0</v>
      </c>
      <c r="I153" s="141">
        <f t="shared" si="59"/>
        <v>0</v>
      </c>
      <c r="J153" s="141">
        <f t="shared" si="59"/>
        <v>0</v>
      </c>
      <c r="K153" s="141">
        <f t="shared" si="59"/>
        <v>0</v>
      </c>
      <c r="L153" s="141">
        <f t="shared" si="59"/>
        <v>0</v>
      </c>
      <c r="M153" s="141">
        <f t="shared" si="59"/>
        <v>0</v>
      </c>
      <c r="N153" s="141">
        <f t="shared" si="59"/>
        <v>0</v>
      </c>
      <c r="O153" s="141">
        <f t="shared" si="59"/>
        <v>0</v>
      </c>
      <c r="P153" s="141">
        <f t="shared" si="59"/>
        <v>0</v>
      </c>
      <c r="Q153" s="141">
        <f t="shared" si="59"/>
        <v>0</v>
      </c>
      <c r="R153" s="141">
        <f t="shared" si="59"/>
        <v>0</v>
      </c>
      <c r="S153" s="141">
        <f t="shared" si="59"/>
        <v>0</v>
      </c>
      <c r="T153" s="141">
        <f t="shared" si="59"/>
        <v>0</v>
      </c>
      <c r="U153" s="141">
        <f t="shared" si="59"/>
        <v>0</v>
      </c>
      <c r="V153" s="141">
        <f t="shared" si="59"/>
        <v>0</v>
      </c>
      <c r="W153" s="141">
        <f t="shared" si="59"/>
        <v>0</v>
      </c>
      <c r="X153" s="141">
        <f t="shared" si="59"/>
        <v>0</v>
      </c>
      <c r="Y153" s="141">
        <f t="shared" si="59"/>
        <v>0</v>
      </c>
      <c r="AA153" s="141">
        <f t="shared" si="60"/>
        <v>0</v>
      </c>
      <c r="AB153" s="141">
        <f t="shared" si="60"/>
        <v>0</v>
      </c>
      <c r="AC153" s="141">
        <f t="shared" si="60"/>
        <v>0</v>
      </c>
      <c r="AD153" s="141">
        <f t="shared" si="60"/>
        <v>0</v>
      </c>
      <c r="AE153" s="141">
        <f t="shared" si="60"/>
        <v>0</v>
      </c>
      <c r="AF153" s="141">
        <f t="shared" si="60"/>
        <v>0</v>
      </c>
      <c r="AG153" s="141">
        <f t="shared" si="60"/>
        <v>0</v>
      </c>
      <c r="AH153" s="141">
        <f t="shared" si="60"/>
        <v>0</v>
      </c>
      <c r="AI153" s="141">
        <f t="shared" si="60"/>
        <v>0</v>
      </c>
      <c r="AJ153" s="141">
        <f t="shared" si="60"/>
        <v>0</v>
      </c>
      <c r="AK153" s="141">
        <f t="shared" si="60"/>
        <v>0</v>
      </c>
      <c r="AL153" s="141">
        <f t="shared" si="60"/>
        <v>0</v>
      </c>
      <c r="AM153" s="141">
        <f t="shared" si="60"/>
        <v>0</v>
      </c>
      <c r="AN153" s="141">
        <f t="shared" si="60"/>
        <v>0</v>
      </c>
      <c r="AO153" s="141">
        <f t="shared" si="60"/>
        <v>0</v>
      </c>
      <c r="AP153" s="141">
        <f t="shared" si="58"/>
        <v>0</v>
      </c>
      <c r="AQ153" s="141">
        <f t="shared" si="58"/>
        <v>0</v>
      </c>
      <c r="AR153" s="141">
        <f t="shared" si="58"/>
        <v>0</v>
      </c>
      <c r="AS153" s="141">
        <f t="shared" si="58"/>
        <v>0</v>
      </c>
      <c r="AT153" s="141">
        <f t="shared" si="58"/>
        <v>0</v>
      </c>
      <c r="AU153" s="141">
        <f t="shared" si="58"/>
        <v>0</v>
      </c>
      <c r="AV153" s="141">
        <f t="shared" si="58"/>
        <v>0</v>
      </c>
      <c r="AW153" s="141">
        <f t="shared" si="58"/>
        <v>0</v>
      </c>
      <c r="AX153" s="141">
        <f t="shared" si="58"/>
        <v>0</v>
      </c>
      <c r="AY153" s="141">
        <f t="shared" si="55"/>
        <v>0</v>
      </c>
      <c r="AZ153" s="22" t="s">
        <v>175</v>
      </c>
    </row>
    <row r="154" spans="1:52">
      <c r="A154" s="141" t="s">
        <v>201</v>
      </c>
      <c r="B154" s="141">
        <f t="shared" si="59"/>
        <v>0</v>
      </c>
      <c r="C154" s="141">
        <f t="shared" si="59"/>
        <v>0</v>
      </c>
      <c r="D154" s="141">
        <f t="shared" si="59"/>
        <v>0</v>
      </c>
      <c r="E154" s="141">
        <f t="shared" si="59"/>
        <v>0</v>
      </c>
      <c r="F154" s="141">
        <f t="shared" si="59"/>
        <v>0</v>
      </c>
      <c r="G154" s="141">
        <f t="shared" si="59"/>
        <v>0</v>
      </c>
      <c r="H154" s="141">
        <f t="shared" si="59"/>
        <v>0</v>
      </c>
      <c r="I154" s="141">
        <f t="shared" si="59"/>
        <v>0</v>
      </c>
      <c r="J154" s="141">
        <f t="shared" si="59"/>
        <v>0</v>
      </c>
      <c r="K154" s="141">
        <f t="shared" si="59"/>
        <v>0</v>
      </c>
      <c r="L154" s="141">
        <f t="shared" si="59"/>
        <v>0</v>
      </c>
      <c r="M154" s="141">
        <f t="shared" si="59"/>
        <v>0</v>
      </c>
      <c r="N154" s="141">
        <f t="shared" si="59"/>
        <v>0</v>
      </c>
      <c r="O154" s="141">
        <f t="shared" si="59"/>
        <v>0</v>
      </c>
      <c r="P154" s="141">
        <f t="shared" si="59"/>
        <v>0</v>
      </c>
      <c r="Q154" s="141">
        <f t="shared" si="59"/>
        <v>0</v>
      </c>
      <c r="R154" s="141">
        <f t="shared" si="59"/>
        <v>0</v>
      </c>
      <c r="S154" s="141">
        <f t="shared" si="59"/>
        <v>0</v>
      </c>
      <c r="T154" s="141">
        <f t="shared" si="59"/>
        <v>0</v>
      </c>
      <c r="U154" s="141">
        <f t="shared" si="59"/>
        <v>0</v>
      </c>
      <c r="V154" s="141">
        <f t="shared" si="59"/>
        <v>0</v>
      </c>
      <c r="W154" s="141">
        <f t="shared" si="59"/>
        <v>0</v>
      </c>
      <c r="X154" s="141">
        <f t="shared" si="59"/>
        <v>0</v>
      </c>
      <c r="Y154" s="141">
        <f t="shared" si="59"/>
        <v>0</v>
      </c>
      <c r="AA154" s="141">
        <f t="shared" si="60"/>
        <v>0</v>
      </c>
      <c r="AB154" s="141">
        <f t="shared" si="60"/>
        <v>0</v>
      </c>
      <c r="AC154" s="141">
        <f t="shared" si="60"/>
        <v>0</v>
      </c>
      <c r="AD154" s="141">
        <f t="shared" si="60"/>
        <v>0</v>
      </c>
      <c r="AE154" s="141">
        <f t="shared" si="60"/>
        <v>0</v>
      </c>
      <c r="AF154" s="141">
        <f t="shared" si="60"/>
        <v>0</v>
      </c>
      <c r="AG154" s="141">
        <f t="shared" si="60"/>
        <v>0</v>
      </c>
      <c r="AH154" s="141">
        <f t="shared" si="60"/>
        <v>0</v>
      </c>
      <c r="AI154" s="141">
        <f t="shared" si="60"/>
        <v>0</v>
      </c>
      <c r="AJ154" s="141">
        <f t="shared" si="60"/>
        <v>0</v>
      </c>
      <c r="AK154" s="141">
        <f t="shared" si="60"/>
        <v>0</v>
      </c>
      <c r="AL154" s="141">
        <f t="shared" si="60"/>
        <v>0</v>
      </c>
      <c r="AM154" s="141">
        <f t="shared" si="60"/>
        <v>0</v>
      </c>
      <c r="AN154" s="141">
        <f t="shared" si="60"/>
        <v>0</v>
      </c>
      <c r="AO154" s="141">
        <f t="shared" si="60"/>
        <v>0</v>
      </c>
      <c r="AP154" s="141">
        <f t="shared" si="58"/>
        <v>0</v>
      </c>
      <c r="AQ154" s="141">
        <f t="shared" si="58"/>
        <v>0</v>
      </c>
      <c r="AR154" s="141">
        <f t="shared" si="58"/>
        <v>0</v>
      </c>
      <c r="AS154" s="141">
        <f t="shared" si="58"/>
        <v>0</v>
      </c>
      <c r="AT154" s="141">
        <f t="shared" si="58"/>
        <v>0</v>
      </c>
      <c r="AU154" s="141">
        <f t="shared" si="58"/>
        <v>0</v>
      </c>
      <c r="AV154" s="141">
        <f t="shared" si="58"/>
        <v>0</v>
      </c>
      <c r="AW154" s="141">
        <f t="shared" si="58"/>
        <v>0</v>
      </c>
      <c r="AX154" s="141">
        <f t="shared" si="58"/>
        <v>0</v>
      </c>
      <c r="AY154" s="141">
        <f t="shared" si="55"/>
        <v>0</v>
      </c>
      <c r="AZ154" s="22" t="s">
        <v>175</v>
      </c>
    </row>
    <row r="155" spans="1:52">
      <c r="A155" s="141" t="s">
        <v>202</v>
      </c>
      <c r="B155" s="141">
        <f t="shared" si="59"/>
        <v>0</v>
      </c>
      <c r="C155" s="141">
        <f t="shared" si="59"/>
        <v>0</v>
      </c>
      <c r="D155" s="141">
        <f t="shared" si="59"/>
        <v>0</v>
      </c>
      <c r="E155" s="141">
        <f t="shared" si="59"/>
        <v>0</v>
      </c>
      <c r="F155" s="141">
        <f t="shared" si="59"/>
        <v>0</v>
      </c>
      <c r="G155" s="141">
        <f t="shared" si="59"/>
        <v>0</v>
      </c>
      <c r="H155" s="141">
        <f t="shared" si="59"/>
        <v>0</v>
      </c>
      <c r="I155" s="141">
        <f t="shared" si="59"/>
        <v>0</v>
      </c>
      <c r="J155" s="141">
        <f t="shared" si="59"/>
        <v>0</v>
      </c>
      <c r="K155" s="141">
        <f t="shared" si="59"/>
        <v>0</v>
      </c>
      <c r="L155" s="141">
        <f t="shared" si="59"/>
        <v>0</v>
      </c>
      <c r="M155" s="141">
        <f t="shared" si="59"/>
        <v>0</v>
      </c>
      <c r="N155" s="141">
        <f t="shared" si="59"/>
        <v>0</v>
      </c>
      <c r="O155" s="141">
        <f t="shared" si="59"/>
        <v>0</v>
      </c>
      <c r="P155" s="141">
        <f t="shared" si="59"/>
        <v>0</v>
      </c>
      <c r="Q155" s="141">
        <f t="shared" si="59"/>
        <v>0</v>
      </c>
      <c r="R155" s="141">
        <f t="shared" si="59"/>
        <v>0</v>
      </c>
      <c r="S155" s="141">
        <f t="shared" si="59"/>
        <v>0</v>
      </c>
      <c r="T155" s="141">
        <f t="shared" si="59"/>
        <v>0</v>
      </c>
      <c r="U155" s="141">
        <f t="shared" si="59"/>
        <v>0</v>
      </c>
      <c r="V155" s="141">
        <f t="shared" si="59"/>
        <v>0</v>
      </c>
      <c r="W155" s="141">
        <f t="shared" si="59"/>
        <v>0</v>
      </c>
      <c r="X155" s="141">
        <f t="shared" si="59"/>
        <v>0</v>
      </c>
      <c r="Y155" s="141">
        <f t="shared" si="59"/>
        <v>0</v>
      </c>
      <c r="AA155" s="141">
        <f t="shared" si="60"/>
        <v>0</v>
      </c>
      <c r="AB155" s="141">
        <f t="shared" si="60"/>
        <v>0</v>
      </c>
      <c r="AC155" s="141">
        <f t="shared" si="60"/>
        <v>0</v>
      </c>
      <c r="AD155" s="141">
        <f t="shared" si="60"/>
        <v>0</v>
      </c>
      <c r="AE155" s="141">
        <f t="shared" si="60"/>
        <v>0</v>
      </c>
      <c r="AF155" s="141">
        <f t="shared" si="60"/>
        <v>0</v>
      </c>
      <c r="AG155" s="141">
        <f t="shared" si="60"/>
        <v>0</v>
      </c>
      <c r="AH155" s="141">
        <f t="shared" si="60"/>
        <v>0</v>
      </c>
      <c r="AI155" s="141">
        <f t="shared" si="60"/>
        <v>0</v>
      </c>
      <c r="AJ155" s="141">
        <f t="shared" si="60"/>
        <v>0</v>
      </c>
      <c r="AK155" s="141">
        <f t="shared" si="60"/>
        <v>0</v>
      </c>
      <c r="AL155" s="141">
        <f t="shared" si="60"/>
        <v>0</v>
      </c>
      <c r="AM155" s="141">
        <f t="shared" si="60"/>
        <v>0</v>
      </c>
      <c r="AN155" s="141">
        <f t="shared" si="60"/>
        <v>0</v>
      </c>
      <c r="AO155" s="141">
        <f t="shared" si="60"/>
        <v>0</v>
      </c>
      <c r="AP155" s="141">
        <f t="shared" si="58"/>
        <v>0</v>
      </c>
      <c r="AQ155" s="141">
        <f t="shared" si="58"/>
        <v>0</v>
      </c>
      <c r="AR155" s="141">
        <f t="shared" si="58"/>
        <v>0</v>
      </c>
      <c r="AS155" s="141">
        <f t="shared" si="58"/>
        <v>0</v>
      </c>
      <c r="AT155" s="141">
        <f t="shared" si="58"/>
        <v>0</v>
      </c>
      <c r="AU155" s="141">
        <f t="shared" si="58"/>
        <v>0</v>
      </c>
      <c r="AV155" s="141">
        <f t="shared" si="58"/>
        <v>0</v>
      </c>
      <c r="AW155" s="141">
        <f t="shared" si="58"/>
        <v>0</v>
      </c>
      <c r="AX155" s="141">
        <f t="shared" si="58"/>
        <v>0</v>
      </c>
      <c r="AY155" s="141">
        <f t="shared" si="55"/>
        <v>0</v>
      </c>
      <c r="AZ155" s="22" t="s">
        <v>175</v>
      </c>
    </row>
    <row r="156" spans="1:52">
      <c r="A156" s="141" t="s">
        <v>203</v>
      </c>
      <c r="B156" s="141">
        <f t="shared" si="59"/>
        <v>0</v>
      </c>
      <c r="C156" s="141">
        <f t="shared" si="59"/>
        <v>0</v>
      </c>
      <c r="D156" s="141">
        <f t="shared" si="59"/>
        <v>0</v>
      </c>
      <c r="E156" s="141">
        <f t="shared" si="59"/>
        <v>0</v>
      </c>
      <c r="F156" s="141">
        <f t="shared" si="59"/>
        <v>0</v>
      </c>
      <c r="G156" s="141">
        <f t="shared" si="59"/>
        <v>0</v>
      </c>
      <c r="H156" s="141">
        <f t="shared" si="59"/>
        <v>0</v>
      </c>
      <c r="I156" s="141">
        <f t="shared" si="59"/>
        <v>0</v>
      </c>
      <c r="J156" s="141">
        <f t="shared" si="59"/>
        <v>0</v>
      </c>
      <c r="K156" s="141">
        <f t="shared" si="59"/>
        <v>0</v>
      </c>
      <c r="L156" s="141">
        <f t="shared" si="59"/>
        <v>0</v>
      </c>
      <c r="M156" s="141">
        <f t="shared" si="59"/>
        <v>0</v>
      </c>
      <c r="N156" s="141">
        <f t="shared" si="59"/>
        <v>0</v>
      </c>
      <c r="O156" s="141">
        <f t="shared" si="59"/>
        <v>0</v>
      </c>
      <c r="P156" s="141">
        <f t="shared" si="59"/>
        <v>0</v>
      </c>
      <c r="Q156" s="141">
        <f t="shared" si="59"/>
        <v>0</v>
      </c>
      <c r="R156" s="141">
        <f t="shared" si="59"/>
        <v>0</v>
      </c>
      <c r="S156" s="141">
        <f t="shared" si="59"/>
        <v>0</v>
      </c>
      <c r="T156" s="141">
        <f t="shared" si="59"/>
        <v>0</v>
      </c>
      <c r="U156" s="141">
        <f t="shared" si="59"/>
        <v>0</v>
      </c>
      <c r="V156" s="141">
        <f t="shared" si="59"/>
        <v>0</v>
      </c>
      <c r="W156" s="141">
        <f t="shared" si="59"/>
        <v>0</v>
      </c>
      <c r="X156" s="141">
        <f t="shared" si="59"/>
        <v>0</v>
      </c>
      <c r="Y156" s="141">
        <f t="shared" si="59"/>
        <v>0</v>
      </c>
      <c r="AA156" s="141">
        <f t="shared" si="60"/>
        <v>0</v>
      </c>
      <c r="AB156" s="141">
        <f t="shared" si="60"/>
        <v>0</v>
      </c>
      <c r="AC156" s="141">
        <f t="shared" si="60"/>
        <v>0</v>
      </c>
      <c r="AD156" s="141">
        <f t="shared" si="60"/>
        <v>0</v>
      </c>
      <c r="AE156" s="141">
        <f t="shared" si="60"/>
        <v>0</v>
      </c>
      <c r="AF156" s="141">
        <f t="shared" si="60"/>
        <v>0</v>
      </c>
      <c r="AG156" s="141">
        <f t="shared" si="60"/>
        <v>0</v>
      </c>
      <c r="AH156" s="141">
        <f t="shared" si="60"/>
        <v>0</v>
      </c>
      <c r="AI156" s="141">
        <f t="shared" si="60"/>
        <v>0</v>
      </c>
      <c r="AJ156" s="141">
        <f t="shared" si="60"/>
        <v>0</v>
      </c>
      <c r="AK156" s="141">
        <f t="shared" si="60"/>
        <v>0</v>
      </c>
      <c r="AL156" s="141">
        <f t="shared" si="60"/>
        <v>0</v>
      </c>
      <c r="AM156" s="141">
        <f t="shared" si="60"/>
        <v>0</v>
      </c>
      <c r="AN156" s="141">
        <f t="shared" si="60"/>
        <v>0</v>
      </c>
      <c r="AO156" s="141">
        <f t="shared" si="60"/>
        <v>0</v>
      </c>
      <c r="AP156" s="141">
        <f t="shared" si="58"/>
        <v>0</v>
      </c>
      <c r="AQ156" s="141">
        <f t="shared" si="58"/>
        <v>0</v>
      </c>
      <c r="AR156" s="141">
        <f t="shared" si="58"/>
        <v>0</v>
      </c>
      <c r="AS156" s="141">
        <f t="shared" si="58"/>
        <v>0</v>
      </c>
      <c r="AT156" s="141">
        <f t="shared" si="58"/>
        <v>0</v>
      </c>
      <c r="AU156" s="141">
        <f t="shared" si="58"/>
        <v>0</v>
      </c>
      <c r="AV156" s="141">
        <f t="shared" si="58"/>
        <v>0</v>
      </c>
      <c r="AW156" s="141">
        <f t="shared" si="58"/>
        <v>0</v>
      </c>
      <c r="AX156" s="141">
        <f t="shared" si="58"/>
        <v>0</v>
      </c>
      <c r="AY156" s="141">
        <f t="shared" si="55"/>
        <v>0</v>
      </c>
      <c r="AZ156" s="22" t="s">
        <v>175</v>
      </c>
    </row>
    <row r="157" spans="1:52">
      <c r="A157" s="141" t="s">
        <v>204</v>
      </c>
      <c r="B157" s="141">
        <f t="shared" si="59"/>
        <v>0</v>
      </c>
      <c r="C157" s="141">
        <f t="shared" si="59"/>
        <v>0</v>
      </c>
      <c r="D157" s="141">
        <f t="shared" si="59"/>
        <v>0</v>
      </c>
      <c r="E157" s="141">
        <f t="shared" si="59"/>
        <v>0</v>
      </c>
      <c r="F157" s="141">
        <f t="shared" si="59"/>
        <v>0</v>
      </c>
      <c r="G157" s="141">
        <f t="shared" si="59"/>
        <v>0</v>
      </c>
      <c r="H157" s="141">
        <f t="shared" si="59"/>
        <v>0</v>
      </c>
      <c r="I157" s="141">
        <f t="shared" si="59"/>
        <v>0</v>
      </c>
      <c r="J157" s="141">
        <f t="shared" si="59"/>
        <v>0</v>
      </c>
      <c r="K157" s="141">
        <f t="shared" si="59"/>
        <v>0</v>
      </c>
      <c r="L157" s="141">
        <f t="shared" si="59"/>
        <v>0</v>
      </c>
      <c r="M157" s="141">
        <f t="shared" si="59"/>
        <v>0</v>
      </c>
      <c r="N157" s="141">
        <f t="shared" si="59"/>
        <v>0</v>
      </c>
      <c r="O157" s="141">
        <f t="shared" si="59"/>
        <v>0</v>
      </c>
      <c r="P157" s="141">
        <f t="shared" si="59"/>
        <v>0</v>
      </c>
      <c r="Q157" s="141">
        <f t="shared" si="59"/>
        <v>0</v>
      </c>
      <c r="R157" s="141">
        <f t="shared" si="59"/>
        <v>0</v>
      </c>
      <c r="S157" s="141">
        <f t="shared" si="59"/>
        <v>0</v>
      </c>
      <c r="T157" s="141">
        <f t="shared" si="59"/>
        <v>0</v>
      </c>
      <c r="U157" s="141">
        <f t="shared" si="59"/>
        <v>0</v>
      </c>
      <c r="V157" s="141">
        <f t="shared" si="59"/>
        <v>0</v>
      </c>
      <c r="W157" s="141">
        <f t="shared" si="59"/>
        <v>0</v>
      </c>
      <c r="X157" s="141">
        <f t="shared" si="59"/>
        <v>0</v>
      </c>
      <c r="Y157" s="141">
        <f t="shared" si="59"/>
        <v>0</v>
      </c>
      <c r="AA157" s="141">
        <f t="shared" si="60"/>
        <v>0</v>
      </c>
      <c r="AB157" s="141">
        <f t="shared" si="60"/>
        <v>0</v>
      </c>
      <c r="AC157" s="141">
        <f t="shared" si="60"/>
        <v>0</v>
      </c>
      <c r="AD157" s="141">
        <f t="shared" si="60"/>
        <v>0</v>
      </c>
      <c r="AE157" s="141">
        <f t="shared" si="60"/>
        <v>0</v>
      </c>
      <c r="AF157" s="141">
        <f t="shared" si="60"/>
        <v>0</v>
      </c>
      <c r="AG157" s="141">
        <f t="shared" si="60"/>
        <v>0</v>
      </c>
      <c r="AH157" s="141">
        <f t="shared" si="60"/>
        <v>0</v>
      </c>
      <c r="AI157" s="141">
        <f t="shared" si="60"/>
        <v>0</v>
      </c>
      <c r="AJ157" s="141">
        <f t="shared" si="60"/>
        <v>0</v>
      </c>
      <c r="AK157" s="141">
        <f t="shared" si="60"/>
        <v>0</v>
      </c>
      <c r="AL157" s="141">
        <f t="shared" si="60"/>
        <v>0</v>
      </c>
      <c r="AM157" s="141">
        <f t="shared" si="60"/>
        <v>0</v>
      </c>
      <c r="AN157" s="141">
        <f t="shared" si="60"/>
        <v>0</v>
      </c>
      <c r="AO157" s="141">
        <f t="shared" si="60"/>
        <v>0</v>
      </c>
      <c r="AP157" s="141">
        <f t="shared" si="58"/>
        <v>0</v>
      </c>
      <c r="AQ157" s="141">
        <f t="shared" si="58"/>
        <v>0</v>
      </c>
      <c r="AR157" s="141">
        <f t="shared" si="58"/>
        <v>0</v>
      </c>
      <c r="AS157" s="141">
        <f t="shared" si="58"/>
        <v>0</v>
      </c>
      <c r="AT157" s="141">
        <f t="shared" si="58"/>
        <v>0</v>
      </c>
      <c r="AU157" s="141">
        <f t="shared" si="58"/>
        <v>0</v>
      </c>
      <c r="AV157" s="141">
        <f t="shared" si="58"/>
        <v>0</v>
      </c>
      <c r="AW157" s="141">
        <f t="shared" si="58"/>
        <v>0</v>
      </c>
      <c r="AX157" s="141">
        <f t="shared" si="58"/>
        <v>0</v>
      </c>
      <c r="AY157" s="141">
        <f t="shared" si="55"/>
        <v>0</v>
      </c>
      <c r="AZ157" s="22" t="s">
        <v>175</v>
      </c>
    </row>
    <row r="158" spans="1:52">
      <c r="A158" s="141" t="s">
        <v>205</v>
      </c>
      <c r="B158" s="141">
        <f t="shared" si="59"/>
        <v>0</v>
      </c>
      <c r="C158" s="141">
        <f t="shared" si="59"/>
        <v>0</v>
      </c>
      <c r="D158" s="141">
        <f t="shared" si="59"/>
        <v>0</v>
      </c>
      <c r="E158" s="141">
        <f t="shared" si="59"/>
        <v>0</v>
      </c>
      <c r="F158" s="141">
        <f t="shared" si="59"/>
        <v>0</v>
      </c>
      <c r="G158" s="141">
        <f t="shared" si="59"/>
        <v>0</v>
      </c>
      <c r="H158" s="141">
        <f t="shared" si="59"/>
        <v>0</v>
      </c>
      <c r="I158" s="141">
        <f t="shared" si="59"/>
        <v>0</v>
      </c>
      <c r="J158" s="141">
        <f t="shared" si="59"/>
        <v>0</v>
      </c>
      <c r="K158" s="141">
        <f t="shared" si="59"/>
        <v>0</v>
      </c>
      <c r="L158" s="141">
        <f t="shared" si="59"/>
        <v>0</v>
      </c>
      <c r="M158" s="141">
        <f t="shared" si="59"/>
        <v>0</v>
      </c>
      <c r="N158" s="141">
        <f t="shared" si="59"/>
        <v>0</v>
      </c>
      <c r="O158" s="141">
        <f t="shared" si="59"/>
        <v>0</v>
      </c>
      <c r="P158" s="141">
        <f t="shared" si="59"/>
        <v>0</v>
      </c>
      <c r="Q158" s="141">
        <f t="shared" ref="Q158:Y158" si="61">IF(IFERROR(FIND($A$136,Q26,1),0)=0,0,1)</f>
        <v>0</v>
      </c>
      <c r="R158" s="141">
        <f t="shared" si="61"/>
        <v>0</v>
      </c>
      <c r="S158" s="141">
        <f t="shared" si="61"/>
        <v>0</v>
      </c>
      <c r="T158" s="141">
        <f t="shared" si="61"/>
        <v>0</v>
      </c>
      <c r="U158" s="141">
        <f t="shared" si="61"/>
        <v>0</v>
      </c>
      <c r="V158" s="141">
        <f t="shared" si="61"/>
        <v>0</v>
      </c>
      <c r="W158" s="141">
        <f t="shared" si="61"/>
        <v>0</v>
      </c>
      <c r="X158" s="141">
        <f t="shared" si="61"/>
        <v>0</v>
      </c>
      <c r="Y158" s="141">
        <f t="shared" si="61"/>
        <v>0</v>
      </c>
      <c r="AA158" s="141">
        <f t="shared" si="60"/>
        <v>0</v>
      </c>
      <c r="AB158" s="141">
        <f t="shared" si="60"/>
        <v>0</v>
      </c>
      <c r="AC158" s="141">
        <f t="shared" si="60"/>
        <v>0</v>
      </c>
      <c r="AD158" s="141">
        <f t="shared" si="60"/>
        <v>0</v>
      </c>
      <c r="AE158" s="141">
        <f t="shared" si="60"/>
        <v>0</v>
      </c>
      <c r="AF158" s="141">
        <f t="shared" si="60"/>
        <v>0</v>
      </c>
      <c r="AG158" s="141">
        <f t="shared" si="60"/>
        <v>0</v>
      </c>
      <c r="AH158" s="141">
        <f t="shared" si="60"/>
        <v>0</v>
      </c>
      <c r="AI158" s="141">
        <f t="shared" si="60"/>
        <v>0</v>
      </c>
      <c r="AJ158" s="141">
        <f t="shared" si="60"/>
        <v>0</v>
      </c>
      <c r="AK158" s="141">
        <f t="shared" si="60"/>
        <v>0</v>
      </c>
      <c r="AL158" s="141">
        <f t="shared" si="60"/>
        <v>0</v>
      </c>
      <c r="AM158" s="141">
        <f t="shared" si="60"/>
        <v>0</v>
      </c>
      <c r="AN158" s="141">
        <f t="shared" si="60"/>
        <v>0</v>
      </c>
      <c r="AO158" s="141">
        <f t="shared" si="60"/>
        <v>0</v>
      </c>
      <c r="AP158" s="141">
        <f t="shared" si="58"/>
        <v>0</v>
      </c>
      <c r="AQ158" s="141">
        <f t="shared" si="58"/>
        <v>0</v>
      </c>
      <c r="AR158" s="141">
        <f t="shared" si="58"/>
        <v>0</v>
      </c>
      <c r="AS158" s="141">
        <f t="shared" si="58"/>
        <v>0</v>
      </c>
      <c r="AT158" s="141">
        <f t="shared" si="58"/>
        <v>0</v>
      </c>
      <c r="AU158" s="141">
        <f t="shared" si="58"/>
        <v>0</v>
      </c>
      <c r="AV158" s="141">
        <f t="shared" si="58"/>
        <v>0</v>
      </c>
      <c r="AW158" s="141">
        <f t="shared" si="58"/>
        <v>0</v>
      </c>
      <c r="AX158" s="141">
        <f t="shared" si="58"/>
        <v>0</v>
      </c>
      <c r="AY158" s="141">
        <f t="shared" si="55"/>
        <v>0</v>
      </c>
      <c r="AZ158" s="22" t="s">
        <v>175</v>
      </c>
    </row>
    <row r="159" spans="1:52">
      <c r="A159" s="141" t="s">
        <v>206</v>
      </c>
      <c r="B159" s="141">
        <f t="shared" ref="B159:Y167" si="62">IF(IFERROR(FIND($A$136,B27,1),0)=0,0,1)</f>
        <v>0</v>
      </c>
      <c r="C159" s="141">
        <f t="shared" si="62"/>
        <v>0</v>
      </c>
      <c r="D159" s="141">
        <f t="shared" si="62"/>
        <v>0</v>
      </c>
      <c r="E159" s="141">
        <f t="shared" si="62"/>
        <v>0</v>
      </c>
      <c r="F159" s="141">
        <f t="shared" si="62"/>
        <v>0</v>
      </c>
      <c r="G159" s="141">
        <f t="shared" si="62"/>
        <v>0</v>
      </c>
      <c r="H159" s="141">
        <f t="shared" si="62"/>
        <v>0</v>
      </c>
      <c r="I159" s="141">
        <f t="shared" si="62"/>
        <v>0</v>
      </c>
      <c r="J159" s="141">
        <f t="shared" si="62"/>
        <v>0</v>
      </c>
      <c r="K159" s="141">
        <f t="shared" si="62"/>
        <v>0</v>
      </c>
      <c r="L159" s="141">
        <f t="shared" si="62"/>
        <v>0</v>
      </c>
      <c r="M159" s="141">
        <f t="shared" si="62"/>
        <v>0</v>
      </c>
      <c r="N159" s="141">
        <f t="shared" si="62"/>
        <v>0</v>
      </c>
      <c r="O159" s="141">
        <f t="shared" si="62"/>
        <v>0</v>
      </c>
      <c r="P159" s="141">
        <f t="shared" si="62"/>
        <v>0</v>
      </c>
      <c r="Q159" s="141">
        <f t="shared" si="62"/>
        <v>0</v>
      </c>
      <c r="R159" s="141">
        <f t="shared" si="62"/>
        <v>0</v>
      </c>
      <c r="S159" s="141">
        <f t="shared" si="62"/>
        <v>0</v>
      </c>
      <c r="T159" s="141">
        <f t="shared" si="62"/>
        <v>0</v>
      </c>
      <c r="U159" s="141">
        <f t="shared" si="62"/>
        <v>0</v>
      </c>
      <c r="V159" s="141">
        <f t="shared" si="62"/>
        <v>0</v>
      </c>
      <c r="W159" s="141">
        <f t="shared" si="62"/>
        <v>0</v>
      </c>
      <c r="X159" s="141">
        <f t="shared" si="62"/>
        <v>0</v>
      </c>
      <c r="Y159" s="141">
        <f t="shared" si="62"/>
        <v>0</v>
      </c>
      <c r="AA159" s="141">
        <f t="shared" si="60"/>
        <v>0</v>
      </c>
      <c r="AB159" s="141">
        <f t="shared" si="60"/>
        <v>0</v>
      </c>
      <c r="AC159" s="141">
        <f t="shared" si="60"/>
        <v>0</v>
      </c>
      <c r="AD159" s="141">
        <f t="shared" si="60"/>
        <v>0</v>
      </c>
      <c r="AE159" s="141">
        <f t="shared" si="60"/>
        <v>0</v>
      </c>
      <c r="AF159" s="141">
        <f t="shared" si="60"/>
        <v>0</v>
      </c>
      <c r="AG159" s="141">
        <f t="shared" si="60"/>
        <v>0</v>
      </c>
      <c r="AH159" s="141">
        <f t="shared" si="60"/>
        <v>0</v>
      </c>
      <c r="AI159" s="141">
        <f t="shared" si="60"/>
        <v>0</v>
      </c>
      <c r="AJ159" s="141">
        <f t="shared" si="60"/>
        <v>0</v>
      </c>
      <c r="AK159" s="141">
        <f t="shared" si="60"/>
        <v>0</v>
      </c>
      <c r="AL159" s="141">
        <f t="shared" si="60"/>
        <v>0</v>
      </c>
      <c r="AM159" s="141">
        <f t="shared" si="60"/>
        <v>0</v>
      </c>
      <c r="AN159" s="141">
        <f t="shared" si="60"/>
        <v>0</v>
      </c>
      <c r="AO159" s="141">
        <f t="shared" si="60"/>
        <v>0</v>
      </c>
      <c r="AP159" s="141">
        <f t="shared" si="58"/>
        <v>0</v>
      </c>
      <c r="AQ159" s="141">
        <f t="shared" si="58"/>
        <v>0</v>
      </c>
      <c r="AR159" s="141">
        <f t="shared" si="58"/>
        <v>0</v>
      </c>
      <c r="AS159" s="141">
        <f t="shared" si="58"/>
        <v>0</v>
      </c>
      <c r="AT159" s="141">
        <f t="shared" si="58"/>
        <v>0</v>
      </c>
      <c r="AU159" s="141">
        <f t="shared" si="58"/>
        <v>0</v>
      </c>
      <c r="AV159" s="141">
        <f t="shared" si="58"/>
        <v>0</v>
      </c>
      <c r="AW159" s="141">
        <f t="shared" si="58"/>
        <v>0</v>
      </c>
      <c r="AX159" s="141">
        <f t="shared" si="58"/>
        <v>0</v>
      </c>
      <c r="AY159" s="141">
        <f t="shared" si="55"/>
        <v>0</v>
      </c>
      <c r="AZ159" s="22" t="s">
        <v>175</v>
      </c>
    </row>
    <row r="160" spans="1:52">
      <c r="A160" s="141" t="s">
        <v>207</v>
      </c>
      <c r="B160" s="141">
        <f t="shared" si="62"/>
        <v>0</v>
      </c>
      <c r="C160" s="141">
        <f t="shared" si="62"/>
        <v>0</v>
      </c>
      <c r="D160" s="141">
        <f t="shared" si="62"/>
        <v>0</v>
      </c>
      <c r="E160" s="141">
        <f t="shared" si="62"/>
        <v>0</v>
      </c>
      <c r="F160" s="141">
        <f t="shared" si="62"/>
        <v>0</v>
      </c>
      <c r="G160" s="141">
        <f t="shared" si="62"/>
        <v>0</v>
      </c>
      <c r="H160" s="141">
        <f t="shared" si="62"/>
        <v>0</v>
      </c>
      <c r="I160" s="141">
        <f t="shared" si="62"/>
        <v>0</v>
      </c>
      <c r="J160" s="141">
        <f t="shared" si="62"/>
        <v>0</v>
      </c>
      <c r="K160" s="141">
        <f t="shared" si="62"/>
        <v>0</v>
      </c>
      <c r="L160" s="141">
        <f t="shared" si="62"/>
        <v>0</v>
      </c>
      <c r="M160" s="141">
        <f t="shared" si="62"/>
        <v>0</v>
      </c>
      <c r="N160" s="141">
        <f t="shared" si="62"/>
        <v>0</v>
      </c>
      <c r="O160" s="141">
        <f t="shared" si="62"/>
        <v>0</v>
      </c>
      <c r="P160" s="141">
        <f t="shared" si="62"/>
        <v>0</v>
      </c>
      <c r="Q160" s="141">
        <f t="shared" si="62"/>
        <v>0</v>
      </c>
      <c r="R160" s="141">
        <f t="shared" si="62"/>
        <v>0</v>
      </c>
      <c r="S160" s="141">
        <f t="shared" si="62"/>
        <v>0</v>
      </c>
      <c r="T160" s="141">
        <f t="shared" si="62"/>
        <v>0</v>
      </c>
      <c r="U160" s="141">
        <f t="shared" si="62"/>
        <v>0</v>
      </c>
      <c r="V160" s="141">
        <f t="shared" si="62"/>
        <v>0</v>
      </c>
      <c r="W160" s="141">
        <f t="shared" si="62"/>
        <v>0</v>
      </c>
      <c r="X160" s="141">
        <f t="shared" si="62"/>
        <v>0</v>
      </c>
      <c r="Y160" s="141">
        <f t="shared" si="62"/>
        <v>0</v>
      </c>
      <c r="AA160" s="141">
        <f t="shared" si="60"/>
        <v>0</v>
      </c>
      <c r="AB160" s="141">
        <f t="shared" si="60"/>
        <v>0</v>
      </c>
      <c r="AC160" s="141">
        <f t="shared" si="60"/>
        <v>0</v>
      </c>
      <c r="AD160" s="141">
        <f t="shared" si="60"/>
        <v>0</v>
      </c>
      <c r="AE160" s="141">
        <f t="shared" si="60"/>
        <v>0</v>
      </c>
      <c r="AF160" s="141">
        <f t="shared" si="60"/>
        <v>0</v>
      </c>
      <c r="AG160" s="141">
        <f t="shared" si="60"/>
        <v>0</v>
      </c>
      <c r="AH160" s="141">
        <f t="shared" si="60"/>
        <v>0</v>
      </c>
      <c r="AI160" s="141">
        <f t="shared" si="60"/>
        <v>0</v>
      </c>
      <c r="AJ160" s="141">
        <f t="shared" si="60"/>
        <v>0</v>
      </c>
      <c r="AK160" s="141">
        <f t="shared" si="60"/>
        <v>0</v>
      </c>
      <c r="AL160" s="141">
        <f t="shared" si="60"/>
        <v>0</v>
      </c>
      <c r="AM160" s="141">
        <f t="shared" si="60"/>
        <v>0</v>
      </c>
      <c r="AN160" s="141">
        <f t="shared" si="60"/>
        <v>0</v>
      </c>
      <c r="AO160" s="141">
        <f t="shared" si="60"/>
        <v>0</v>
      </c>
      <c r="AP160" s="141">
        <f t="shared" si="58"/>
        <v>0</v>
      </c>
      <c r="AQ160" s="141">
        <f t="shared" si="58"/>
        <v>0</v>
      </c>
      <c r="AR160" s="141">
        <f t="shared" si="58"/>
        <v>0</v>
      </c>
      <c r="AS160" s="141">
        <f t="shared" si="58"/>
        <v>0</v>
      </c>
      <c r="AT160" s="141">
        <f t="shared" si="58"/>
        <v>0</v>
      </c>
      <c r="AU160" s="141">
        <f t="shared" si="58"/>
        <v>0</v>
      </c>
      <c r="AV160" s="141">
        <f t="shared" si="58"/>
        <v>0</v>
      </c>
      <c r="AW160" s="141">
        <f t="shared" si="58"/>
        <v>0</v>
      </c>
      <c r="AX160" s="141">
        <f t="shared" si="58"/>
        <v>0</v>
      </c>
      <c r="AY160" s="141">
        <f t="shared" si="55"/>
        <v>0</v>
      </c>
      <c r="AZ160" s="22" t="s">
        <v>175</v>
      </c>
    </row>
    <row r="161" spans="1:52">
      <c r="A161" s="141" t="s">
        <v>208</v>
      </c>
      <c r="B161" s="141">
        <f t="shared" si="62"/>
        <v>0</v>
      </c>
      <c r="C161" s="141">
        <f t="shared" si="62"/>
        <v>0</v>
      </c>
      <c r="D161" s="141">
        <f t="shared" si="62"/>
        <v>0</v>
      </c>
      <c r="E161" s="141">
        <f t="shared" si="62"/>
        <v>0</v>
      </c>
      <c r="F161" s="141">
        <f t="shared" si="62"/>
        <v>0</v>
      </c>
      <c r="G161" s="141">
        <f t="shared" si="62"/>
        <v>0</v>
      </c>
      <c r="H161" s="141">
        <f t="shared" si="62"/>
        <v>0</v>
      </c>
      <c r="I161" s="141">
        <f t="shared" si="62"/>
        <v>0</v>
      </c>
      <c r="J161" s="141">
        <f t="shared" si="62"/>
        <v>0</v>
      </c>
      <c r="K161" s="141">
        <f t="shared" si="62"/>
        <v>0</v>
      </c>
      <c r="L161" s="141">
        <f t="shared" si="62"/>
        <v>0</v>
      </c>
      <c r="M161" s="141">
        <f t="shared" si="62"/>
        <v>0</v>
      </c>
      <c r="N161" s="141">
        <f t="shared" si="62"/>
        <v>0</v>
      </c>
      <c r="O161" s="141">
        <f t="shared" si="62"/>
        <v>0</v>
      </c>
      <c r="P161" s="141">
        <f t="shared" si="62"/>
        <v>0</v>
      </c>
      <c r="Q161" s="141">
        <f t="shared" si="62"/>
        <v>0</v>
      </c>
      <c r="R161" s="141">
        <f t="shared" si="62"/>
        <v>0</v>
      </c>
      <c r="S161" s="141">
        <f t="shared" si="62"/>
        <v>0</v>
      </c>
      <c r="T161" s="141">
        <f t="shared" si="62"/>
        <v>0</v>
      </c>
      <c r="U161" s="141">
        <f t="shared" si="62"/>
        <v>0</v>
      </c>
      <c r="V161" s="141">
        <f t="shared" si="62"/>
        <v>0</v>
      </c>
      <c r="W161" s="141">
        <f t="shared" si="62"/>
        <v>0</v>
      </c>
      <c r="X161" s="141">
        <f t="shared" si="62"/>
        <v>0</v>
      </c>
      <c r="Y161" s="141">
        <f t="shared" si="62"/>
        <v>0</v>
      </c>
      <c r="AA161" s="141">
        <f t="shared" si="60"/>
        <v>0</v>
      </c>
      <c r="AB161" s="141">
        <f t="shared" si="60"/>
        <v>0</v>
      </c>
      <c r="AC161" s="141">
        <f t="shared" si="60"/>
        <v>0</v>
      </c>
      <c r="AD161" s="141">
        <f t="shared" si="60"/>
        <v>0</v>
      </c>
      <c r="AE161" s="141">
        <f t="shared" si="60"/>
        <v>0</v>
      </c>
      <c r="AF161" s="141">
        <f t="shared" si="60"/>
        <v>0</v>
      </c>
      <c r="AG161" s="141">
        <f t="shared" si="60"/>
        <v>0</v>
      </c>
      <c r="AH161" s="141">
        <f t="shared" si="60"/>
        <v>0</v>
      </c>
      <c r="AI161" s="141">
        <f t="shared" si="60"/>
        <v>0</v>
      </c>
      <c r="AJ161" s="141">
        <f t="shared" si="60"/>
        <v>0</v>
      </c>
      <c r="AK161" s="141">
        <f t="shared" si="60"/>
        <v>0</v>
      </c>
      <c r="AL161" s="141">
        <f t="shared" si="60"/>
        <v>0</v>
      </c>
      <c r="AM161" s="141">
        <f t="shared" si="60"/>
        <v>0</v>
      </c>
      <c r="AN161" s="141">
        <f t="shared" si="60"/>
        <v>0</v>
      </c>
      <c r="AO161" s="141">
        <f t="shared" si="60"/>
        <v>0</v>
      </c>
      <c r="AP161" s="141">
        <f t="shared" si="58"/>
        <v>0</v>
      </c>
      <c r="AQ161" s="141">
        <f t="shared" si="58"/>
        <v>0</v>
      </c>
      <c r="AR161" s="141">
        <f t="shared" si="58"/>
        <v>0</v>
      </c>
      <c r="AS161" s="141">
        <f t="shared" si="58"/>
        <v>0</v>
      </c>
      <c r="AT161" s="141">
        <f t="shared" si="58"/>
        <v>0</v>
      </c>
      <c r="AU161" s="141">
        <f t="shared" si="58"/>
        <v>0</v>
      </c>
      <c r="AV161" s="141">
        <f t="shared" si="58"/>
        <v>0</v>
      </c>
      <c r="AW161" s="141">
        <f t="shared" si="58"/>
        <v>0</v>
      </c>
      <c r="AX161" s="141">
        <f t="shared" si="58"/>
        <v>0</v>
      </c>
      <c r="AY161" s="141">
        <f t="shared" si="55"/>
        <v>0</v>
      </c>
      <c r="AZ161" s="22" t="s">
        <v>175</v>
      </c>
    </row>
    <row r="162" spans="1:52">
      <c r="A162" s="141" t="s">
        <v>209</v>
      </c>
      <c r="B162" s="141">
        <f t="shared" si="62"/>
        <v>0</v>
      </c>
      <c r="C162" s="141">
        <f t="shared" si="62"/>
        <v>0</v>
      </c>
      <c r="D162" s="141">
        <f t="shared" si="62"/>
        <v>0</v>
      </c>
      <c r="E162" s="141">
        <f t="shared" si="62"/>
        <v>0</v>
      </c>
      <c r="F162" s="141">
        <f t="shared" si="62"/>
        <v>0</v>
      </c>
      <c r="G162" s="141">
        <f t="shared" si="62"/>
        <v>0</v>
      </c>
      <c r="H162" s="141">
        <f t="shared" si="62"/>
        <v>0</v>
      </c>
      <c r="I162" s="141">
        <f t="shared" si="62"/>
        <v>0</v>
      </c>
      <c r="J162" s="141">
        <f t="shared" si="62"/>
        <v>0</v>
      </c>
      <c r="K162" s="141">
        <f t="shared" si="62"/>
        <v>0</v>
      </c>
      <c r="L162" s="141">
        <f t="shared" si="62"/>
        <v>0</v>
      </c>
      <c r="M162" s="141">
        <f t="shared" si="62"/>
        <v>0</v>
      </c>
      <c r="N162" s="141">
        <f t="shared" si="62"/>
        <v>0</v>
      </c>
      <c r="O162" s="141">
        <f t="shared" si="62"/>
        <v>0</v>
      </c>
      <c r="P162" s="141">
        <f t="shared" si="62"/>
        <v>0</v>
      </c>
      <c r="Q162" s="141">
        <f t="shared" si="62"/>
        <v>0</v>
      </c>
      <c r="R162" s="141">
        <f t="shared" si="62"/>
        <v>0</v>
      </c>
      <c r="S162" s="141">
        <f t="shared" si="62"/>
        <v>0</v>
      </c>
      <c r="T162" s="141">
        <f t="shared" si="62"/>
        <v>0</v>
      </c>
      <c r="U162" s="141">
        <f t="shared" si="62"/>
        <v>0</v>
      </c>
      <c r="V162" s="141">
        <f t="shared" si="62"/>
        <v>0</v>
      </c>
      <c r="W162" s="141">
        <f t="shared" si="62"/>
        <v>0</v>
      </c>
      <c r="X162" s="141">
        <f t="shared" si="62"/>
        <v>0</v>
      </c>
      <c r="Y162" s="141">
        <f t="shared" si="62"/>
        <v>0</v>
      </c>
      <c r="AA162" s="141">
        <f t="shared" si="60"/>
        <v>0</v>
      </c>
      <c r="AB162" s="141">
        <f t="shared" si="60"/>
        <v>0</v>
      </c>
      <c r="AC162" s="141">
        <f t="shared" si="60"/>
        <v>0</v>
      </c>
      <c r="AD162" s="141">
        <f t="shared" si="60"/>
        <v>0</v>
      </c>
      <c r="AE162" s="141">
        <f t="shared" si="60"/>
        <v>0</v>
      </c>
      <c r="AF162" s="141">
        <f t="shared" si="60"/>
        <v>0</v>
      </c>
      <c r="AG162" s="141">
        <f t="shared" si="60"/>
        <v>0</v>
      </c>
      <c r="AH162" s="141">
        <f t="shared" si="60"/>
        <v>0</v>
      </c>
      <c r="AI162" s="141">
        <f t="shared" si="60"/>
        <v>0</v>
      </c>
      <c r="AJ162" s="141">
        <f t="shared" si="60"/>
        <v>0</v>
      </c>
      <c r="AK162" s="141">
        <f t="shared" si="60"/>
        <v>0</v>
      </c>
      <c r="AL162" s="141">
        <f t="shared" si="60"/>
        <v>0</v>
      </c>
      <c r="AM162" s="141">
        <f t="shared" si="60"/>
        <v>0</v>
      </c>
      <c r="AN162" s="141">
        <f t="shared" si="60"/>
        <v>0</v>
      </c>
      <c r="AO162" s="141">
        <f t="shared" si="60"/>
        <v>0</v>
      </c>
      <c r="AP162" s="141">
        <f t="shared" si="58"/>
        <v>0</v>
      </c>
      <c r="AQ162" s="141">
        <f t="shared" si="58"/>
        <v>0</v>
      </c>
      <c r="AR162" s="141">
        <f t="shared" si="58"/>
        <v>0</v>
      </c>
      <c r="AS162" s="141">
        <f t="shared" si="58"/>
        <v>0</v>
      </c>
      <c r="AT162" s="141">
        <f t="shared" si="58"/>
        <v>0</v>
      </c>
      <c r="AU162" s="141">
        <f t="shared" si="58"/>
        <v>0</v>
      </c>
      <c r="AV162" s="141">
        <f t="shared" si="58"/>
        <v>0</v>
      </c>
      <c r="AW162" s="141">
        <f t="shared" si="58"/>
        <v>0</v>
      </c>
      <c r="AX162" s="141">
        <f t="shared" si="58"/>
        <v>0</v>
      </c>
      <c r="AY162" s="141">
        <f t="shared" si="55"/>
        <v>0</v>
      </c>
      <c r="AZ162" s="22" t="s">
        <v>175</v>
      </c>
    </row>
    <row r="163" spans="1:52">
      <c r="A163" s="141" t="s">
        <v>210</v>
      </c>
      <c r="B163" s="141">
        <f t="shared" si="62"/>
        <v>0</v>
      </c>
      <c r="C163" s="141">
        <f t="shared" si="62"/>
        <v>0</v>
      </c>
      <c r="D163" s="141">
        <f t="shared" si="62"/>
        <v>0</v>
      </c>
      <c r="E163" s="141">
        <f t="shared" si="62"/>
        <v>0</v>
      </c>
      <c r="F163" s="141">
        <f t="shared" si="62"/>
        <v>0</v>
      </c>
      <c r="G163" s="141">
        <f t="shared" si="62"/>
        <v>0</v>
      </c>
      <c r="H163" s="141">
        <f t="shared" si="62"/>
        <v>0</v>
      </c>
      <c r="I163" s="141">
        <f t="shared" si="62"/>
        <v>0</v>
      </c>
      <c r="J163" s="141">
        <f t="shared" si="62"/>
        <v>0</v>
      </c>
      <c r="K163" s="141">
        <f t="shared" si="62"/>
        <v>0</v>
      </c>
      <c r="L163" s="141">
        <f t="shared" si="62"/>
        <v>0</v>
      </c>
      <c r="M163" s="141">
        <f t="shared" si="62"/>
        <v>0</v>
      </c>
      <c r="N163" s="141">
        <f t="shared" si="62"/>
        <v>0</v>
      </c>
      <c r="O163" s="141">
        <f t="shared" si="62"/>
        <v>0</v>
      </c>
      <c r="P163" s="141">
        <f t="shared" si="62"/>
        <v>0</v>
      </c>
      <c r="Q163" s="141">
        <f t="shared" si="62"/>
        <v>0</v>
      </c>
      <c r="R163" s="141">
        <f t="shared" si="62"/>
        <v>0</v>
      </c>
      <c r="S163" s="141">
        <f t="shared" si="62"/>
        <v>0</v>
      </c>
      <c r="T163" s="141">
        <f t="shared" si="62"/>
        <v>0</v>
      </c>
      <c r="U163" s="141">
        <f t="shared" si="62"/>
        <v>0</v>
      </c>
      <c r="V163" s="141">
        <f t="shared" si="62"/>
        <v>0</v>
      </c>
      <c r="W163" s="141">
        <f t="shared" si="62"/>
        <v>0</v>
      </c>
      <c r="X163" s="141">
        <f t="shared" si="62"/>
        <v>0</v>
      </c>
      <c r="Y163" s="141">
        <f t="shared" si="62"/>
        <v>0</v>
      </c>
      <c r="AA163" s="141">
        <f t="shared" si="60"/>
        <v>0</v>
      </c>
      <c r="AB163" s="141">
        <f t="shared" si="60"/>
        <v>0</v>
      </c>
      <c r="AC163" s="141">
        <f t="shared" si="60"/>
        <v>0</v>
      </c>
      <c r="AD163" s="141">
        <f t="shared" si="60"/>
        <v>0</v>
      </c>
      <c r="AE163" s="141">
        <f t="shared" si="60"/>
        <v>0</v>
      </c>
      <c r="AF163" s="141">
        <f t="shared" si="60"/>
        <v>0</v>
      </c>
      <c r="AG163" s="141">
        <f t="shared" si="60"/>
        <v>0</v>
      </c>
      <c r="AH163" s="141">
        <f t="shared" si="60"/>
        <v>0</v>
      </c>
      <c r="AI163" s="141">
        <f t="shared" si="60"/>
        <v>0</v>
      </c>
      <c r="AJ163" s="141">
        <f t="shared" si="60"/>
        <v>0</v>
      </c>
      <c r="AK163" s="141">
        <f t="shared" si="60"/>
        <v>0</v>
      </c>
      <c r="AL163" s="141">
        <f t="shared" si="60"/>
        <v>0</v>
      </c>
      <c r="AM163" s="141">
        <f t="shared" si="60"/>
        <v>0</v>
      </c>
      <c r="AN163" s="141">
        <f t="shared" si="60"/>
        <v>0</v>
      </c>
      <c r="AO163" s="141">
        <f t="shared" si="60"/>
        <v>0</v>
      </c>
      <c r="AP163" s="141">
        <f t="shared" si="60"/>
        <v>0</v>
      </c>
      <c r="AQ163" s="141">
        <f t="shared" ref="AQ163:AX167" si="63">IF(R163=0,0,R163/AQ31)</f>
        <v>0</v>
      </c>
      <c r="AR163" s="141">
        <f t="shared" si="63"/>
        <v>0</v>
      </c>
      <c r="AS163" s="141">
        <f t="shared" si="63"/>
        <v>0</v>
      </c>
      <c r="AT163" s="141">
        <f t="shared" si="63"/>
        <v>0</v>
      </c>
      <c r="AU163" s="141">
        <f t="shared" si="63"/>
        <v>0</v>
      </c>
      <c r="AV163" s="141">
        <f t="shared" si="63"/>
        <v>0</v>
      </c>
      <c r="AW163" s="141">
        <f t="shared" si="63"/>
        <v>0</v>
      </c>
      <c r="AX163" s="141">
        <f t="shared" si="63"/>
        <v>0</v>
      </c>
      <c r="AY163" s="141">
        <f t="shared" si="55"/>
        <v>0</v>
      </c>
      <c r="AZ163" s="22" t="s">
        <v>175</v>
      </c>
    </row>
    <row r="164" spans="1:52">
      <c r="A164" s="141" t="s">
        <v>211</v>
      </c>
      <c r="B164" s="141">
        <f t="shared" si="62"/>
        <v>0</v>
      </c>
      <c r="C164" s="141">
        <f t="shared" si="62"/>
        <v>0</v>
      </c>
      <c r="D164" s="141">
        <f t="shared" si="62"/>
        <v>0</v>
      </c>
      <c r="E164" s="141">
        <f t="shared" si="62"/>
        <v>0</v>
      </c>
      <c r="F164" s="141">
        <f t="shared" si="62"/>
        <v>0</v>
      </c>
      <c r="G164" s="141">
        <f t="shared" si="62"/>
        <v>0</v>
      </c>
      <c r="H164" s="141">
        <f t="shared" si="62"/>
        <v>0</v>
      </c>
      <c r="I164" s="141">
        <f t="shared" si="62"/>
        <v>0</v>
      </c>
      <c r="J164" s="141">
        <f t="shared" si="62"/>
        <v>0</v>
      </c>
      <c r="K164" s="141">
        <f t="shared" si="62"/>
        <v>0</v>
      </c>
      <c r="L164" s="141">
        <f t="shared" si="62"/>
        <v>0</v>
      </c>
      <c r="M164" s="141">
        <f t="shared" si="62"/>
        <v>0</v>
      </c>
      <c r="N164" s="141">
        <f t="shared" si="62"/>
        <v>0</v>
      </c>
      <c r="O164" s="141">
        <f t="shared" si="62"/>
        <v>0</v>
      </c>
      <c r="P164" s="141">
        <f t="shared" si="62"/>
        <v>0</v>
      </c>
      <c r="Q164" s="141">
        <f t="shared" si="62"/>
        <v>0</v>
      </c>
      <c r="R164" s="141">
        <f t="shared" si="62"/>
        <v>0</v>
      </c>
      <c r="S164" s="141">
        <f t="shared" si="62"/>
        <v>0</v>
      </c>
      <c r="T164" s="141">
        <f t="shared" si="62"/>
        <v>0</v>
      </c>
      <c r="U164" s="141">
        <f t="shared" si="62"/>
        <v>0</v>
      </c>
      <c r="V164" s="141">
        <f t="shared" si="62"/>
        <v>0</v>
      </c>
      <c r="W164" s="141">
        <f t="shared" si="62"/>
        <v>0</v>
      </c>
      <c r="X164" s="141">
        <f t="shared" si="62"/>
        <v>0</v>
      </c>
      <c r="Y164" s="141">
        <f t="shared" si="62"/>
        <v>0</v>
      </c>
      <c r="AA164" s="141">
        <f t="shared" ref="AA164:AP167" si="64">IF(B164=0,0,B164/AA32)</f>
        <v>0</v>
      </c>
      <c r="AB164" s="141">
        <f t="shared" si="64"/>
        <v>0</v>
      </c>
      <c r="AC164" s="141">
        <f t="shared" si="64"/>
        <v>0</v>
      </c>
      <c r="AD164" s="141">
        <f t="shared" si="64"/>
        <v>0</v>
      </c>
      <c r="AE164" s="141">
        <f t="shared" si="64"/>
        <v>0</v>
      </c>
      <c r="AF164" s="141">
        <f t="shared" si="64"/>
        <v>0</v>
      </c>
      <c r="AG164" s="141">
        <f t="shared" si="64"/>
        <v>0</v>
      </c>
      <c r="AH164" s="141">
        <f t="shared" si="64"/>
        <v>0</v>
      </c>
      <c r="AI164" s="141">
        <f t="shared" si="64"/>
        <v>0</v>
      </c>
      <c r="AJ164" s="141">
        <f t="shared" si="64"/>
        <v>0</v>
      </c>
      <c r="AK164" s="141">
        <f t="shared" si="64"/>
        <v>0</v>
      </c>
      <c r="AL164" s="141">
        <f t="shared" si="64"/>
        <v>0</v>
      </c>
      <c r="AM164" s="141">
        <f t="shared" si="64"/>
        <v>0</v>
      </c>
      <c r="AN164" s="141">
        <f t="shared" si="64"/>
        <v>0</v>
      </c>
      <c r="AO164" s="141">
        <f t="shared" si="64"/>
        <v>0</v>
      </c>
      <c r="AP164" s="141">
        <f t="shared" si="64"/>
        <v>0</v>
      </c>
      <c r="AQ164" s="141">
        <f t="shared" si="63"/>
        <v>0</v>
      </c>
      <c r="AR164" s="141">
        <f t="shared" si="63"/>
        <v>0</v>
      </c>
      <c r="AS164" s="141">
        <f t="shared" si="63"/>
        <v>0</v>
      </c>
      <c r="AT164" s="141">
        <f t="shared" si="63"/>
        <v>0</v>
      </c>
      <c r="AU164" s="141">
        <f t="shared" si="63"/>
        <v>0</v>
      </c>
      <c r="AV164" s="141">
        <f t="shared" si="63"/>
        <v>0</v>
      </c>
      <c r="AW164" s="141">
        <f t="shared" si="63"/>
        <v>0</v>
      </c>
      <c r="AX164" s="141">
        <f t="shared" si="63"/>
        <v>0</v>
      </c>
      <c r="AY164" s="141">
        <f t="shared" si="55"/>
        <v>0</v>
      </c>
      <c r="AZ164" s="22" t="s">
        <v>175</v>
      </c>
    </row>
    <row r="165" spans="1:52">
      <c r="A165" s="141" t="s">
        <v>212</v>
      </c>
      <c r="B165" s="141">
        <f t="shared" si="62"/>
        <v>0</v>
      </c>
      <c r="C165" s="141">
        <f t="shared" si="62"/>
        <v>0</v>
      </c>
      <c r="D165" s="141">
        <f t="shared" si="62"/>
        <v>0</v>
      </c>
      <c r="E165" s="141">
        <f t="shared" si="62"/>
        <v>0</v>
      </c>
      <c r="F165" s="141">
        <f t="shared" si="62"/>
        <v>0</v>
      </c>
      <c r="G165" s="141">
        <f t="shared" si="62"/>
        <v>0</v>
      </c>
      <c r="H165" s="141">
        <f t="shared" si="62"/>
        <v>0</v>
      </c>
      <c r="I165" s="141">
        <f t="shared" si="62"/>
        <v>0</v>
      </c>
      <c r="J165" s="141">
        <f t="shared" si="62"/>
        <v>0</v>
      </c>
      <c r="K165" s="141">
        <f t="shared" si="62"/>
        <v>0</v>
      </c>
      <c r="L165" s="141">
        <f t="shared" si="62"/>
        <v>0</v>
      </c>
      <c r="M165" s="141">
        <f t="shared" si="62"/>
        <v>0</v>
      </c>
      <c r="N165" s="141">
        <f t="shared" si="62"/>
        <v>0</v>
      </c>
      <c r="O165" s="141">
        <f t="shared" si="62"/>
        <v>0</v>
      </c>
      <c r="P165" s="141">
        <f t="shared" si="62"/>
        <v>0</v>
      </c>
      <c r="Q165" s="141">
        <f t="shared" si="62"/>
        <v>0</v>
      </c>
      <c r="R165" s="141">
        <f t="shared" si="62"/>
        <v>0</v>
      </c>
      <c r="S165" s="141">
        <f t="shared" si="62"/>
        <v>0</v>
      </c>
      <c r="T165" s="141">
        <f t="shared" si="62"/>
        <v>0</v>
      </c>
      <c r="U165" s="141">
        <f t="shared" si="62"/>
        <v>0</v>
      </c>
      <c r="V165" s="141">
        <f t="shared" si="62"/>
        <v>0</v>
      </c>
      <c r="W165" s="141">
        <f t="shared" si="62"/>
        <v>0</v>
      </c>
      <c r="X165" s="141">
        <f t="shared" si="62"/>
        <v>0</v>
      </c>
      <c r="Y165" s="141">
        <f t="shared" si="62"/>
        <v>0</v>
      </c>
      <c r="AA165" s="141">
        <f t="shared" si="64"/>
        <v>0</v>
      </c>
      <c r="AB165" s="141">
        <f t="shared" si="64"/>
        <v>0</v>
      </c>
      <c r="AC165" s="141">
        <f t="shared" si="64"/>
        <v>0</v>
      </c>
      <c r="AD165" s="141">
        <f t="shared" si="64"/>
        <v>0</v>
      </c>
      <c r="AE165" s="141">
        <f t="shared" si="64"/>
        <v>0</v>
      </c>
      <c r="AF165" s="141">
        <f t="shared" si="64"/>
        <v>0</v>
      </c>
      <c r="AG165" s="141">
        <f t="shared" si="64"/>
        <v>0</v>
      </c>
      <c r="AH165" s="141">
        <f t="shared" si="64"/>
        <v>0</v>
      </c>
      <c r="AI165" s="141">
        <f t="shared" si="64"/>
        <v>0</v>
      </c>
      <c r="AJ165" s="141">
        <f t="shared" si="64"/>
        <v>0</v>
      </c>
      <c r="AK165" s="141">
        <f t="shared" si="64"/>
        <v>0</v>
      </c>
      <c r="AL165" s="141">
        <f t="shared" si="64"/>
        <v>0</v>
      </c>
      <c r="AM165" s="141">
        <f t="shared" si="64"/>
        <v>0</v>
      </c>
      <c r="AN165" s="141">
        <f t="shared" si="64"/>
        <v>0</v>
      </c>
      <c r="AO165" s="141">
        <f t="shared" si="64"/>
        <v>0</v>
      </c>
      <c r="AP165" s="141">
        <f t="shared" si="64"/>
        <v>0</v>
      </c>
      <c r="AQ165" s="141">
        <f t="shared" si="63"/>
        <v>0</v>
      </c>
      <c r="AR165" s="141">
        <f t="shared" si="63"/>
        <v>0</v>
      </c>
      <c r="AS165" s="141">
        <f t="shared" si="63"/>
        <v>0</v>
      </c>
      <c r="AT165" s="141">
        <f t="shared" si="63"/>
        <v>0</v>
      </c>
      <c r="AU165" s="141">
        <f t="shared" si="63"/>
        <v>0</v>
      </c>
      <c r="AV165" s="141">
        <f t="shared" si="63"/>
        <v>0</v>
      </c>
      <c r="AW165" s="141">
        <f t="shared" si="63"/>
        <v>0</v>
      </c>
      <c r="AX165" s="141">
        <f t="shared" si="63"/>
        <v>0</v>
      </c>
      <c r="AY165" s="141">
        <f t="shared" si="55"/>
        <v>0</v>
      </c>
      <c r="AZ165" s="22" t="s">
        <v>175</v>
      </c>
    </row>
    <row r="166" spans="1:52">
      <c r="A166" s="141" t="s">
        <v>213</v>
      </c>
      <c r="B166" s="141">
        <f t="shared" si="62"/>
        <v>0</v>
      </c>
      <c r="C166" s="141">
        <f t="shared" si="62"/>
        <v>0</v>
      </c>
      <c r="D166" s="141">
        <f t="shared" si="62"/>
        <v>0</v>
      </c>
      <c r="E166" s="141">
        <f t="shared" si="62"/>
        <v>0</v>
      </c>
      <c r="F166" s="141">
        <f t="shared" si="62"/>
        <v>0</v>
      </c>
      <c r="G166" s="141">
        <f t="shared" si="62"/>
        <v>0</v>
      </c>
      <c r="H166" s="141">
        <f t="shared" si="62"/>
        <v>0</v>
      </c>
      <c r="I166" s="141">
        <f t="shared" si="62"/>
        <v>0</v>
      </c>
      <c r="J166" s="141">
        <f t="shared" si="62"/>
        <v>0</v>
      </c>
      <c r="K166" s="141">
        <f t="shared" si="62"/>
        <v>0</v>
      </c>
      <c r="L166" s="141">
        <f t="shared" si="62"/>
        <v>0</v>
      </c>
      <c r="M166" s="141">
        <f t="shared" si="62"/>
        <v>0</v>
      </c>
      <c r="N166" s="141">
        <f t="shared" si="62"/>
        <v>0</v>
      </c>
      <c r="O166" s="141">
        <f t="shared" si="62"/>
        <v>0</v>
      </c>
      <c r="P166" s="141">
        <f t="shared" si="62"/>
        <v>0</v>
      </c>
      <c r="Q166" s="141">
        <f t="shared" si="62"/>
        <v>0</v>
      </c>
      <c r="R166" s="141">
        <f t="shared" si="62"/>
        <v>0</v>
      </c>
      <c r="S166" s="141">
        <f t="shared" si="62"/>
        <v>0</v>
      </c>
      <c r="T166" s="141">
        <f t="shared" si="62"/>
        <v>0</v>
      </c>
      <c r="U166" s="141">
        <f t="shared" si="62"/>
        <v>0</v>
      </c>
      <c r="V166" s="141">
        <f t="shared" si="62"/>
        <v>0</v>
      </c>
      <c r="W166" s="141">
        <f t="shared" si="62"/>
        <v>0</v>
      </c>
      <c r="X166" s="141">
        <f t="shared" si="62"/>
        <v>0</v>
      </c>
      <c r="Y166" s="141">
        <f t="shared" si="62"/>
        <v>0</v>
      </c>
      <c r="AA166" s="141">
        <f t="shared" si="64"/>
        <v>0</v>
      </c>
      <c r="AB166" s="141">
        <f t="shared" si="64"/>
        <v>0</v>
      </c>
      <c r="AC166" s="141">
        <f t="shared" si="64"/>
        <v>0</v>
      </c>
      <c r="AD166" s="141">
        <f t="shared" si="64"/>
        <v>0</v>
      </c>
      <c r="AE166" s="141">
        <f t="shared" si="64"/>
        <v>0</v>
      </c>
      <c r="AF166" s="141">
        <f t="shared" si="64"/>
        <v>0</v>
      </c>
      <c r="AG166" s="141">
        <f t="shared" si="64"/>
        <v>0</v>
      </c>
      <c r="AH166" s="141">
        <f t="shared" si="64"/>
        <v>0</v>
      </c>
      <c r="AI166" s="141">
        <f t="shared" si="64"/>
        <v>0</v>
      </c>
      <c r="AJ166" s="141">
        <f t="shared" si="64"/>
        <v>0</v>
      </c>
      <c r="AK166" s="141">
        <f t="shared" si="64"/>
        <v>0</v>
      </c>
      <c r="AL166" s="141">
        <f t="shared" si="64"/>
        <v>0</v>
      </c>
      <c r="AM166" s="141">
        <f t="shared" si="64"/>
        <v>0</v>
      </c>
      <c r="AN166" s="141">
        <f t="shared" si="64"/>
        <v>0</v>
      </c>
      <c r="AO166" s="141">
        <f t="shared" si="64"/>
        <v>0</v>
      </c>
      <c r="AP166" s="141">
        <f t="shared" si="64"/>
        <v>0</v>
      </c>
      <c r="AQ166" s="141">
        <f t="shared" si="63"/>
        <v>0</v>
      </c>
      <c r="AR166" s="141">
        <f t="shared" si="63"/>
        <v>0</v>
      </c>
      <c r="AS166" s="141">
        <f t="shared" si="63"/>
        <v>0</v>
      </c>
      <c r="AT166" s="141">
        <f t="shared" si="63"/>
        <v>0</v>
      </c>
      <c r="AU166" s="141">
        <f t="shared" si="63"/>
        <v>0</v>
      </c>
      <c r="AV166" s="141">
        <f t="shared" si="63"/>
        <v>0</v>
      </c>
      <c r="AW166" s="141">
        <f t="shared" si="63"/>
        <v>0</v>
      </c>
      <c r="AX166" s="141">
        <f t="shared" si="63"/>
        <v>0</v>
      </c>
      <c r="AY166" s="141">
        <f t="shared" si="55"/>
        <v>0</v>
      </c>
      <c r="AZ166" s="22" t="s">
        <v>175</v>
      </c>
    </row>
    <row r="167" spans="1:52">
      <c r="A167" s="141" t="s">
        <v>214</v>
      </c>
      <c r="B167" s="141">
        <f t="shared" si="62"/>
        <v>0</v>
      </c>
      <c r="C167" s="141">
        <f t="shared" si="62"/>
        <v>0</v>
      </c>
      <c r="D167" s="141">
        <f t="shared" si="62"/>
        <v>0</v>
      </c>
      <c r="E167" s="141">
        <f t="shared" si="62"/>
        <v>0</v>
      </c>
      <c r="F167" s="141">
        <f t="shared" si="62"/>
        <v>0</v>
      </c>
      <c r="G167" s="141">
        <f t="shared" si="62"/>
        <v>0</v>
      </c>
      <c r="H167" s="141">
        <f t="shared" si="62"/>
        <v>0</v>
      </c>
      <c r="I167" s="141">
        <f t="shared" si="62"/>
        <v>0</v>
      </c>
      <c r="J167" s="141">
        <f t="shared" si="62"/>
        <v>0</v>
      </c>
      <c r="K167" s="141">
        <f t="shared" si="62"/>
        <v>0</v>
      </c>
      <c r="L167" s="141">
        <f t="shared" si="62"/>
        <v>0</v>
      </c>
      <c r="M167" s="141">
        <f t="shared" si="62"/>
        <v>0</v>
      </c>
      <c r="N167" s="141">
        <f t="shared" si="62"/>
        <v>0</v>
      </c>
      <c r="O167" s="141">
        <f t="shared" si="62"/>
        <v>0</v>
      </c>
      <c r="P167" s="141">
        <f t="shared" si="62"/>
        <v>0</v>
      </c>
      <c r="Q167" s="141">
        <f t="shared" si="62"/>
        <v>0</v>
      </c>
      <c r="R167" s="141">
        <f t="shared" si="62"/>
        <v>0</v>
      </c>
      <c r="S167" s="141">
        <f t="shared" si="62"/>
        <v>0</v>
      </c>
      <c r="T167" s="141">
        <f t="shared" si="62"/>
        <v>0</v>
      </c>
      <c r="U167" s="141">
        <f t="shared" si="62"/>
        <v>0</v>
      </c>
      <c r="V167" s="141">
        <f t="shared" si="62"/>
        <v>0</v>
      </c>
      <c r="W167" s="141">
        <f t="shared" si="62"/>
        <v>0</v>
      </c>
      <c r="X167" s="141">
        <f t="shared" si="62"/>
        <v>0</v>
      </c>
      <c r="Y167" s="141">
        <f t="shared" si="62"/>
        <v>0</v>
      </c>
      <c r="AA167" s="141">
        <f t="shared" si="64"/>
        <v>0</v>
      </c>
      <c r="AB167" s="141">
        <f t="shared" si="64"/>
        <v>0</v>
      </c>
      <c r="AC167" s="141">
        <f t="shared" si="64"/>
        <v>0</v>
      </c>
      <c r="AD167" s="141">
        <f t="shared" si="64"/>
        <v>0</v>
      </c>
      <c r="AE167" s="141">
        <f t="shared" si="64"/>
        <v>0</v>
      </c>
      <c r="AF167" s="141">
        <f t="shared" si="64"/>
        <v>0</v>
      </c>
      <c r="AG167" s="141">
        <f t="shared" si="64"/>
        <v>0</v>
      </c>
      <c r="AH167" s="141">
        <f t="shared" si="64"/>
        <v>0</v>
      </c>
      <c r="AI167" s="141">
        <f t="shared" si="64"/>
        <v>0</v>
      </c>
      <c r="AJ167" s="141">
        <f t="shared" si="64"/>
        <v>0</v>
      </c>
      <c r="AK167" s="141">
        <f t="shared" si="64"/>
        <v>0</v>
      </c>
      <c r="AL167" s="141">
        <f t="shared" si="64"/>
        <v>0</v>
      </c>
      <c r="AM167" s="141">
        <f t="shared" si="64"/>
        <v>0</v>
      </c>
      <c r="AN167" s="141">
        <f t="shared" si="64"/>
        <v>0</v>
      </c>
      <c r="AO167" s="141">
        <f t="shared" si="64"/>
        <v>0</v>
      </c>
      <c r="AP167" s="141">
        <f t="shared" si="64"/>
        <v>0</v>
      </c>
      <c r="AQ167" s="141">
        <f t="shared" si="63"/>
        <v>0</v>
      </c>
      <c r="AR167" s="141">
        <f t="shared" si="63"/>
        <v>0</v>
      </c>
      <c r="AS167" s="141">
        <f t="shared" si="63"/>
        <v>0</v>
      </c>
      <c r="AT167" s="141">
        <f t="shared" si="63"/>
        <v>0</v>
      </c>
      <c r="AU167" s="141">
        <f t="shared" si="63"/>
        <v>0</v>
      </c>
      <c r="AV167" s="141">
        <f t="shared" si="63"/>
        <v>0</v>
      </c>
      <c r="AW167" s="141">
        <f t="shared" si="63"/>
        <v>0</v>
      </c>
      <c r="AX167" s="141">
        <f t="shared" si="63"/>
        <v>0</v>
      </c>
      <c r="AY167" s="141">
        <f t="shared" si="55"/>
        <v>0</v>
      </c>
      <c r="AZ167" s="22" t="s">
        <v>175</v>
      </c>
    </row>
    <row r="169" spans="1:52">
      <c r="A169" s="158" t="s">
        <v>176</v>
      </c>
    </row>
    <row r="170" spans="1:52">
      <c r="A170" s="141" t="s">
        <v>184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176</v>
      </c>
    </row>
    <row r="171" spans="1:52">
      <c r="A171" s="141" t="s">
        <v>185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176</v>
      </c>
    </row>
    <row r="172" spans="1:52">
      <c r="A172" s="141" t="s">
        <v>186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176</v>
      </c>
    </row>
    <row r="173" spans="1:52">
      <c r="A173" s="141" t="s">
        <v>187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176</v>
      </c>
    </row>
    <row r="174" spans="1:52">
      <c r="A174" s="141" t="s">
        <v>188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176</v>
      </c>
    </row>
    <row r="175" spans="1:52">
      <c r="A175" s="141" t="s">
        <v>189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176</v>
      </c>
    </row>
    <row r="176" spans="1:52">
      <c r="A176" s="141" t="s">
        <v>190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176</v>
      </c>
    </row>
    <row r="177" spans="1:52">
      <c r="A177" s="141" t="s">
        <v>191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176</v>
      </c>
    </row>
    <row r="178" spans="1:52">
      <c r="A178" s="141" t="s">
        <v>192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176</v>
      </c>
    </row>
    <row r="179" spans="1:52">
      <c r="A179" s="141" t="s">
        <v>193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176</v>
      </c>
    </row>
    <row r="180" spans="1:52">
      <c r="A180" s="141" t="s">
        <v>194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176</v>
      </c>
    </row>
    <row r="181" spans="1:52">
      <c r="A181" s="141" t="s">
        <v>195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176</v>
      </c>
    </row>
    <row r="182" spans="1:52">
      <c r="A182" s="141" t="s">
        <v>196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176</v>
      </c>
    </row>
    <row r="183" spans="1:52">
      <c r="A183" s="141" t="s">
        <v>197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176</v>
      </c>
    </row>
    <row r="184" spans="1:52">
      <c r="A184" s="141" t="s">
        <v>198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176</v>
      </c>
    </row>
    <row r="185" spans="1:52">
      <c r="A185" s="141" t="s">
        <v>199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176</v>
      </c>
    </row>
    <row r="186" spans="1:52">
      <c r="A186" s="141" t="s">
        <v>200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176</v>
      </c>
    </row>
    <row r="187" spans="1:52">
      <c r="A187" s="141" t="s">
        <v>201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176</v>
      </c>
    </row>
    <row r="188" spans="1:52">
      <c r="A188" s="141" t="s">
        <v>202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176</v>
      </c>
    </row>
    <row r="189" spans="1:52">
      <c r="A189" s="141" t="s">
        <v>203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176</v>
      </c>
    </row>
    <row r="190" spans="1:52">
      <c r="A190" s="141" t="s">
        <v>204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176</v>
      </c>
    </row>
    <row r="191" spans="1:52">
      <c r="A191" s="141" t="s">
        <v>205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176</v>
      </c>
    </row>
    <row r="192" spans="1:52">
      <c r="A192" s="141" t="s">
        <v>206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176</v>
      </c>
    </row>
    <row r="193" spans="1:52">
      <c r="A193" s="141" t="s">
        <v>207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176</v>
      </c>
    </row>
    <row r="194" spans="1:52">
      <c r="A194" s="141" t="s">
        <v>208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176</v>
      </c>
    </row>
    <row r="195" spans="1:52">
      <c r="A195" s="141" t="s">
        <v>209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176</v>
      </c>
    </row>
    <row r="196" spans="1:52">
      <c r="A196" s="141" t="s">
        <v>210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176</v>
      </c>
    </row>
    <row r="197" spans="1:52">
      <c r="A197" s="141" t="s">
        <v>211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176</v>
      </c>
    </row>
    <row r="198" spans="1:52">
      <c r="A198" s="141" t="s">
        <v>212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176</v>
      </c>
    </row>
    <row r="199" spans="1:52">
      <c r="A199" s="141" t="s">
        <v>213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176</v>
      </c>
    </row>
    <row r="200" spans="1:52">
      <c r="A200" s="141" t="s">
        <v>214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176</v>
      </c>
    </row>
    <row r="202" spans="1:52">
      <c r="A202" s="158" t="s">
        <v>177</v>
      </c>
    </row>
    <row r="203" spans="1:52">
      <c r="A203" s="141" t="s">
        <v>184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177</v>
      </c>
    </row>
    <row r="204" spans="1:52">
      <c r="A204" s="141" t="s">
        <v>185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177</v>
      </c>
    </row>
    <row r="205" spans="1:52">
      <c r="A205" s="141" t="s">
        <v>186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177</v>
      </c>
    </row>
    <row r="206" spans="1:52">
      <c r="A206" s="141" t="s">
        <v>187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177</v>
      </c>
    </row>
    <row r="207" spans="1:52">
      <c r="A207" s="141" t="s">
        <v>188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177</v>
      </c>
    </row>
    <row r="208" spans="1:52">
      <c r="A208" s="141" t="s">
        <v>189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177</v>
      </c>
    </row>
    <row r="209" spans="1:52">
      <c r="A209" s="141" t="s">
        <v>190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177</v>
      </c>
    </row>
    <row r="210" spans="1:52">
      <c r="A210" s="141" t="s">
        <v>191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177</v>
      </c>
    </row>
    <row r="211" spans="1:52">
      <c r="A211" s="141" t="s">
        <v>192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177</v>
      </c>
    </row>
    <row r="212" spans="1:52">
      <c r="A212" s="141" t="s">
        <v>193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177</v>
      </c>
    </row>
    <row r="213" spans="1:52">
      <c r="A213" s="141" t="s">
        <v>194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177</v>
      </c>
    </row>
    <row r="214" spans="1:52">
      <c r="A214" s="141" t="s">
        <v>195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177</v>
      </c>
    </row>
    <row r="215" spans="1:52">
      <c r="A215" s="141" t="s">
        <v>196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177</v>
      </c>
    </row>
    <row r="216" spans="1:52">
      <c r="A216" s="141" t="s">
        <v>197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177</v>
      </c>
    </row>
    <row r="217" spans="1:52">
      <c r="A217" s="141" t="s">
        <v>198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177</v>
      </c>
    </row>
    <row r="218" spans="1:52">
      <c r="A218" s="141" t="s">
        <v>199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177</v>
      </c>
    </row>
    <row r="219" spans="1:52">
      <c r="A219" s="141" t="s">
        <v>200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177</v>
      </c>
    </row>
    <row r="220" spans="1:52">
      <c r="A220" s="141" t="s">
        <v>201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177</v>
      </c>
    </row>
    <row r="221" spans="1:52">
      <c r="A221" s="141" t="s">
        <v>202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177</v>
      </c>
    </row>
    <row r="222" spans="1:52">
      <c r="A222" s="141" t="s">
        <v>203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177</v>
      </c>
    </row>
    <row r="223" spans="1:52">
      <c r="A223" s="141" t="s">
        <v>204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177</v>
      </c>
    </row>
    <row r="224" spans="1:52">
      <c r="A224" s="141" t="s">
        <v>205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177</v>
      </c>
    </row>
    <row r="225" spans="1:52">
      <c r="A225" s="141" t="s">
        <v>206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177</v>
      </c>
    </row>
    <row r="226" spans="1:52">
      <c r="A226" s="141" t="s">
        <v>207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177</v>
      </c>
    </row>
    <row r="227" spans="1:52">
      <c r="A227" s="141" t="s">
        <v>208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177</v>
      </c>
    </row>
    <row r="228" spans="1:52">
      <c r="A228" s="141" t="s">
        <v>209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177</v>
      </c>
    </row>
    <row r="229" spans="1:52">
      <c r="A229" s="141" t="s">
        <v>210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177</v>
      </c>
    </row>
    <row r="230" spans="1:52">
      <c r="A230" s="141" t="s">
        <v>211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177</v>
      </c>
    </row>
    <row r="231" spans="1:52">
      <c r="A231" s="141" t="s">
        <v>212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177</v>
      </c>
    </row>
    <row r="232" spans="1:52">
      <c r="A232" s="141" t="s">
        <v>213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177</v>
      </c>
    </row>
    <row r="233" spans="1:52">
      <c r="A233" s="141" t="s">
        <v>214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177</v>
      </c>
    </row>
    <row r="235" spans="1:52">
      <c r="A235" s="158" t="s">
        <v>178</v>
      </c>
    </row>
    <row r="236" spans="1:52">
      <c r="A236" s="141" t="s">
        <v>184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178</v>
      </c>
    </row>
    <row r="237" spans="1:52">
      <c r="A237" s="141" t="s">
        <v>185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178</v>
      </c>
    </row>
    <row r="238" spans="1:52">
      <c r="A238" s="141" t="s">
        <v>186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178</v>
      </c>
    </row>
    <row r="239" spans="1:52">
      <c r="A239" s="141" t="s">
        <v>187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0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0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0</v>
      </c>
      <c r="AZ239" s="22" t="s">
        <v>178</v>
      </c>
    </row>
    <row r="240" spans="1:52">
      <c r="A240" s="141" t="s">
        <v>188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0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0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0</v>
      </c>
      <c r="AZ240" s="22" t="s">
        <v>178</v>
      </c>
    </row>
    <row r="241" spans="1:52">
      <c r="A241" s="141" t="s">
        <v>189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178</v>
      </c>
    </row>
    <row r="242" spans="1:52">
      <c r="A242" s="141" t="s">
        <v>190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178</v>
      </c>
    </row>
    <row r="243" spans="1:52">
      <c r="A243" s="141" t="s">
        <v>191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178</v>
      </c>
    </row>
    <row r="244" spans="1:52">
      <c r="A244" s="141" t="s">
        <v>192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178</v>
      </c>
    </row>
    <row r="245" spans="1:52">
      <c r="A245" s="141" t="s">
        <v>193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178</v>
      </c>
    </row>
    <row r="246" spans="1:52">
      <c r="A246" s="141" t="s">
        <v>194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178</v>
      </c>
    </row>
    <row r="247" spans="1:52">
      <c r="A247" s="141" t="s">
        <v>195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178</v>
      </c>
    </row>
    <row r="248" spans="1:52">
      <c r="A248" s="141" t="s">
        <v>196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178</v>
      </c>
    </row>
    <row r="249" spans="1:52">
      <c r="A249" s="141" t="s">
        <v>197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178</v>
      </c>
    </row>
    <row r="250" spans="1:52">
      <c r="A250" s="141" t="s">
        <v>198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178</v>
      </c>
    </row>
    <row r="251" spans="1:52">
      <c r="A251" s="141" t="s">
        <v>199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178</v>
      </c>
    </row>
    <row r="252" spans="1:52">
      <c r="A252" s="141" t="s">
        <v>200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178</v>
      </c>
    </row>
    <row r="253" spans="1:52">
      <c r="A253" s="141" t="s">
        <v>201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178</v>
      </c>
    </row>
    <row r="254" spans="1:52">
      <c r="A254" s="141" t="s">
        <v>202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178</v>
      </c>
    </row>
    <row r="255" spans="1:52">
      <c r="A255" s="141" t="s">
        <v>203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178</v>
      </c>
    </row>
    <row r="256" spans="1:52">
      <c r="A256" s="141" t="s">
        <v>204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178</v>
      </c>
    </row>
    <row r="257" spans="1:52">
      <c r="A257" s="141" t="s">
        <v>205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178</v>
      </c>
    </row>
    <row r="258" spans="1:52">
      <c r="A258" s="141" t="s">
        <v>206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0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0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0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0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0</v>
      </c>
      <c r="AZ258" s="22" t="s">
        <v>178</v>
      </c>
    </row>
    <row r="259" spans="1:52">
      <c r="A259" s="141" t="s">
        <v>207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178</v>
      </c>
    </row>
    <row r="260" spans="1:52">
      <c r="A260" s="141" t="s">
        <v>208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178</v>
      </c>
    </row>
    <row r="261" spans="1:52">
      <c r="A261" s="141" t="s">
        <v>209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178</v>
      </c>
    </row>
    <row r="262" spans="1:52">
      <c r="A262" s="141" t="s">
        <v>210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178</v>
      </c>
    </row>
    <row r="263" spans="1:52">
      <c r="A263" s="141" t="s">
        <v>211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178</v>
      </c>
    </row>
    <row r="264" spans="1:52">
      <c r="A264" s="141" t="s">
        <v>212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178</v>
      </c>
    </row>
    <row r="265" spans="1:52">
      <c r="A265" s="141" t="s">
        <v>213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178</v>
      </c>
    </row>
    <row r="266" spans="1:52">
      <c r="A266" s="141" t="s">
        <v>214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178</v>
      </c>
    </row>
    <row r="268" spans="1:52">
      <c r="A268" s="158" t="s">
        <v>179</v>
      </c>
    </row>
    <row r="269" spans="1:52">
      <c r="A269" s="141" t="s">
        <v>184</v>
      </c>
      <c r="B269" s="141">
        <f t="shared" ref="B269:Y279" si="98">IF(IFERROR(FIND($A$268,B5,1),0)=0,0,1)</f>
        <v>0</v>
      </c>
      <c r="C269" s="141">
        <f t="shared" si="98"/>
        <v>0</v>
      </c>
      <c r="D269" s="141">
        <f t="shared" si="98"/>
        <v>0</v>
      </c>
      <c r="E269" s="141">
        <f t="shared" si="98"/>
        <v>0</v>
      </c>
      <c r="F269" s="141">
        <f t="shared" si="98"/>
        <v>0</v>
      </c>
      <c r="G269" s="141">
        <f t="shared" si="98"/>
        <v>0</v>
      </c>
      <c r="H269" s="141">
        <f t="shared" si="98"/>
        <v>0</v>
      </c>
      <c r="I269" s="141">
        <f t="shared" si="98"/>
        <v>0</v>
      </c>
      <c r="J269" s="141">
        <f t="shared" si="98"/>
        <v>0</v>
      </c>
      <c r="K269" s="141">
        <f t="shared" si="98"/>
        <v>0</v>
      </c>
      <c r="L269" s="141">
        <f t="shared" si="98"/>
        <v>0</v>
      </c>
      <c r="M269" s="141">
        <f t="shared" si="98"/>
        <v>0</v>
      </c>
      <c r="N269" s="141">
        <f t="shared" si="98"/>
        <v>0</v>
      </c>
      <c r="O269" s="141">
        <f t="shared" si="98"/>
        <v>0</v>
      </c>
      <c r="P269" s="141">
        <f t="shared" si="98"/>
        <v>0</v>
      </c>
      <c r="Q269" s="141">
        <f t="shared" si="98"/>
        <v>0</v>
      </c>
      <c r="R269" s="141">
        <f t="shared" si="98"/>
        <v>0</v>
      </c>
      <c r="S269" s="141">
        <f t="shared" si="98"/>
        <v>0</v>
      </c>
      <c r="T269" s="141">
        <f t="shared" si="98"/>
        <v>0</v>
      </c>
      <c r="U269" s="141">
        <f t="shared" si="98"/>
        <v>0</v>
      </c>
      <c r="V269" s="141">
        <f t="shared" si="98"/>
        <v>0</v>
      </c>
      <c r="W269" s="141">
        <f t="shared" si="98"/>
        <v>0</v>
      </c>
      <c r="X269" s="141">
        <f t="shared" si="98"/>
        <v>0</v>
      </c>
      <c r="Y269" s="141">
        <f t="shared" si="98"/>
        <v>0</v>
      </c>
      <c r="AA269" s="141">
        <f t="shared" ref="AA269:AX279" si="99">IF(B269=0,0,B269/AA5)</f>
        <v>0</v>
      </c>
      <c r="AB269" s="141">
        <f t="shared" si="99"/>
        <v>0</v>
      </c>
      <c r="AC269" s="141">
        <f t="shared" si="99"/>
        <v>0</v>
      </c>
      <c r="AD269" s="141">
        <f t="shared" si="99"/>
        <v>0</v>
      </c>
      <c r="AE269" s="141">
        <f t="shared" si="99"/>
        <v>0</v>
      </c>
      <c r="AF269" s="141">
        <f t="shared" si="99"/>
        <v>0</v>
      </c>
      <c r="AG269" s="141">
        <f t="shared" si="99"/>
        <v>0</v>
      </c>
      <c r="AH269" s="141">
        <f t="shared" si="99"/>
        <v>0</v>
      </c>
      <c r="AI269" s="141">
        <f t="shared" si="99"/>
        <v>0</v>
      </c>
      <c r="AJ269" s="141">
        <f t="shared" si="99"/>
        <v>0</v>
      </c>
      <c r="AK269" s="141">
        <f t="shared" si="99"/>
        <v>0</v>
      </c>
      <c r="AL269" s="141">
        <f t="shared" si="99"/>
        <v>0</v>
      </c>
      <c r="AM269" s="141">
        <f t="shared" si="99"/>
        <v>0</v>
      </c>
      <c r="AN269" s="141">
        <f t="shared" si="99"/>
        <v>0</v>
      </c>
      <c r="AO269" s="141">
        <f t="shared" si="99"/>
        <v>0</v>
      </c>
      <c r="AP269" s="141">
        <f t="shared" si="99"/>
        <v>0</v>
      </c>
      <c r="AQ269" s="141">
        <f t="shared" si="99"/>
        <v>0</v>
      </c>
      <c r="AR269" s="141">
        <f t="shared" si="99"/>
        <v>0</v>
      </c>
      <c r="AS269" s="141">
        <f t="shared" si="99"/>
        <v>0</v>
      </c>
      <c r="AT269" s="141">
        <f t="shared" si="99"/>
        <v>0</v>
      </c>
      <c r="AU269" s="141">
        <f t="shared" si="99"/>
        <v>0</v>
      </c>
      <c r="AV269" s="141">
        <f t="shared" si="99"/>
        <v>0</v>
      </c>
      <c r="AW269" s="141">
        <f t="shared" si="99"/>
        <v>0</v>
      </c>
      <c r="AX269" s="141">
        <f t="shared" si="99"/>
        <v>0</v>
      </c>
      <c r="AY269" s="141">
        <f t="shared" ref="AY269:AY299" si="100">SUM(AA269:AX269)</f>
        <v>0</v>
      </c>
      <c r="AZ269" s="22" t="s">
        <v>179</v>
      </c>
    </row>
    <row r="270" spans="1:52">
      <c r="A270" s="141" t="s">
        <v>185</v>
      </c>
      <c r="B270" s="141">
        <f t="shared" si="98"/>
        <v>0</v>
      </c>
      <c r="C270" s="141">
        <f t="shared" si="98"/>
        <v>0</v>
      </c>
      <c r="D270" s="141">
        <f t="shared" si="98"/>
        <v>0</v>
      </c>
      <c r="E270" s="141">
        <f t="shared" si="98"/>
        <v>0</v>
      </c>
      <c r="F270" s="141">
        <f t="shared" si="98"/>
        <v>0</v>
      </c>
      <c r="G270" s="141">
        <f t="shared" si="98"/>
        <v>0</v>
      </c>
      <c r="H270" s="141">
        <f t="shared" si="98"/>
        <v>0</v>
      </c>
      <c r="I270" s="141">
        <f t="shared" si="98"/>
        <v>0</v>
      </c>
      <c r="J270" s="141">
        <f t="shared" si="98"/>
        <v>0</v>
      </c>
      <c r="K270" s="141">
        <f t="shared" si="98"/>
        <v>0</v>
      </c>
      <c r="L270" s="141">
        <f t="shared" si="98"/>
        <v>0</v>
      </c>
      <c r="M270" s="141">
        <f t="shared" si="98"/>
        <v>0</v>
      </c>
      <c r="N270" s="141">
        <f t="shared" si="98"/>
        <v>0</v>
      </c>
      <c r="O270" s="141">
        <f t="shared" si="98"/>
        <v>0</v>
      </c>
      <c r="P270" s="141">
        <f t="shared" si="98"/>
        <v>0</v>
      </c>
      <c r="Q270" s="141">
        <f t="shared" si="98"/>
        <v>0</v>
      </c>
      <c r="R270" s="141">
        <f t="shared" si="98"/>
        <v>0</v>
      </c>
      <c r="S270" s="141">
        <f t="shared" si="98"/>
        <v>0</v>
      </c>
      <c r="T270" s="141">
        <f t="shared" si="98"/>
        <v>0</v>
      </c>
      <c r="U270" s="141">
        <f t="shared" si="98"/>
        <v>0</v>
      </c>
      <c r="V270" s="141">
        <f t="shared" si="98"/>
        <v>0</v>
      </c>
      <c r="W270" s="141">
        <f t="shared" si="98"/>
        <v>0</v>
      </c>
      <c r="X270" s="141">
        <f t="shared" si="98"/>
        <v>0</v>
      </c>
      <c r="Y270" s="141">
        <f t="shared" si="98"/>
        <v>0</v>
      </c>
      <c r="AA270" s="141">
        <f t="shared" si="99"/>
        <v>0</v>
      </c>
      <c r="AB270" s="141">
        <f t="shared" si="99"/>
        <v>0</v>
      </c>
      <c r="AC270" s="141">
        <f t="shared" si="99"/>
        <v>0</v>
      </c>
      <c r="AD270" s="141">
        <f t="shared" si="99"/>
        <v>0</v>
      </c>
      <c r="AE270" s="141">
        <f t="shared" si="99"/>
        <v>0</v>
      </c>
      <c r="AF270" s="141">
        <f t="shared" si="99"/>
        <v>0</v>
      </c>
      <c r="AG270" s="141">
        <f t="shared" si="99"/>
        <v>0</v>
      </c>
      <c r="AH270" s="141">
        <f t="shared" si="99"/>
        <v>0</v>
      </c>
      <c r="AI270" s="141">
        <f t="shared" si="99"/>
        <v>0</v>
      </c>
      <c r="AJ270" s="141">
        <f t="shared" si="99"/>
        <v>0</v>
      </c>
      <c r="AK270" s="141">
        <f t="shared" si="99"/>
        <v>0</v>
      </c>
      <c r="AL270" s="141">
        <f t="shared" si="99"/>
        <v>0</v>
      </c>
      <c r="AM270" s="141">
        <f t="shared" si="99"/>
        <v>0</v>
      </c>
      <c r="AN270" s="141">
        <f t="shared" si="99"/>
        <v>0</v>
      </c>
      <c r="AO270" s="141">
        <f t="shared" si="99"/>
        <v>0</v>
      </c>
      <c r="AP270" s="141">
        <f t="shared" si="99"/>
        <v>0</v>
      </c>
      <c r="AQ270" s="141">
        <f t="shared" si="99"/>
        <v>0</v>
      </c>
      <c r="AR270" s="141">
        <f t="shared" si="99"/>
        <v>0</v>
      </c>
      <c r="AS270" s="141">
        <f t="shared" si="99"/>
        <v>0</v>
      </c>
      <c r="AT270" s="141">
        <f t="shared" si="99"/>
        <v>0</v>
      </c>
      <c r="AU270" s="141">
        <f t="shared" si="99"/>
        <v>0</v>
      </c>
      <c r="AV270" s="141">
        <f t="shared" si="99"/>
        <v>0</v>
      </c>
      <c r="AW270" s="141">
        <f t="shared" si="99"/>
        <v>0</v>
      </c>
      <c r="AX270" s="141">
        <f t="shared" si="99"/>
        <v>0</v>
      </c>
      <c r="AY270" s="141">
        <f t="shared" si="100"/>
        <v>0</v>
      </c>
      <c r="AZ270" s="22" t="s">
        <v>179</v>
      </c>
    </row>
    <row r="271" spans="1:52">
      <c r="A271" s="141" t="s">
        <v>186</v>
      </c>
      <c r="B271" s="141">
        <f t="shared" si="98"/>
        <v>0</v>
      </c>
      <c r="C271" s="141">
        <f t="shared" si="98"/>
        <v>0</v>
      </c>
      <c r="D271" s="141">
        <f t="shared" si="98"/>
        <v>0</v>
      </c>
      <c r="E271" s="141">
        <f t="shared" si="98"/>
        <v>0</v>
      </c>
      <c r="F271" s="141">
        <f t="shared" si="98"/>
        <v>0</v>
      </c>
      <c r="G271" s="141">
        <f t="shared" si="98"/>
        <v>0</v>
      </c>
      <c r="H271" s="141">
        <f t="shared" si="98"/>
        <v>0</v>
      </c>
      <c r="I271" s="141">
        <f t="shared" si="98"/>
        <v>0</v>
      </c>
      <c r="J271" s="141">
        <f t="shared" si="98"/>
        <v>0</v>
      </c>
      <c r="K271" s="141">
        <f t="shared" si="98"/>
        <v>0</v>
      </c>
      <c r="L271" s="141">
        <f t="shared" si="98"/>
        <v>0</v>
      </c>
      <c r="M271" s="141">
        <f t="shared" si="98"/>
        <v>0</v>
      </c>
      <c r="N271" s="141">
        <f t="shared" si="98"/>
        <v>0</v>
      </c>
      <c r="O271" s="141">
        <f t="shared" si="98"/>
        <v>0</v>
      </c>
      <c r="P271" s="141">
        <f t="shared" si="98"/>
        <v>0</v>
      </c>
      <c r="Q271" s="141">
        <f t="shared" si="98"/>
        <v>0</v>
      </c>
      <c r="R271" s="141">
        <f t="shared" si="98"/>
        <v>0</v>
      </c>
      <c r="S271" s="141">
        <f t="shared" si="98"/>
        <v>0</v>
      </c>
      <c r="T271" s="141">
        <f t="shared" si="98"/>
        <v>0</v>
      </c>
      <c r="U271" s="141">
        <f t="shared" si="98"/>
        <v>0</v>
      </c>
      <c r="V271" s="141">
        <f t="shared" si="98"/>
        <v>0</v>
      </c>
      <c r="W271" s="141">
        <f t="shared" si="98"/>
        <v>0</v>
      </c>
      <c r="X271" s="141">
        <f t="shared" si="98"/>
        <v>0</v>
      </c>
      <c r="Y271" s="141">
        <f t="shared" si="98"/>
        <v>0</v>
      </c>
      <c r="AA271" s="141">
        <f t="shared" si="99"/>
        <v>0</v>
      </c>
      <c r="AB271" s="141">
        <f t="shared" si="99"/>
        <v>0</v>
      </c>
      <c r="AC271" s="141">
        <f t="shared" si="99"/>
        <v>0</v>
      </c>
      <c r="AD271" s="141">
        <f t="shared" si="99"/>
        <v>0</v>
      </c>
      <c r="AE271" s="141">
        <f t="shared" si="99"/>
        <v>0</v>
      </c>
      <c r="AF271" s="141">
        <f t="shared" si="99"/>
        <v>0</v>
      </c>
      <c r="AG271" s="141">
        <f t="shared" si="99"/>
        <v>0</v>
      </c>
      <c r="AH271" s="141">
        <f t="shared" si="99"/>
        <v>0</v>
      </c>
      <c r="AI271" s="141">
        <f t="shared" si="99"/>
        <v>0</v>
      </c>
      <c r="AJ271" s="141">
        <f t="shared" si="99"/>
        <v>0</v>
      </c>
      <c r="AK271" s="141">
        <f t="shared" si="99"/>
        <v>0</v>
      </c>
      <c r="AL271" s="141">
        <f t="shared" si="99"/>
        <v>0</v>
      </c>
      <c r="AM271" s="141">
        <f t="shared" si="99"/>
        <v>0</v>
      </c>
      <c r="AN271" s="141">
        <f t="shared" si="99"/>
        <v>0</v>
      </c>
      <c r="AO271" s="141">
        <f t="shared" si="99"/>
        <v>0</v>
      </c>
      <c r="AP271" s="141">
        <f t="shared" si="99"/>
        <v>0</v>
      </c>
      <c r="AQ271" s="141">
        <f t="shared" si="99"/>
        <v>0</v>
      </c>
      <c r="AR271" s="141">
        <f t="shared" si="99"/>
        <v>0</v>
      </c>
      <c r="AS271" s="141">
        <f t="shared" si="99"/>
        <v>0</v>
      </c>
      <c r="AT271" s="141">
        <f t="shared" si="99"/>
        <v>0</v>
      </c>
      <c r="AU271" s="141">
        <f t="shared" si="99"/>
        <v>0</v>
      </c>
      <c r="AV271" s="141">
        <f t="shared" si="99"/>
        <v>0</v>
      </c>
      <c r="AW271" s="141">
        <f t="shared" si="99"/>
        <v>0</v>
      </c>
      <c r="AX271" s="141">
        <f t="shared" si="99"/>
        <v>0</v>
      </c>
      <c r="AY271" s="141">
        <f t="shared" si="100"/>
        <v>0</v>
      </c>
      <c r="AZ271" s="22" t="s">
        <v>179</v>
      </c>
    </row>
    <row r="272" spans="1:52">
      <c r="A272" s="141" t="s">
        <v>187</v>
      </c>
      <c r="B272" s="141">
        <f t="shared" si="98"/>
        <v>0</v>
      </c>
      <c r="C272" s="141">
        <f t="shared" si="98"/>
        <v>0</v>
      </c>
      <c r="D272" s="141">
        <f t="shared" si="98"/>
        <v>0</v>
      </c>
      <c r="E272" s="141">
        <f t="shared" si="98"/>
        <v>0</v>
      </c>
      <c r="F272" s="141">
        <f t="shared" si="98"/>
        <v>0</v>
      </c>
      <c r="G272" s="141">
        <f t="shared" si="98"/>
        <v>0</v>
      </c>
      <c r="H272" s="141">
        <f t="shared" si="98"/>
        <v>0</v>
      </c>
      <c r="I272" s="141">
        <f t="shared" si="98"/>
        <v>0</v>
      </c>
      <c r="J272" s="141">
        <f t="shared" si="98"/>
        <v>0</v>
      </c>
      <c r="K272" s="141">
        <f t="shared" si="98"/>
        <v>0</v>
      </c>
      <c r="L272" s="141">
        <f t="shared" si="98"/>
        <v>0</v>
      </c>
      <c r="M272" s="141">
        <f t="shared" si="98"/>
        <v>0</v>
      </c>
      <c r="N272" s="141">
        <f t="shared" si="98"/>
        <v>0</v>
      </c>
      <c r="O272" s="141">
        <f t="shared" si="98"/>
        <v>0</v>
      </c>
      <c r="P272" s="141">
        <f t="shared" si="98"/>
        <v>0</v>
      </c>
      <c r="Q272" s="141">
        <f t="shared" si="98"/>
        <v>0</v>
      </c>
      <c r="R272" s="141">
        <f t="shared" si="98"/>
        <v>0</v>
      </c>
      <c r="S272" s="141">
        <f t="shared" si="98"/>
        <v>0</v>
      </c>
      <c r="T272" s="141">
        <f t="shared" si="98"/>
        <v>0</v>
      </c>
      <c r="U272" s="141">
        <f t="shared" si="98"/>
        <v>0</v>
      </c>
      <c r="V272" s="141">
        <f t="shared" si="98"/>
        <v>0</v>
      </c>
      <c r="W272" s="141">
        <f t="shared" si="98"/>
        <v>0</v>
      </c>
      <c r="X272" s="141">
        <f t="shared" si="98"/>
        <v>0</v>
      </c>
      <c r="Y272" s="141">
        <f t="shared" si="98"/>
        <v>0</v>
      </c>
      <c r="AA272" s="141">
        <f t="shared" si="99"/>
        <v>0</v>
      </c>
      <c r="AB272" s="141">
        <f t="shared" si="99"/>
        <v>0</v>
      </c>
      <c r="AC272" s="141">
        <f t="shared" si="99"/>
        <v>0</v>
      </c>
      <c r="AD272" s="141">
        <f t="shared" si="99"/>
        <v>0</v>
      </c>
      <c r="AE272" s="141">
        <f t="shared" si="99"/>
        <v>0</v>
      </c>
      <c r="AF272" s="141">
        <f t="shared" si="99"/>
        <v>0</v>
      </c>
      <c r="AG272" s="141">
        <f t="shared" si="99"/>
        <v>0</v>
      </c>
      <c r="AH272" s="141">
        <f t="shared" si="99"/>
        <v>0</v>
      </c>
      <c r="AI272" s="141">
        <f t="shared" si="99"/>
        <v>0</v>
      </c>
      <c r="AJ272" s="141">
        <f t="shared" si="99"/>
        <v>0</v>
      </c>
      <c r="AK272" s="141">
        <f t="shared" si="99"/>
        <v>0</v>
      </c>
      <c r="AL272" s="141">
        <f t="shared" si="99"/>
        <v>0</v>
      </c>
      <c r="AM272" s="141">
        <f t="shared" si="99"/>
        <v>0</v>
      </c>
      <c r="AN272" s="141">
        <f t="shared" si="99"/>
        <v>0</v>
      </c>
      <c r="AO272" s="141">
        <f t="shared" si="99"/>
        <v>0</v>
      </c>
      <c r="AP272" s="141">
        <f t="shared" si="99"/>
        <v>0</v>
      </c>
      <c r="AQ272" s="141">
        <f t="shared" si="99"/>
        <v>0</v>
      </c>
      <c r="AR272" s="141">
        <f t="shared" si="99"/>
        <v>0</v>
      </c>
      <c r="AS272" s="141">
        <f t="shared" si="99"/>
        <v>0</v>
      </c>
      <c r="AT272" s="141">
        <f t="shared" si="99"/>
        <v>0</v>
      </c>
      <c r="AU272" s="141">
        <f t="shared" si="99"/>
        <v>0</v>
      </c>
      <c r="AV272" s="141">
        <f t="shared" si="99"/>
        <v>0</v>
      </c>
      <c r="AW272" s="141">
        <f t="shared" si="99"/>
        <v>0</v>
      </c>
      <c r="AX272" s="141">
        <f t="shared" si="99"/>
        <v>0</v>
      </c>
      <c r="AY272" s="141">
        <f t="shared" si="100"/>
        <v>0</v>
      </c>
      <c r="AZ272" s="22" t="s">
        <v>179</v>
      </c>
    </row>
    <row r="273" spans="1:52">
      <c r="A273" s="141" t="s">
        <v>188</v>
      </c>
      <c r="B273" s="141">
        <f t="shared" si="98"/>
        <v>0</v>
      </c>
      <c r="C273" s="141">
        <f t="shared" si="98"/>
        <v>0</v>
      </c>
      <c r="D273" s="141">
        <f t="shared" si="98"/>
        <v>0</v>
      </c>
      <c r="E273" s="141">
        <f t="shared" si="98"/>
        <v>0</v>
      </c>
      <c r="F273" s="141">
        <f t="shared" si="98"/>
        <v>0</v>
      </c>
      <c r="G273" s="141">
        <f t="shared" si="98"/>
        <v>0</v>
      </c>
      <c r="H273" s="141">
        <f t="shared" si="98"/>
        <v>0</v>
      </c>
      <c r="I273" s="141">
        <f t="shared" si="98"/>
        <v>0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0</v>
      </c>
      <c r="R273" s="141">
        <f t="shared" si="98"/>
        <v>0</v>
      </c>
      <c r="S273" s="141">
        <f t="shared" si="98"/>
        <v>0</v>
      </c>
      <c r="T273" s="141">
        <f t="shared" si="98"/>
        <v>0</v>
      </c>
      <c r="U273" s="141">
        <f t="shared" si="98"/>
        <v>0</v>
      </c>
      <c r="V273" s="141">
        <f t="shared" si="98"/>
        <v>0</v>
      </c>
      <c r="W273" s="141">
        <f t="shared" si="98"/>
        <v>0</v>
      </c>
      <c r="X273" s="141">
        <f t="shared" si="98"/>
        <v>0</v>
      </c>
      <c r="Y273" s="141">
        <f t="shared" si="98"/>
        <v>0</v>
      </c>
      <c r="AA273" s="141">
        <f t="shared" si="99"/>
        <v>0</v>
      </c>
      <c r="AB273" s="141">
        <f t="shared" si="99"/>
        <v>0</v>
      </c>
      <c r="AC273" s="141">
        <f t="shared" si="99"/>
        <v>0</v>
      </c>
      <c r="AD273" s="141">
        <f t="shared" si="99"/>
        <v>0</v>
      </c>
      <c r="AE273" s="141">
        <f t="shared" si="99"/>
        <v>0</v>
      </c>
      <c r="AF273" s="141">
        <f t="shared" si="99"/>
        <v>0</v>
      </c>
      <c r="AG273" s="141">
        <f t="shared" si="99"/>
        <v>0</v>
      </c>
      <c r="AH273" s="141">
        <f t="shared" si="99"/>
        <v>0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0</v>
      </c>
      <c r="AQ273" s="141">
        <f t="shared" si="99"/>
        <v>0</v>
      </c>
      <c r="AR273" s="141">
        <f t="shared" si="99"/>
        <v>0</v>
      </c>
      <c r="AS273" s="141">
        <f t="shared" si="99"/>
        <v>0</v>
      </c>
      <c r="AT273" s="141">
        <f t="shared" si="99"/>
        <v>0</v>
      </c>
      <c r="AU273" s="141">
        <f t="shared" si="99"/>
        <v>0</v>
      </c>
      <c r="AV273" s="141">
        <f t="shared" si="99"/>
        <v>0</v>
      </c>
      <c r="AW273" s="141">
        <f t="shared" si="99"/>
        <v>0</v>
      </c>
      <c r="AX273" s="141">
        <f t="shared" si="99"/>
        <v>0</v>
      </c>
      <c r="AY273" s="141">
        <f t="shared" si="100"/>
        <v>0</v>
      </c>
      <c r="AZ273" s="22" t="s">
        <v>179</v>
      </c>
    </row>
    <row r="274" spans="1:52">
      <c r="A274" s="141" t="s">
        <v>189</v>
      </c>
      <c r="B274" s="141">
        <f t="shared" si="98"/>
        <v>0</v>
      </c>
      <c r="C274" s="141">
        <f t="shared" si="98"/>
        <v>0</v>
      </c>
      <c r="D274" s="141">
        <f t="shared" si="98"/>
        <v>0</v>
      </c>
      <c r="E274" s="141">
        <f t="shared" si="98"/>
        <v>0</v>
      </c>
      <c r="F274" s="141">
        <f t="shared" si="98"/>
        <v>0</v>
      </c>
      <c r="G274" s="141">
        <f t="shared" si="98"/>
        <v>0</v>
      </c>
      <c r="H274" s="141">
        <f t="shared" si="98"/>
        <v>0</v>
      </c>
      <c r="I274" s="141">
        <f t="shared" si="98"/>
        <v>0</v>
      </c>
      <c r="J274" s="141">
        <f t="shared" si="98"/>
        <v>0</v>
      </c>
      <c r="K274" s="141">
        <f t="shared" si="98"/>
        <v>0</v>
      </c>
      <c r="L274" s="141">
        <f t="shared" si="98"/>
        <v>0</v>
      </c>
      <c r="M274" s="141">
        <f t="shared" si="98"/>
        <v>0</v>
      </c>
      <c r="N274" s="141">
        <f t="shared" si="98"/>
        <v>0</v>
      </c>
      <c r="O274" s="141">
        <f t="shared" si="98"/>
        <v>0</v>
      </c>
      <c r="P274" s="141">
        <f t="shared" si="98"/>
        <v>0</v>
      </c>
      <c r="Q274" s="141">
        <f t="shared" si="98"/>
        <v>0</v>
      </c>
      <c r="R274" s="141">
        <f t="shared" si="98"/>
        <v>0</v>
      </c>
      <c r="S274" s="141">
        <f t="shared" si="98"/>
        <v>0</v>
      </c>
      <c r="T274" s="141">
        <f t="shared" si="98"/>
        <v>0</v>
      </c>
      <c r="U274" s="141">
        <f t="shared" si="98"/>
        <v>0</v>
      </c>
      <c r="V274" s="141">
        <f t="shared" si="98"/>
        <v>0</v>
      </c>
      <c r="W274" s="141">
        <f t="shared" si="98"/>
        <v>0</v>
      </c>
      <c r="X274" s="141">
        <f t="shared" si="98"/>
        <v>0</v>
      </c>
      <c r="Y274" s="141">
        <f t="shared" si="98"/>
        <v>0</v>
      </c>
      <c r="AA274" s="141">
        <f t="shared" si="99"/>
        <v>0</v>
      </c>
      <c r="AB274" s="141">
        <f t="shared" si="99"/>
        <v>0</v>
      </c>
      <c r="AC274" s="141">
        <f t="shared" si="99"/>
        <v>0</v>
      </c>
      <c r="AD274" s="141">
        <f t="shared" si="99"/>
        <v>0</v>
      </c>
      <c r="AE274" s="141">
        <f t="shared" si="99"/>
        <v>0</v>
      </c>
      <c r="AF274" s="141">
        <f t="shared" si="99"/>
        <v>0</v>
      </c>
      <c r="AG274" s="141">
        <f t="shared" si="99"/>
        <v>0</v>
      </c>
      <c r="AH274" s="141">
        <f t="shared" si="99"/>
        <v>0</v>
      </c>
      <c r="AI274" s="141">
        <f t="shared" si="99"/>
        <v>0</v>
      </c>
      <c r="AJ274" s="141">
        <f t="shared" si="99"/>
        <v>0</v>
      </c>
      <c r="AK274" s="141">
        <f t="shared" si="99"/>
        <v>0</v>
      </c>
      <c r="AL274" s="141">
        <f t="shared" si="99"/>
        <v>0</v>
      </c>
      <c r="AM274" s="141">
        <f t="shared" si="99"/>
        <v>0</v>
      </c>
      <c r="AN274" s="141">
        <f t="shared" si="99"/>
        <v>0</v>
      </c>
      <c r="AO274" s="141">
        <f t="shared" si="99"/>
        <v>0</v>
      </c>
      <c r="AP274" s="141">
        <f t="shared" si="99"/>
        <v>0</v>
      </c>
      <c r="AQ274" s="141">
        <f t="shared" si="99"/>
        <v>0</v>
      </c>
      <c r="AR274" s="141">
        <f t="shared" si="99"/>
        <v>0</v>
      </c>
      <c r="AS274" s="141">
        <f t="shared" si="99"/>
        <v>0</v>
      </c>
      <c r="AT274" s="141">
        <f t="shared" si="99"/>
        <v>0</v>
      </c>
      <c r="AU274" s="141">
        <f t="shared" si="99"/>
        <v>0</v>
      </c>
      <c r="AV274" s="141">
        <f t="shared" si="99"/>
        <v>0</v>
      </c>
      <c r="AW274" s="141">
        <f t="shared" si="99"/>
        <v>0</v>
      </c>
      <c r="AX274" s="141">
        <f t="shared" si="99"/>
        <v>0</v>
      </c>
      <c r="AY274" s="141">
        <f t="shared" si="100"/>
        <v>0</v>
      </c>
      <c r="AZ274" s="22" t="s">
        <v>179</v>
      </c>
    </row>
    <row r="275" spans="1:52">
      <c r="A275" s="141" t="s">
        <v>190</v>
      </c>
      <c r="B275" s="141">
        <f t="shared" si="98"/>
        <v>0</v>
      </c>
      <c r="C275" s="141">
        <f t="shared" si="98"/>
        <v>0</v>
      </c>
      <c r="D275" s="141">
        <f t="shared" si="98"/>
        <v>0</v>
      </c>
      <c r="E275" s="141">
        <f t="shared" si="98"/>
        <v>0</v>
      </c>
      <c r="F275" s="141">
        <f t="shared" si="98"/>
        <v>0</v>
      </c>
      <c r="G275" s="141">
        <f t="shared" si="98"/>
        <v>0</v>
      </c>
      <c r="H275" s="141">
        <f t="shared" si="98"/>
        <v>0</v>
      </c>
      <c r="I275" s="141">
        <f t="shared" si="98"/>
        <v>0</v>
      </c>
      <c r="J275" s="141">
        <f t="shared" si="98"/>
        <v>0</v>
      </c>
      <c r="K275" s="141">
        <f>IF(IFERROR(FIND($A$268,#REF!,1),0)=0,0,1)</f>
        <v>0</v>
      </c>
      <c r="L275" s="141">
        <f t="shared" si="98"/>
        <v>0</v>
      </c>
      <c r="M275" s="141">
        <f t="shared" si="98"/>
        <v>0</v>
      </c>
      <c r="N275" s="141">
        <f t="shared" si="98"/>
        <v>0</v>
      </c>
      <c r="O275" s="141">
        <f t="shared" si="98"/>
        <v>0</v>
      </c>
      <c r="P275" s="141">
        <f t="shared" si="98"/>
        <v>0</v>
      </c>
      <c r="Q275" s="141">
        <f t="shared" si="98"/>
        <v>0</v>
      </c>
      <c r="R275" s="141">
        <f t="shared" si="98"/>
        <v>0</v>
      </c>
      <c r="S275" s="141">
        <f t="shared" si="98"/>
        <v>0</v>
      </c>
      <c r="T275" s="141">
        <f t="shared" si="98"/>
        <v>0</v>
      </c>
      <c r="U275" s="141">
        <f t="shared" si="98"/>
        <v>0</v>
      </c>
      <c r="V275" s="141">
        <f t="shared" si="98"/>
        <v>0</v>
      </c>
      <c r="W275" s="141">
        <f t="shared" si="98"/>
        <v>0</v>
      </c>
      <c r="X275" s="141">
        <f t="shared" si="98"/>
        <v>0</v>
      </c>
      <c r="Y275" s="141">
        <f t="shared" si="98"/>
        <v>0</v>
      </c>
      <c r="AA275" s="141">
        <f t="shared" si="99"/>
        <v>0</v>
      </c>
      <c r="AB275" s="141">
        <f t="shared" si="99"/>
        <v>0</v>
      </c>
      <c r="AC275" s="141">
        <f t="shared" si="99"/>
        <v>0</v>
      </c>
      <c r="AD275" s="141">
        <f t="shared" si="99"/>
        <v>0</v>
      </c>
      <c r="AE275" s="141">
        <f t="shared" si="99"/>
        <v>0</v>
      </c>
      <c r="AF275" s="141">
        <f t="shared" si="99"/>
        <v>0</v>
      </c>
      <c r="AG275" s="141">
        <f t="shared" si="99"/>
        <v>0</v>
      </c>
      <c r="AH275" s="141">
        <f t="shared" si="99"/>
        <v>0</v>
      </c>
      <c r="AI275" s="141">
        <f t="shared" si="99"/>
        <v>0</v>
      </c>
      <c r="AJ275" s="141">
        <f t="shared" si="99"/>
        <v>0</v>
      </c>
      <c r="AK275" s="141">
        <f t="shared" si="99"/>
        <v>0</v>
      </c>
      <c r="AL275" s="141">
        <f t="shared" si="99"/>
        <v>0</v>
      </c>
      <c r="AM275" s="141">
        <f t="shared" si="99"/>
        <v>0</v>
      </c>
      <c r="AN275" s="141">
        <f t="shared" si="99"/>
        <v>0</v>
      </c>
      <c r="AO275" s="141">
        <f t="shared" si="99"/>
        <v>0</v>
      </c>
      <c r="AP275" s="141">
        <f t="shared" si="99"/>
        <v>0</v>
      </c>
      <c r="AQ275" s="141">
        <f t="shared" si="99"/>
        <v>0</v>
      </c>
      <c r="AR275" s="141">
        <f t="shared" si="99"/>
        <v>0</v>
      </c>
      <c r="AS275" s="141">
        <f t="shared" si="99"/>
        <v>0</v>
      </c>
      <c r="AT275" s="141">
        <f t="shared" si="99"/>
        <v>0</v>
      </c>
      <c r="AU275" s="141">
        <f t="shared" si="99"/>
        <v>0</v>
      </c>
      <c r="AV275" s="141">
        <f t="shared" si="99"/>
        <v>0</v>
      </c>
      <c r="AW275" s="141">
        <f t="shared" si="99"/>
        <v>0</v>
      </c>
      <c r="AX275" s="141">
        <f t="shared" si="99"/>
        <v>0</v>
      </c>
      <c r="AY275" s="141">
        <f t="shared" si="100"/>
        <v>0</v>
      </c>
      <c r="AZ275" s="22" t="s">
        <v>179</v>
      </c>
    </row>
    <row r="276" spans="1:52">
      <c r="A276" s="141" t="s">
        <v>191</v>
      </c>
      <c r="B276" s="141">
        <f t="shared" si="98"/>
        <v>0</v>
      </c>
      <c r="C276" s="141">
        <f t="shared" si="98"/>
        <v>0</v>
      </c>
      <c r="D276" s="141">
        <f t="shared" si="98"/>
        <v>0</v>
      </c>
      <c r="E276" s="141">
        <f t="shared" si="98"/>
        <v>0</v>
      </c>
      <c r="F276" s="141">
        <f t="shared" si="98"/>
        <v>0</v>
      </c>
      <c r="G276" s="141">
        <f t="shared" si="98"/>
        <v>0</v>
      </c>
      <c r="H276" s="141">
        <f t="shared" si="98"/>
        <v>0</v>
      </c>
      <c r="I276" s="141">
        <f t="shared" si="98"/>
        <v>0</v>
      </c>
      <c r="J276" s="141">
        <f t="shared" si="98"/>
        <v>0</v>
      </c>
      <c r="K276" s="141">
        <f t="shared" si="98"/>
        <v>0</v>
      </c>
      <c r="L276" s="141">
        <f t="shared" si="98"/>
        <v>0</v>
      </c>
      <c r="M276" s="141">
        <f t="shared" si="98"/>
        <v>0</v>
      </c>
      <c r="N276" s="141">
        <f t="shared" si="98"/>
        <v>0</v>
      </c>
      <c r="O276" s="141">
        <f t="shared" si="98"/>
        <v>0</v>
      </c>
      <c r="P276" s="141">
        <f t="shared" si="98"/>
        <v>0</v>
      </c>
      <c r="Q276" s="141">
        <f t="shared" si="98"/>
        <v>0</v>
      </c>
      <c r="R276" s="141">
        <f t="shared" si="98"/>
        <v>0</v>
      </c>
      <c r="S276" s="141">
        <f t="shared" si="98"/>
        <v>0</v>
      </c>
      <c r="T276" s="141">
        <f t="shared" si="98"/>
        <v>0</v>
      </c>
      <c r="U276" s="141">
        <f t="shared" si="98"/>
        <v>0</v>
      </c>
      <c r="V276" s="141">
        <f t="shared" si="98"/>
        <v>0</v>
      </c>
      <c r="W276" s="141">
        <f t="shared" si="98"/>
        <v>0</v>
      </c>
      <c r="X276" s="141">
        <f t="shared" si="98"/>
        <v>0</v>
      </c>
      <c r="Y276" s="141">
        <f t="shared" si="98"/>
        <v>0</v>
      </c>
      <c r="AA276" s="141">
        <f t="shared" si="99"/>
        <v>0</v>
      </c>
      <c r="AB276" s="141">
        <f t="shared" si="99"/>
        <v>0</v>
      </c>
      <c r="AC276" s="141">
        <f t="shared" si="99"/>
        <v>0</v>
      </c>
      <c r="AD276" s="141">
        <f t="shared" si="99"/>
        <v>0</v>
      </c>
      <c r="AE276" s="141">
        <f t="shared" si="99"/>
        <v>0</v>
      </c>
      <c r="AF276" s="141">
        <f t="shared" si="99"/>
        <v>0</v>
      </c>
      <c r="AG276" s="141">
        <f t="shared" si="99"/>
        <v>0</v>
      </c>
      <c r="AH276" s="141">
        <f t="shared" si="99"/>
        <v>0</v>
      </c>
      <c r="AI276" s="141">
        <f t="shared" si="99"/>
        <v>0</v>
      </c>
      <c r="AJ276" s="141">
        <f t="shared" si="99"/>
        <v>0</v>
      </c>
      <c r="AK276" s="141">
        <f t="shared" si="99"/>
        <v>0</v>
      </c>
      <c r="AL276" s="141">
        <f t="shared" si="99"/>
        <v>0</v>
      </c>
      <c r="AM276" s="141">
        <f t="shared" si="99"/>
        <v>0</v>
      </c>
      <c r="AN276" s="141">
        <f t="shared" si="99"/>
        <v>0</v>
      </c>
      <c r="AO276" s="141">
        <f t="shared" si="99"/>
        <v>0</v>
      </c>
      <c r="AP276" s="141">
        <f t="shared" si="99"/>
        <v>0</v>
      </c>
      <c r="AQ276" s="141">
        <f t="shared" si="99"/>
        <v>0</v>
      </c>
      <c r="AR276" s="141">
        <f t="shared" si="99"/>
        <v>0</v>
      </c>
      <c r="AS276" s="141">
        <f t="shared" si="99"/>
        <v>0</v>
      </c>
      <c r="AT276" s="141">
        <f t="shared" si="99"/>
        <v>0</v>
      </c>
      <c r="AU276" s="141">
        <f t="shared" si="99"/>
        <v>0</v>
      </c>
      <c r="AV276" s="141">
        <f t="shared" si="99"/>
        <v>0</v>
      </c>
      <c r="AW276" s="141">
        <f t="shared" si="99"/>
        <v>0</v>
      </c>
      <c r="AX276" s="141">
        <f t="shared" si="99"/>
        <v>0</v>
      </c>
      <c r="AY276" s="141">
        <f t="shared" si="100"/>
        <v>0</v>
      </c>
      <c r="AZ276" s="22" t="s">
        <v>179</v>
      </c>
    </row>
    <row r="277" spans="1:52">
      <c r="A277" s="141" t="s">
        <v>192</v>
      </c>
      <c r="B277" s="141">
        <f t="shared" si="98"/>
        <v>0</v>
      </c>
      <c r="C277" s="141">
        <f t="shared" si="98"/>
        <v>0</v>
      </c>
      <c r="D277" s="141">
        <f t="shared" si="98"/>
        <v>0</v>
      </c>
      <c r="E277" s="141">
        <f t="shared" si="98"/>
        <v>0</v>
      </c>
      <c r="F277" s="141">
        <f t="shared" si="98"/>
        <v>0</v>
      </c>
      <c r="G277" s="141">
        <f t="shared" si="98"/>
        <v>0</v>
      </c>
      <c r="H277" s="141">
        <f t="shared" si="98"/>
        <v>0</v>
      </c>
      <c r="I277" s="141">
        <f t="shared" si="98"/>
        <v>0</v>
      </c>
      <c r="J277" s="141">
        <f>IF(IFERROR(FIND($A$268,K11,1),0)=0,0,1)</f>
        <v>0</v>
      </c>
      <c r="K277" s="141">
        <f t="shared" si="98"/>
        <v>0</v>
      </c>
      <c r="L277" s="141">
        <f t="shared" si="98"/>
        <v>0</v>
      </c>
      <c r="M277" s="141">
        <f t="shared" si="98"/>
        <v>0</v>
      </c>
      <c r="N277" s="141">
        <f t="shared" si="98"/>
        <v>0</v>
      </c>
      <c r="O277" s="141">
        <f t="shared" si="98"/>
        <v>0</v>
      </c>
      <c r="P277" s="141">
        <f t="shared" si="98"/>
        <v>0</v>
      </c>
      <c r="Q277" s="141">
        <f t="shared" si="98"/>
        <v>0</v>
      </c>
      <c r="R277" s="141">
        <f t="shared" si="98"/>
        <v>0</v>
      </c>
      <c r="S277" s="141">
        <f t="shared" si="98"/>
        <v>0</v>
      </c>
      <c r="T277" s="141">
        <f t="shared" si="98"/>
        <v>0</v>
      </c>
      <c r="U277" s="141">
        <f t="shared" si="98"/>
        <v>0</v>
      </c>
      <c r="V277" s="141">
        <f t="shared" si="98"/>
        <v>0</v>
      </c>
      <c r="W277" s="141">
        <f t="shared" si="98"/>
        <v>0</v>
      </c>
      <c r="X277" s="141">
        <f t="shared" si="98"/>
        <v>0</v>
      </c>
      <c r="Y277" s="141">
        <f t="shared" si="98"/>
        <v>0</v>
      </c>
      <c r="AA277" s="141">
        <f t="shared" si="99"/>
        <v>0</v>
      </c>
      <c r="AB277" s="141">
        <f t="shared" si="99"/>
        <v>0</v>
      </c>
      <c r="AC277" s="141">
        <f t="shared" si="99"/>
        <v>0</v>
      </c>
      <c r="AD277" s="141">
        <f t="shared" si="99"/>
        <v>0</v>
      </c>
      <c r="AE277" s="141">
        <f t="shared" si="99"/>
        <v>0</v>
      </c>
      <c r="AF277" s="141">
        <f t="shared" si="99"/>
        <v>0</v>
      </c>
      <c r="AG277" s="141">
        <f t="shared" si="99"/>
        <v>0</v>
      </c>
      <c r="AH277" s="141">
        <f t="shared" si="99"/>
        <v>0</v>
      </c>
      <c r="AI277" s="141">
        <f t="shared" si="99"/>
        <v>0</v>
      </c>
      <c r="AJ277" s="141">
        <f t="shared" si="99"/>
        <v>0</v>
      </c>
      <c r="AK277" s="141">
        <f t="shared" si="99"/>
        <v>0</v>
      </c>
      <c r="AL277" s="141">
        <f t="shared" si="99"/>
        <v>0</v>
      </c>
      <c r="AM277" s="141">
        <f t="shared" si="99"/>
        <v>0</v>
      </c>
      <c r="AN277" s="141">
        <f t="shared" si="99"/>
        <v>0</v>
      </c>
      <c r="AO277" s="141">
        <f t="shared" si="99"/>
        <v>0</v>
      </c>
      <c r="AP277" s="141">
        <f t="shared" si="99"/>
        <v>0</v>
      </c>
      <c r="AQ277" s="141">
        <f t="shared" si="99"/>
        <v>0</v>
      </c>
      <c r="AR277" s="141">
        <f t="shared" si="99"/>
        <v>0</v>
      </c>
      <c r="AS277" s="141">
        <f t="shared" si="99"/>
        <v>0</v>
      </c>
      <c r="AT277" s="141">
        <f t="shared" si="99"/>
        <v>0</v>
      </c>
      <c r="AU277" s="141">
        <f t="shared" si="99"/>
        <v>0</v>
      </c>
      <c r="AV277" s="141">
        <f t="shared" si="99"/>
        <v>0</v>
      </c>
      <c r="AW277" s="141">
        <f t="shared" si="99"/>
        <v>0</v>
      </c>
      <c r="AX277" s="141">
        <f t="shared" si="99"/>
        <v>0</v>
      </c>
      <c r="AY277" s="141">
        <f t="shared" si="100"/>
        <v>0</v>
      </c>
      <c r="AZ277" s="22" t="s">
        <v>179</v>
      </c>
    </row>
    <row r="278" spans="1:52">
      <c r="A278" s="141" t="s">
        <v>193</v>
      </c>
      <c r="B278" s="141">
        <f t="shared" si="98"/>
        <v>0</v>
      </c>
      <c r="C278" s="141">
        <f t="shared" si="98"/>
        <v>0</v>
      </c>
      <c r="D278" s="141">
        <f t="shared" si="98"/>
        <v>0</v>
      </c>
      <c r="E278" s="141">
        <f t="shared" si="98"/>
        <v>0</v>
      </c>
      <c r="F278" s="141">
        <f t="shared" si="98"/>
        <v>0</v>
      </c>
      <c r="G278" s="141">
        <f t="shared" si="98"/>
        <v>0</v>
      </c>
      <c r="H278" s="141">
        <f t="shared" si="98"/>
        <v>0</v>
      </c>
      <c r="I278" s="141">
        <f t="shared" si="98"/>
        <v>0</v>
      </c>
      <c r="J278" s="141">
        <f t="shared" si="98"/>
        <v>0</v>
      </c>
      <c r="K278" s="141">
        <f t="shared" si="98"/>
        <v>0</v>
      </c>
      <c r="L278" s="141">
        <f t="shared" si="98"/>
        <v>0</v>
      </c>
      <c r="M278" s="141">
        <f t="shared" si="98"/>
        <v>0</v>
      </c>
      <c r="N278" s="141">
        <f t="shared" si="98"/>
        <v>0</v>
      </c>
      <c r="O278" s="141">
        <f t="shared" si="98"/>
        <v>0</v>
      </c>
      <c r="P278" s="141">
        <f t="shared" si="98"/>
        <v>0</v>
      </c>
      <c r="Q278" s="141">
        <f t="shared" si="98"/>
        <v>0</v>
      </c>
      <c r="R278" s="141">
        <f t="shared" si="98"/>
        <v>0</v>
      </c>
      <c r="S278" s="141">
        <f t="shared" si="98"/>
        <v>0</v>
      </c>
      <c r="T278" s="141">
        <f t="shared" si="98"/>
        <v>0</v>
      </c>
      <c r="U278" s="141">
        <f t="shared" si="98"/>
        <v>0</v>
      </c>
      <c r="V278" s="141">
        <f t="shared" si="98"/>
        <v>0</v>
      </c>
      <c r="W278" s="141">
        <f t="shared" si="98"/>
        <v>0</v>
      </c>
      <c r="X278" s="141">
        <f t="shared" si="98"/>
        <v>0</v>
      </c>
      <c r="Y278" s="141">
        <f t="shared" si="98"/>
        <v>0</v>
      </c>
      <c r="AA278" s="141">
        <f t="shared" si="99"/>
        <v>0</v>
      </c>
      <c r="AB278" s="141">
        <f t="shared" si="99"/>
        <v>0</v>
      </c>
      <c r="AC278" s="141">
        <f t="shared" si="99"/>
        <v>0</v>
      </c>
      <c r="AD278" s="141">
        <f t="shared" si="99"/>
        <v>0</v>
      </c>
      <c r="AE278" s="141">
        <f t="shared" si="99"/>
        <v>0</v>
      </c>
      <c r="AF278" s="141">
        <f t="shared" si="99"/>
        <v>0</v>
      </c>
      <c r="AG278" s="141">
        <f t="shared" si="99"/>
        <v>0</v>
      </c>
      <c r="AH278" s="141">
        <f t="shared" si="99"/>
        <v>0</v>
      </c>
      <c r="AI278" s="141">
        <f t="shared" si="99"/>
        <v>0</v>
      </c>
      <c r="AJ278" s="141">
        <f t="shared" si="99"/>
        <v>0</v>
      </c>
      <c r="AK278" s="141">
        <f t="shared" si="99"/>
        <v>0</v>
      </c>
      <c r="AL278" s="141">
        <f t="shared" si="99"/>
        <v>0</v>
      </c>
      <c r="AM278" s="141">
        <f t="shared" si="99"/>
        <v>0</v>
      </c>
      <c r="AN278" s="141">
        <f t="shared" si="99"/>
        <v>0</v>
      </c>
      <c r="AO278" s="141">
        <f t="shared" si="99"/>
        <v>0</v>
      </c>
      <c r="AP278" s="141">
        <f t="shared" si="99"/>
        <v>0</v>
      </c>
      <c r="AQ278" s="141">
        <f t="shared" si="99"/>
        <v>0</v>
      </c>
      <c r="AR278" s="141">
        <f t="shared" si="99"/>
        <v>0</v>
      </c>
      <c r="AS278" s="141">
        <f t="shared" si="99"/>
        <v>0</v>
      </c>
      <c r="AT278" s="141">
        <f t="shared" si="99"/>
        <v>0</v>
      </c>
      <c r="AU278" s="141">
        <f t="shared" si="99"/>
        <v>0</v>
      </c>
      <c r="AV278" s="141">
        <f t="shared" si="99"/>
        <v>0</v>
      </c>
      <c r="AW278" s="141">
        <f t="shared" si="99"/>
        <v>0</v>
      </c>
      <c r="AX278" s="141">
        <f t="shared" si="99"/>
        <v>0</v>
      </c>
      <c r="AY278" s="141">
        <f t="shared" si="100"/>
        <v>0</v>
      </c>
      <c r="AZ278" s="22" t="s">
        <v>179</v>
      </c>
    </row>
    <row r="279" spans="1:52">
      <c r="A279" s="141" t="s">
        <v>194</v>
      </c>
      <c r="B279" s="141">
        <f t="shared" si="98"/>
        <v>0</v>
      </c>
      <c r="C279" s="141">
        <f t="shared" si="98"/>
        <v>0</v>
      </c>
      <c r="D279" s="141">
        <f t="shared" si="98"/>
        <v>0</v>
      </c>
      <c r="E279" s="141">
        <f t="shared" si="98"/>
        <v>0</v>
      </c>
      <c r="F279" s="141">
        <f t="shared" si="98"/>
        <v>0</v>
      </c>
      <c r="G279" s="141">
        <f t="shared" si="98"/>
        <v>0</v>
      </c>
      <c r="H279" s="141">
        <f t="shared" si="98"/>
        <v>0</v>
      </c>
      <c r="I279" s="141">
        <f t="shared" si="98"/>
        <v>0</v>
      </c>
      <c r="J279" s="141">
        <f t="shared" si="98"/>
        <v>0</v>
      </c>
      <c r="K279" s="141">
        <f t="shared" si="98"/>
        <v>0</v>
      </c>
      <c r="L279" s="141">
        <f t="shared" si="98"/>
        <v>0</v>
      </c>
      <c r="M279" s="141">
        <f t="shared" si="98"/>
        <v>0</v>
      </c>
      <c r="N279" s="141">
        <f t="shared" si="98"/>
        <v>0</v>
      </c>
      <c r="O279" s="141">
        <f t="shared" si="98"/>
        <v>0</v>
      </c>
      <c r="P279" s="141">
        <f t="shared" si="98"/>
        <v>0</v>
      </c>
      <c r="Q279" s="141">
        <f t="shared" ref="Q279:Y279" si="101">IF(IFERROR(FIND($A$268,Q15,1),0)=0,0,1)</f>
        <v>0</v>
      </c>
      <c r="R279" s="141">
        <f t="shared" si="101"/>
        <v>0</v>
      </c>
      <c r="S279" s="141">
        <f t="shared" si="101"/>
        <v>0</v>
      </c>
      <c r="T279" s="141">
        <f t="shared" si="101"/>
        <v>0</v>
      </c>
      <c r="U279" s="141">
        <f t="shared" si="101"/>
        <v>0</v>
      </c>
      <c r="V279" s="141">
        <f t="shared" si="101"/>
        <v>0</v>
      </c>
      <c r="W279" s="141">
        <f t="shared" si="101"/>
        <v>0</v>
      </c>
      <c r="X279" s="141">
        <f t="shared" si="101"/>
        <v>0</v>
      </c>
      <c r="Y279" s="141">
        <f t="shared" si="101"/>
        <v>0</v>
      </c>
      <c r="AA279" s="141">
        <f t="shared" si="99"/>
        <v>0</v>
      </c>
      <c r="AB279" s="141">
        <f t="shared" si="99"/>
        <v>0</v>
      </c>
      <c r="AC279" s="141">
        <f t="shared" si="99"/>
        <v>0</v>
      </c>
      <c r="AD279" s="141">
        <f t="shared" si="99"/>
        <v>0</v>
      </c>
      <c r="AE279" s="141">
        <f t="shared" si="99"/>
        <v>0</v>
      </c>
      <c r="AF279" s="141">
        <f t="shared" si="99"/>
        <v>0</v>
      </c>
      <c r="AG279" s="141">
        <f t="shared" si="99"/>
        <v>0</v>
      </c>
      <c r="AH279" s="141">
        <f t="shared" si="99"/>
        <v>0</v>
      </c>
      <c r="AI279" s="141">
        <f t="shared" si="99"/>
        <v>0</v>
      </c>
      <c r="AJ279" s="141">
        <f t="shared" si="99"/>
        <v>0</v>
      </c>
      <c r="AK279" s="141">
        <f t="shared" si="99"/>
        <v>0</v>
      </c>
      <c r="AL279" s="141">
        <f t="shared" si="99"/>
        <v>0</v>
      </c>
      <c r="AM279" s="141">
        <f t="shared" si="99"/>
        <v>0</v>
      </c>
      <c r="AN279" s="141">
        <f t="shared" si="99"/>
        <v>0</v>
      </c>
      <c r="AO279" s="141">
        <f t="shared" si="99"/>
        <v>0</v>
      </c>
      <c r="AP279" s="141">
        <f t="shared" ref="AP279:AX294" si="102">IF(Q279=0,0,Q279/AP15)</f>
        <v>0</v>
      </c>
      <c r="AQ279" s="141">
        <f t="shared" si="102"/>
        <v>0</v>
      </c>
      <c r="AR279" s="141">
        <f t="shared" si="102"/>
        <v>0</v>
      </c>
      <c r="AS279" s="141">
        <f t="shared" si="102"/>
        <v>0</v>
      </c>
      <c r="AT279" s="141">
        <f t="shared" si="102"/>
        <v>0</v>
      </c>
      <c r="AU279" s="141">
        <f t="shared" si="102"/>
        <v>0</v>
      </c>
      <c r="AV279" s="141">
        <f t="shared" si="102"/>
        <v>0</v>
      </c>
      <c r="AW279" s="141">
        <f t="shared" si="102"/>
        <v>0</v>
      </c>
      <c r="AX279" s="141">
        <f t="shared" si="102"/>
        <v>0</v>
      </c>
      <c r="AY279" s="141">
        <f t="shared" si="100"/>
        <v>0</v>
      </c>
      <c r="AZ279" s="22" t="s">
        <v>179</v>
      </c>
    </row>
    <row r="280" spans="1:52">
      <c r="A280" s="141" t="s">
        <v>195</v>
      </c>
      <c r="B280" s="141">
        <f t="shared" ref="B280:Y290" si="103">IF(IFERROR(FIND($A$268,B16,1),0)=0,0,1)</f>
        <v>0</v>
      </c>
      <c r="C280" s="141">
        <f t="shared" si="103"/>
        <v>0</v>
      </c>
      <c r="D280" s="141">
        <f t="shared" si="103"/>
        <v>0</v>
      </c>
      <c r="E280" s="141">
        <f t="shared" si="103"/>
        <v>0</v>
      </c>
      <c r="F280" s="141">
        <f t="shared" si="103"/>
        <v>0</v>
      </c>
      <c r="G280" s="141">
        <f t="shared" si="103"/>
        <v>0</v>
      </c>
      <c r="H280" s="141">
        <f t="shared" si="103"/>
        <v>0</v>
      </c>
      <c r="I280" s="141">
        <f t="shared" si="103"/>
        <v>0</v>
      </c>
      <c r="J280" s="141">
        <f t="shared" si="103"/>
        <v>0</v>
      </c>
      <c r="K280" s="141">
        <f t="shared" si="103"/>
        <v>0</v>
      </c>
      <c r="L280" s="141">
        <f t="shared" si="103"/>
        <v>0</v>
      </c>
      <c r="M280" s="141">
        <f t="shared" si="103"/>
        <v>0</v>
      </c>
      <c r="N280" s="141">
        <f t="shared" si="103"/>
        <v>0</v>
      </c>
      <c r="O280" s="141">
        <f t="shared" si="103"/>
        <v>0</v>
      </c>
      <c r="P280" s="141">
        <f t="shared" si="103"/>
        <v>0</v>
      </c>
      <c r="Q280" s="141">
        <f t="shared" si="103"/>
        <v>0</v>
      </c>
      <c r="R280" s="141">
        <f t="shared" si="103"/>
        <v>0</v>
      </c>
      <c r="S280" s="141">
        <f t="shared" si="103"/>
        <v>0</v>
      </c>
      <c r="T280" s="141">
        <f t="shared" si="103"/>
        <v>0</v>
      </c>
      <c r="U280" s="141">
        <f t="shared" si="103"/>
        <v>0</v>
      </c>
      <c r="V280" s="141">
        <f t="shared" si="103"/>
        <v>0</v>
      </c>
      <c r="W280" s="141">
        <f t="shared" si="103"/>
        <v>0</v>
      </c>
      <c r="X280" s="141">
        <f t="shared" si="103"/>
        <v>0</v>
      </c>
      <c r="Y280" s="141">
        <f t="shared" si="103"/>
        <v>0</v>
      </c>
      <c r="AA280" s="141">
        <f t="shared" ref="AA280:AP295" si="104">IF(B280=0,0,B280/AA16)</f>
        <v>0</v>
      </c>
      <c r="AB280" s="141">
        <f t="shared" si="104"/>
        <v>0</v>
      </c>
      <c r="AC280" s="141">
        <f t="shared" si="104"/>
        <v>0</v>
      </c>
      <c r="AD280" s="141">
        <f t="shared" si="104"/>
        <v>0</v>
      </c>
      <c r="AE280" s="141">
        <f t="shared" si="104"/>
        <v>0</v>
      </c>
      <c r="AF280" s="141">
        <f t="shared" si="104"/>
        <v>0</v>
      </c>
      <c r="AG280" s="141">
        <f t="shared" si="104"/>
        <v>0</v>
      </c>
      <c r="AH280" s="141">
        <f t="shared" si="104"/>
        <v>0</v>
      </c>
      <c r="AI280" s="141">
        <f t="shared" si="104"/>
        <v>0</v>
      </c>
      <c r="AJ280" s="141">
        <f t="shared" si="104"/>
        <v>0</v>
      </c>
      <c r="AK280" s="141">
        <f t="shared" si="104"/>
        <v>0</v>
      </c>
      <c r="AL280" s="141">
        <f t="shared" si="104"/>
        <v>0</v>
      </c>
      <c r="AM280" s="141">
        <f t="shared" si="104"/>
        <v>0</v>
      </c>
      <c r="AN280" s="141">
        <f t="shared" si="104"/>
        <v>0</v>
      </c>
      <c r="AO280" s="141">
        <f t="shared" si="104"/>
        <v>0</v>
      </c>
      <c r="AP280" s="141">
        <f t="shared" si="102"/>
        <v>0</v>
      </c>
      <c r="AQ280" s="141">
        <f t="shared" si="102"/>
        <v>0</v>
      </c>
      <c r="AR280" s="141">
        <f t="shared" si="102"/>
        <v>0</v>
      </c>
      <c r="AS280" s="141">
        <f t="shared" si="102"/>
        <v>0</v>
      </c>
      <c r="AT280" s="141">
        <f t="shared" si="102"/>
        <v>0</v>
      </c>
      <c r="AU280" s="141">
        <f t="shared" si="102"/>
        <v>0</v>
      </c>
      <c r="AV280" s="141">
        <f t="shared" si="102"/>
        <v>0</v>
      </c>
      <c r="AW280" s="141">
        <f t="shared" si="102"/>
        <v>0</v>
      </c>
      <c r="AX280" s="141">
        <f t="shared" si="102"/>
        <v>0</v>
      </c>
      <c r="AY280" s="141">
        <f t="shared" si="100"/>
        <v>0</v>
      </c>
      <c r="AZ280" s="22" t="s">
        <v>179</v>
      </c>
    </row>
    <row r="281" spans="1:52">
      <c r="A281" s="141" t="s">
        <v>196</v>
      </c>
      <c r="B281" s="141">
        <f t="shared" si="103"/>
        <v>0</v>
      </c>
      <c r="C281" s="141">
        <f t="shared" si="103"/>
        <v>0</v>
      </c>
      <c r="D281" s="141">
        <f t="shared" si="103"/>
        <v>0</v>
      </c>
      <c r="E281" s="141">
        <f t="shared" si="103"/>
        <v>0</v>
      </c>
      <c r="F281" s="141">
        <f t="shared" si="103"/>
        <v>0</v>
      </c>
      <c r="G281" s="141">
        <f t="shared" si="103"/>
        <v>0</v>
      </c>
      <c r="H281" s="141">
        <f t="shared" si="103"/>
        <v>0</v>
      </c>
      <c r="I281" s="141">
        <f t="shared" si="103"/>
        <v>0</v>
      </c>
      <c r="J281" s="141">
        <f t="shared" si="103"/>
        <v>0</v>
      </c>
      <c r="K281" s="141">
        <f t="shared" si="103"/>
        <v>0</v>
      </c>
      <c r="L281" s="141">
        <f t="shared" si="103"/>
        <v>0</v>
      </c>
      <c r="M281" s="141">
        <f t="shared" si="103"/>
        <v>0</v>
      </c>
      <c r="N281" s="141">
        <f t="shared" si="103"/>
        <v>0</v>
      </c>
      <c r="O281" s="141">
        <f t="shared" si="103"/>
        <v>0</v>
      </c>
      <c r="P281" s="141">
        <f t="shared" si="103"/>
        <v>0</v>
      </c>
      <c r="Q281" s="141">
        <f t="shared" si="103"/>
        <v>0</v>
      </c>
      <c r="R281" s="141">
        <f t="shared" si="103"/>
        <v>0</v>
      </c>
      <c r="S281" s="141">
        <f t="shared" si="103"/>
        <v>0</v>
      </c>
      <c r="T281" s="141">
        <f t="shared" si="103"/>
        <v>0</v>
      </c>
      <c r="U281" s="141">
        <f t="shared" si="103"/>
        <v>0</v>
      </c>
      <c r="V281" s="141">
        <f t="shared" si="103"/>
        <v>0</v>
      </c>
      <c r="W281" s="141">
        <f t="shared" si="103"/>
        <v>0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0</v>
      </c>
      <c r="AC281" s="141">
        <f t="shared" si="104"/>
        <v>0</v>
      </c>
      <c r="AD281" s="141">
        <f t="shared" si="104"/>
        <v>0</v>
      </c>
      <c r="AE281" s="141">
        <f t="shared" si="104"/>
        <v>0</v>
      </c>
      <c r="AF281" s="141">
        <f t="shared" si="104"/>
        <v>0</v>
      </c>
      <c r="AG281" s="141">
        <f t="shared" si="104"/>
        <v>0</v>
      </c>
      <c r="AH281" s="141">
        <f t="shared" si="104"/>
        <v>0</v>
      </c>
      <c r="AI281" s="141">
        <f t="shared" si="104"/>
        <v>0</v>
      </c>
      <c r="AJ281" s="141">
        <f t="shared" si="104"/>
        <v>0</v>
      </c>
      <c r="AK281" s="141">
        <f t="shared" si="104"/>
        <v>0</v>
      </c>
      <c r="AL281" s="141">
        <f t="shared" si="104"/>
        <v>0</v>
      </c>
      <c r="AM281" s="141">
        <f t="shared" si="104"/>
        <v>0</v>
      </c>
      <c r="AN281" s="141">
        <f t="shared" si="104"/>
        <v>0</v>
      </c>
      <c r="AO281" s="141">
        <f t="shared" si="104"/>
        <v>0</v>
      </c>
      <c r="AP281" s="141">
        <f t="shared" si="102"/>
        <v>0</v>
      </c>
      <c r="AQ281" s="141">
        <f t="shared" si="102"/>
        <v>0</v>
      </c>
      <c r="AR281" s="141">
        <f t="shared" si="102"/>
        <v>0</v>
      </c>
      <c r="AS281" s="141">
        <f t="shared" si="102"/>
        <v>0</v>
      </c>
      <c r="AT281" s="141">
        <f t="shared" si="102"/>
        <v>0</v>
      </c>
      <c r="AU281" s="141">
        <f t="shared" si="102"/>
        <v>0</v>
      </c>
      <c r="AV281" s="141">
        <f t="shared" si="102"/>
        <v>0</v>
      </c>
      <c r="AW281" s="141">
        <f t="shared" si="102"/>
        <v>0</v>
      </c>
      <c r="AX281" s="141">
        <f t="shared" si="102"/>
        <v>0</v>
      </c>
      <c r="AY281" s="141">
        <f t="shared" si="100"/>
        <v>0</v>
      </c>
      <c r="AZ281" s="22" t="s">
        <v>179</v>
      </c>
    </row>
    <row r="282" spans="1:52">
      <c r="A282" s="141" t="s">
        <v>197</v>
      </c>
      <c r="B282" s="141">
        <f t="shared" si="103"/>
        <v>0</v>
      </c>
      <c r="C282" s="141">
        <f t="shared" si="103"/>
        <v>0</v>
      </c>
      <c r="D282" s="141">
        <f t="shared" si="103"/>
        <v>0</v>
      </c>
      <c r="E282" s="141">
        <f t="shared" si="103"/>
        <v>0</v>
      </c>
      <c r="F282" s="141">
        <f t="shared" si="103"/>
        <v>0</v>
      </c>
      <c r="G282" s="141">
        <f t="shared" si="103"/>
        <v>0</v>
      </c>
      <c r="H282" s="141">
        <f t="shared" si="103"/>
        <v>0</v>
      </c>
      <c r="I282" s="141">
        <f t="shared" si="103"/>
        <v>0</v>
      </c>
      <c r="J282" s="141">
        <f t="shared" si="103"/>
        <v>0</v>
      </c>
      <c r="K282" s="141">
        <f t="shared" si="103"/>
        <v>0</v>
      </c>
      <c r="L282" s="141">
        <f t="shared" si="103"/>
        <v>0</v>
      </c>
      <c r="M282" s="141">
        <f t="shared" si="103"/>
        <v>0</v>
      </c>
      <c r="N282" s="141">
        <f t="shared" si="103"/>
        <v>0</v>
      </c>
      <c r="O282" s="141">
        <f t="shared" si="103"/>
        <v>0</v>
      </c>
      <c r="P282" s="141">
        <f t="shared" si="103"/>
        <v>0</v>
      </c>
      <c r="Q282" s="141">
        <f t="shared" si="103"/>
        <v>0</v>
      </c>
      <c r="R282" s="141">
        <f t="shared" si="103"/>
        <v>0</v>
      </c>
      <c r="S282" s="141">
        <f t="shared" si="103"/>
        <v>0</v>
      </c>
      <c r="T282" s="141">
        <f t="shared" si="103"/>
        <v>0</v>
      </c>
      <c r="U282" s="141">
        <f t="shared" si="103"/>
        <v>0</v>
      </c>
      <c r="V282" s="141">
        <f t="shared" si="103"/>
        <v>0</v>
      </c>
      <c r="W282" s="141">
        <f t="shared" si="103"/>
        <v>0</v>
      </c>
      <c r="X282" s="141">
        <f t="shared" si="103"/>
        <v>0</v>
      </c>
      <c r="Y282" s="141">
        <f t="shared" si="103"/>
        <v>0</v>
      </c>
      <c r="AA282" s="141">
        <f t="shared" si="104"/>
        <v>0</v>
      </c>
      <c r="AB282" s="141">
        <f t="shared" si="104"/>
        <v>0</v>
      </c>
      <c r="AC282" s="141">
        <f t="shared" si="104"/>
        <v>0</v>
      </c>
      <c r="AD282" s="141">
        <f t="shared" si="104"/>
        <v>0</v>
      </c>
      <c r="AE282" s="141">
        <f t="shared" si="104"/>
        <v>0</v>
      </c>
      <c r="AF282" s="141">
        <f t="shared" si="104"/>
        <v>0</v>
      </c>
      <c r="AG282" s="141">
        <f t="shared" si="104"/>
        <v>0</v>
      </c>
      <c r="AH282" s="141">
        <f t="shared" si="104"/>
        <v>0</v>
      </c>
      <c r="AI282" s="141">
        <f t="shared" si="104"/>
        <v>0</v>
      </c>
      <c r="AJ282" s="141">
        <f t="shared" si="104"/>
        <v>0</v>
      </c>
      <c r="AK282" s="141">
        <f t="shared" si="104"/>
        <v>0</v>
      </c>
      <c r="AL282" s="141">
        <f t="shared" si="104"/>
        <v>0</v>
      </c>
      <c r="AM282" s="141">
        <f t="shared" si="104"/>
        <v>0</v>
      </c>
      <c r="AN282" s="141">
        <f t="shared" si="104"/>
        <v>0</v>
      </c>
      <c r="AO282" s="141">
        <f t="shared" si="104"/>
        <v>0</v>
      </c>
      <c r="AP282" s="141">
        <f t="shared" si="102"/>
        <v>0</v>
      </c>
      <c r="AQ282" s="141">
        <f t="shared" si="102"/>
        <v>0</v>
      </c>
      <c r="AR282" s="141">
        <f t="shared" si="102"/>
        <v>0</v>
      </c>
      <c r="AS282" s="141">
        <f t="shared" si="102"/>
        <v>0</v>
      </c>
      <c r="AT282" s="141">
        <f t="shared" si="102"/>
        <v>0</v>
      </c>
      <c r="AU282" s="141">
        <f t="shared" si="102"/>
        <v>0</v>
      </c>
      <c r="AV282" s="141">
        <f t="shared" si="102"/>
        <v>0</v>
      </c>
      <c r="AW282" s="141">
        <f t="shared" si="102"/>
        <v>0</v>
      </c>
      <c r="AX282" s="141">
        <f t="shared" si="102"/>
        <v>0</v>
      </c>
      <c r="AY282" s="141">
        <f t="shared" si="100"/>
        <v>0</v>
      </c>
      <c r="AZ282" s="22" t="s">
        <v>179</v>
      </c>
    </row>
    <row r="283" spans="1:52">
      <c r="A283" s="141" t="s">
        <v>198</v>
      </c>
      <c r="B283" s="141">
        <f t="shared" si="103"/>
        <v>0</v>
      </c>
      <c r="C283" s="141">
        <f t="shared" si="103"/>
        <v>0</v>
      </c>
      <c r="D283" s="141">
        <f t="shared" si="103"/>
        <v>0</v>
      </c>
      <c r="E283" s="141">
        <f t="shared" si="103"/>
        <v>0</v>
      </c>
      <c r="F283" s="141">
        <f t="shared" si="103"/>
        <v>0</v>
      </c>
      <c r="G283" s="141">
        <f t="shared" si="103"/>
        <v>0</v>
      </c>
      <c r="H283" s="141">
        <f t="shared" si="103"/>
        <v>0</v>
      </c>
      <c r="I283" s="141">
        <f t="shared" si="103"/>
        <v>0</v>
      </c>
      <c r="J283" s="141">
        <f t="shared" si="103"/>
        <v>0</v>
      </c>
      <c r="K283" s="141">
        <f t="shared" si="103"/>
        <v>0</v>
      </c>
      <c r="L283" s="141">
        <f t="shared" si="103"/>
        <v>0</v>
      </c>
      <c r="M283" s="141">
        <f t="shared" si="103"/>
        <v>0</v>
      </c>
      <c r="N283" s="141">
        <f t="shared" si="103"/>
        <v>0</v>
      </c>
      <c r="O283" s="141">
        <f t="shared" si="103"/>
        <v>0</v>
      </c>
      <c r="P283" s="141">
        <f t="shared" si="103"/>
        <v>0</v>
      </c>
      <c r="Q283" s="141">
        <f t="shared" si="103"/>
        <v>0</v>
      </c>
      <c r="R283" s="141">
        <f t="shared" si="103"/>
        <v>0</v>
      </c>
      <c r="S283" s="141">
        <f t="shared" si="103"/>
        <v>0</v>
      </c>
      <c r="T283" s="141">
        <f t="shared" si="103"/>
        <v>0</v>
      </c>
      <c r="U283" s="141">
        <f t="shared" si="103"/>
        <v>0</v>
      </c>
      <c r="V283" s="141">
        <f t="shared" si="103"/>
        <v>0</v>
      </c>
      <c r="W283" s="141">
        <f t="shared" si="103"/>
        <v>0</v>
      </c>
      <c r="X283" s="141">
        <f t="shared" si="103"/>
        <v>0</v>
      </c>
      <c r="Y283" s="141">
        <f t="shared" si="103"/>
        <v>0</v>
      </c>
      <c r="AA283" s="141">
        <f t="shared" si="104"/>
        <v>0</v>
      </c>
      <c r="AB283" s="141">
        <f t="shared" si="104"/>
        <v>0</v>
      </c>
      <c r="AC283" s="141">
        <f t="shared" si="104"/>
        <v>0</v>
      </c>
      <c r="AD283" s="141">
        <f t="shared" si="104"/>
        <v>0</v>
      </c>
      <c r="AE283" s="141">
        <f t="shared" si="104"/>
        <v>0</v>
      </c>
      <c r="AF283" s="141">
        <f t="shared" si="104"/>
        <v>0</v>
      </c>
      <c r="AG283" s="141">
        <f t="shared" si="104"/>
        <v>0</v>
      </c>
      <c r="AH283" s="141">
        <f t="shared" si="104"/>
        <v>0</v>
      </c>
      <c r="AI283" s="141">
        <f t="shared" si="104"/>
        <v>0</v>
      </c>
      <c r="AJ283" s="141">
        <f t="shared" si="104"/>
        <v>0</v>
      </c>
      <c r="AK283" s="141">
        <f t="shared" si="104"/>
        <v>0</v>
      </c>
      <c r="AL283" s="141">
        <f t="shared" si="104"/>
        <v>0</v>
      </c>
      <c r="AM283" s="141">
        <f t="shared" si="104"/>
        <v>0</v>
      </c>
      <c r="AN283" s="141">
        <f t="shared" si="104"/>
        <v>0</v>
      </c>
      <c r="AO283" s="141">
        <f t="shared" si="104"/>
        <v>0</v>
      </c>
      <c r="AP283" s="141">
        <f t="shared" si="102"/>
        <v>0</v>
      </c>
      <c r="AQ283" s="141">
        <f t="shared" si="102"/>
        <v>0</v>
      </c>
      <c r="AR283" s="141">
        <f t="shared" si="102"/>
        <v>0</v>
      </c>
      <c r="AS283" s="141">
        <f t="shared" si="102"/>
        <v>0</v>
      </c>
      <c r="AT283" s="141">
        <f t="shared" si="102"/>
        <v>0</v>
      </c>
      <c r="AU283" s="141">
        <f t="shared" si="102"/>
        <v>0</v>
      </c>
      <c r="AV283" s="141">
        <f t="shared" si="102"/>
        <v>0</v>
      </c>
      <c r="AW283" s="141">
        <f t="shared" si="102"/>
        <v>0</v>
      </c>
      <c r="AX283" s="141">
        <f t="shared" si="102"/>
        <v>0</v>
      </c>
      <c r="AY283" s="141">
        <f t="shared" si="100"/>
        <v>0</v>
      </c>
      <c r="AZ283" s="22" t="s">
        <v>179</v>
      </c>
    </row>
    <row r="284" spans="1:52">
      <c r="A284" s="141" t="s">
        <v>199</v>
      </c>
      <c r="B284" s="141">
        <f t="shared" si="103"/>
        <v>0</v>
      </c>
      <c r="C284" s="141">
        <f t="shared" si="103"/>
        <v>0</v>
      </c>
      <c r="D284" s="141">
        <f t="shared" si="103"/>
        <v>0</v>
      </c>
      <c r="E284" s="141">
        <f t="shared" si="103"/>
        <v>0</v>
      </c>
      <c r="F284" s="141">
        <f t="shared" si="103"/>
        <v>0</v>
      </c>
      <c r="G284" s="141">
        <f t="shared" si="103"/>
        <v>0</v>
      </c>
      <c r="H284" s="141">
        <f t="shared" si="103"/>
        <v>0</v>
      </c>
      <c r="I284" s="141">
        <f t="shared" si="103"/>
        <v>0</v>
      </c>
      <c r="J284" s="141">
        <f t="shared" si="103"/>
        <v>0</v>
      </c>
      <c r="K284" s="141">
        <f t="shared" si="103"/>
        <v>0</v>
      </c>
      <c r="L284" s="141">
        <f t="shared" si="103"/>
        <v>0</v>
      </c>
      <c r="M284" s="141">
        <f t="shared" si="103"/>
        <v>0</v>
      </c>
      <c r="N284" s="141">
        <f t="shared" si="103"/>
        <v>0</v>
      </c>
      <c r="O284" s="141">
        <f t="shared" si="103"/>
        <v>0</v>
      </c>
      <c r="P284" s="141">
        <f t="shared" si="103"/>
        <v>0</v>
      </c>
      <c r="Q284" s="141">
        <f t="shared" si="103"/>
        <v>0</v>
      </c>
      <c r="R284" s="141">
        <f t="shared" si="103"/>
        <v>0</v>
      </c>
      <c r="S284" s="141">
        <f t="shared" si="103"/>
        <v>0</v>
      </c>
      <c r="T284" s="141">
        <f t="shared" si="103"/>
        <v>0</v>
      </c>
      <c r="U284" s="141">
        <f t="shared" si="103"/>
        <v>0</v>
      </c>
      <c r="V284" s="141">
        <f t="shared" si="103"/>
        <v>0</v>
      </c>
      <c r="W284" s="141">
        <f t="shared" si="103"/>
        <v>0</v>
      </c>
      <c r="X284" s="141">
        <f t="shared" si="103"/>
        <v>0</v>
      </c>
      <c r="Y284" s="141">
        <f t="shared" si="103"/>
        <v>0</v>
      </c>
      <c r="AA284" s="141">
        <f t="shared" si="104"/>
        <v>0</v>
      </c>
      <c r="AB284" s="141">
        <f t="shared" si="104"/>
        <v>0</v>
      </c>
      <c r="AC284" s="141">
        <f t="shared" si="104"/>
        <v>0</v>
      </c>
      <c r="AD284" s="141">
        <f t="shared" si="104"/>
        <v>0</v>
      </c>
      <c r="AE284" s="141">
        <f t="shared" si="104"/>
        <v>0</v>
      </c>
      <c r="AF284" s="141">
        <f t="shared" si="104"/>
        <v>0</v>
      </c>
      <c r="AG284" s="141">
        <f t="shared" si="104"/>
        <v>0</v>
      </c>
      <c r="AH284" s="141">
        <f t="shared" si="104"/>
        <v>0</v>
      </c>
      <c r="AI284" s="141">
        <f t="shared" si="104"/>
        <v>0</v>
      </c>
      <c r="AJ284" s="141">
        <f t="shared" si="104"/>
        <v>0</v>
      </c>
      <c r="AK284" s="141">
        <f t="shared" si="104"/>
        <v>0</v>
      </c>
      <c r="AL284" s="141">
        <f t="shared" si="104"/>
        <v>0</v>
      </c>
      <c r="AM284" s="141">
        <f t="shared" si="104"/>
        <v>0</v>
      </c>
      <c r="AN284" s="141">
        <f t="shared" si="104"/>
        <v>0</v>
      </c>
      <c r="AO284" s="141">
        <f t="shared" si="104"/>
        <v>0</v>
      </c>
      <c r="AP284" s="141">
        <f t="shared" si="102"/>
        <v>0</v>
      </c>
      <c r="AQ284" s="141">
        <f t="shared" si="102"/>
        <v>0</v>
      </c>
      <c r="AR284" s="141">
        <f t="shared" si="102"/>
        <v>0</v>
      </c>
      <c r="AS284" s="141">
        <f t="shared" si="102"/>
        <v>0</v>
      </c>
      <c r="AT284" s="141">
        <f t="shared" si="102"/>
        <v>0</v>
      </c>
      <c r="AU284" s="141">
        <f t="shared" si="102"/>
        <v>0</v>
      </c>
      <c r="AV284" s="141">
        <f t="shared" si="102"/>
        <v>0</v>
      </c>
      <c r="AW284" s="141">
        <f t="shared" si="102"/>
        <v>0</v>
      </c>
      <c r="AX284" s="141">
        <f t="shared" si="102"/>
        <v>0</v>
      </c>
      <c r="AY284" s="141">
        <f t="shared" si="100"/>
        <v>0</v>
      </c>
      <c r="AZ284" s="22" t="s">
        <v>179</v>
      </c>
    </row>
    <row r="285" spans="1:52">
      <c r="A285" s="141" t="s">
        <v>200</v>
      </c>
      <c r="B285" s="141">
        <f t="shared" si="103"/>
        <v>0</v>
      </c>
      <c r="C285" s="141">
        <f t="shared" si="103"/>
        <v>0</v>
      </c>
      <c r="D285" s="141">
        <f t="shared" si="103"/>
        <v>0</v>
      </c>
      <c r="E285" s="141">
        <f t="shared" si="103"/>
        <v>0</v>
      </c>
      <c r="F285" s="141">
        <f t="shared" si="103"/>
        <v>0</v>
      </c>
      <c r="G285" s="141">
        <f t="shared" si="103"/>
        <v>0</v>
      </c>
      <c r="H285" s="141">
        <f t="shared" si="103"/>
        <v>0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0</v>
      </c>
      <c r="M285" s="141">
        <f t="shared" si="103"/>
        <v>0</v>
      </c>
      <c r="N285" s="141">
        <f t="shared" si="103"/>
        <v>0</v>
      </c>
      <c r="O285" s="141">
        <f t="shared" si="103"/>
        <v>0</v>
      </c>
      <c r="P285" s="141">
        <f t="shared" si="103"/>
        <v>0</v>
      </c>
      <c r="Q285" s="141">
        <f t="shared" si="103"/>
        <v>0</v>
      </c>
      <c r="R285" s="141">
        <f t="shared" si="103"/>
        <v>0</v>
      </c>
      <c r="S285" s="141">
        <f t="shared" si="103"/>
        <v>0</v>
      </c>
      <c r="T285" s="141">
        <f t="shared" si="103"/>
        <v>0</v>
      </c>
      <c r="U285" s="141">
        <f t="shared" si="103"/>
        <v>0</v>
      </c>
      <c r="V285" s="141">
        <f t="shared" si="103"/>
        <v>0</v>
      </c>
      <c r="W285" s="141">
        <f t="shared" si="103"/>
        <v>0</v>
      </c>
      <c r="X285" s="141">
        <f t="shared" si="103"/>
        <v>0</v>
      </c>
      <c r="Y285" s="141">
        <f t="shared" si="103"/>
        <v>0</v>
      </c>
      <c r="AA285" s="141">
        <f t="shared" si="104"/>
        <v>0</v>
      </c>
      <c r="AB285" s="141">
        <f t="shared" si="104"/>
        <v>0</v>
      </c>
      <c r="AC285" s="141">
        <f t="shared" si="104"/>
        <v>0</v>
      </c>
      <c r="AD285" s="141">
        <f t="shared" si="104"/>
        <v>0</v>
      </c>
      <c r="AE285" s="141">
        <f t="shared" si="104"/>
        <v>0</v>
      </c>
      <c r="AF285" s="141">
        <f t="shared" si="104"/>
        <v>0</v>
      </c>
      <c r="AG285" s="141">
        <f t="shared" si="104"/>
        <v>0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0</v>
      </c>
      <c r="AL285" s="141">
        <f t="shared" si="104"/>
        <v>0</v>
      </c>
      <c r="AM285" s="141">
        <f t="shared" si="104"/>
        <v>0</v>
      </c>
      <c r="AN285" s="141">
        <f t="shared" si="104"/>
        <v>0</v>
      </c>
      <c r="AO285" s="141">
        <f t="shared" si="104"/>
        <v>0</v>
      </c>
      <c r="AP285" s="141">
        <f t="shared" si="102"/>
        <v>0</v>
      </c>
      <c r="AQ285" s="141">
        <f t="shared" si="102"/>
        <v>0</v>
      </c>
      <c r="AR285" s="141">
        <f t="shared" si="102"/>
        <v>0</v>
      </c>
      <c r="AS285" s="141">
        <f t="shared" si="102"/>
        <v>0</v>
      </c>
      <c r="AT285" s="141">
        <f t="shared" si="102"/>
        <v>0</v>
      </c>
      <c r="AU285" s="141">
        <f t="shared" si="102"/>
        <v>0</v>
      </c>
      <c r="AV285" s="141">
        <f t="shared" si="102"/>
        <v>0</v>
      </c>
      <c r="AW285" s="141">
        <f t="shared" si="102"/>
        <v>0</v>
      </c>
      <c r="AX285" s="141">
        <f t="shared" si="102"/>
        <v>0</v>
      </c>
      <c r="AY285" s="141">
        <f t="shared" si="100"/>
        <v>0</v>
      </c>
      <c r="AZ285" s="22" t="s">
        <v>179</v>
      </c>
    </row>
    <row r="286" spans="1:52">
      <c r="A286" s="141" t="s">
        <v>201</v>
      </c>
      <c r="B286" s="141">
        <f t="shared" si="103"/>
        <v>0</v>
      </c>
      <c r="C286" s="141">
        <f t="shared" si="103"/>
        <v>0</v>
      </c>
      <c r="D286" s="141">
        <f t="shared" si="103"/>
        <v>0</v>
      </c>
      <c r="E286" s="141">
        <f t="shared" si="103"/>
        <v>0</v>
      </c>
      <c r="F286" s="141">
        <f t="shared" si="103"/>
        <v>0</v>
      </c>
      <c r="G286" s="141">
        <f t="shared" si="103"/>
        <v>0</v>
      </c>
      <c r="H286" s="141">
        <f t="shared" si="103"/>
        <v>0</v>
      </c>
      <c r="I286" s="141">
        <f t="shared" si="103"/>
        <v>0</v>
      </c>
      <c r="J286" s="141">
        <f t="shared" si="103"/>
        <v>0</v>
      </c>
      <c r="K286" s="141">
        <f t="shared" si="103"/>
        <v>0</v>
      </c>
      <c r="L286" s="141">
        <f t="shared" si="103"/>
        <v>0</v>
      </c>
      <c r="M286" s="141">
        <f t="shared" si="103"/>
        <v>0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0</v>
      </c>
      <c r="R286" s="141">
        <f t="shared" si="103"/>
        <v>0</v>
      </c>
      <c r="S286" s="141">
        <f t="shared" si="103"/>
        <v>0</v>
      </c>
      <c r="T286" s="141">
        <f t="shared" si="103"/>
        <v>0</v>
      </c>
      <c r="U286" s="141">
        <f t="shared" si="103"/>
        <v>0</v>
      </c>
      <c r="V286" s="141">
        <f t="shared" si="103"/>
        <v>0</v>
      </c>
      <c r="W286" s="141">
        <f t="shared" si="103"/>
        <v>0</v>
      </c>
      <c r="X286" s="141">
        <f t="shared" si="103"/>
        <v>0</v>
      </c>
      <c r="Y286" s="141">
        <f t="shared" si="103"/>
        <v>0</v>
      </c>
      <c r="AA286" s="141">
        <f t="shared" si="104"/>
        <v>0</v>
      </c>
      <c r="AB286" s="141">
        <f t="shared" si="104"/>
        <v>0</v>
      </c>
      <c r="AC286" s="141">
        <f t="shared" si="104"/>
        <v>0</v>
      </c>
      <c r="AD286" s="141">
        <f t="shared" si="104"/>
        <v>0</v>
      </c>
      <c r="AE286" s="141">
        <f t="shared" si="104"/>
        <v>0</v>
      </c>
      <c r="AF286" s="141">
        <f t="shared" si="104"/>
        <v>0</v>
      </c>
      <c r="AG286" s="141">
        <f t="shared" si="104"/>
        <v>0</v>
      </c>
      <c r="AH286" s="141">
        <f t="shared" si="104"/>
        <v>0</v>
      </c>
      <c r="AI286" s="141">
        <f t="shared" si="104"/>
        <v>0</v>
      </c>
      <c r="AJ286" s="141">
        <f t="shared" si="104"/>
        <v>0</v>
      </c>
      <c r="AK286" s="141">
        <f t="shared" si="104"/>
        <v>0</v>
      </c>
      <c r="AL286" s="141">
        <f t="shared" si="104"/>
        <v>0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0</v>
      </c>
      <c r="AQ286" s="141">
        <f t="shared" si="102"/>
        <v>0</v>
      </c>
      <c r="AR286" s="141">
        <f t="shared" si="102"/>
        <v>0</v>
      </c>
      <c r="AS286" s="141">
        <f t="shared" si="102"/>
        <v>0</v>
      </c>
      <c r="AT286" s="141">
        <f t="shared" si="102"/>
        <v>0</v>
      </c>
      <c r="AU286" s="141">
        <f t="shared" si="102"/>
        <v>0</v>
      </c>
      <c r="AV286" s="141">
        <f t="shared" si="102"/>
        <v>0</v>
      </c>
      <c r="AW286" s="141">
        <f t="shared" si="102"/>
        <v>0</v>
      </c>
      <c r="AX286" s="141">
        <f t="shared" si="102"/>
        <v>0</v>
      </c>
      <c r="AY286" s="141">
        <f t="shared" si="100"/>
        <v>0</v>
      </c>
      <c r="AZ286" s="22" t="s">
        <v>179</v>
      </c>
    </row>
    <row r="287" spans="1:52">
      <c r="A287" s="141" t="s">
        <v>202</v>
      </c>
      <c r="B287" s="141">
        <f t="shared" si="103"/>
        <v>0</v>
      </c>
      <c r="C287" s="141">
        <f t="shared" si="103"/>
        <v>0</v>
      </c>
      <c r="D287" s="141">
        <f t="shared" si="103"/>
        <v>0</v>
      </c>
      <c r="E287" s="141">
        <f t="shared" si="103"/>
        <v>0</v>
      </c>
      <c r="F287" s="141">
        <f t="shared" si="103"/>
        <v>0</v>
      </c>
      <c r="G287" s="141">
        <f t="shared" si="103"/>
        <v>0</v>
      </c>
      <c r="H287" s="141">
        <f t="shared" si="103"/>
        <v>0</v>
      </c>
      <c r="I287" s="141">
        <f t="shared" si="103"/>
        <v>0</v>
      </c>
      <c r="J287" s="141">
        <f t="shared" si="103"/>
        <v>0</v>
      </c>
      <c r="K287" s="141">
        <f t="shared" si="103"/>
        <v>0</v>
      </c>
      <c r="L287" s="141">
        <f t="shared" si="103"/>
        <v>0</v>
      </c>
      <c r="M287" s="141">
        <f t="shared" si="103"/>
        <v>0</v>
      </c>
      <c r="N287" s="141">
        <f t="shared" si="103"/>
        <v>0</v>
      </c>
      <c r="O287" s="141">
        <f t="shared" si="103"/>
        <v>0</v>
      </c>
      <c r="P287" s="141">
        <f t="shared" si="103"/>
        <v>0</v>
      </c>
      <c r="Q287" s="141">
        <f t="shared" si="103"/>
        <v>0</v>
      </c>
      <c r="R287" s="141">
        <f t="shared" si="103"/>
        <v>0</v>
      </c>
      <c r="S287" s="141">
        <f t="shared" si="103"/>
        <v>0</v>
      </c>
      <c r="T287" s="141">
        <f t="shared" si="103"/>
        <v>0</v>
      </c>
      <c r="U287" s="141">
        <f t="shared" si="103"/>
        <v>0</v>
      </c>
      <c r="V287" s="141">
        <f t="shared" si="103"/>
        <v>0</v>
      </c>
      <c r="W287" s="141">
        <f t="shared" si="103"/>
        <v>0</v>
      </c>
      <c r="X287" s="141">
        <f t="shared" si="103"/>
        <v>0</v>
      </c>
      <c r="Y287" s="141">
        <f t="shared" si="103"/>
        <v>0</v>
      </c>
      <c r="AA287" s="141">
        <f t="shared" si="104"/>
        <v>0</v>
      </c>
      <c r="AB287" s="141">
        <f t="shared" si="104"/>
        <v>0</v>
      </c>
      <c r="AC287" s="141">
        <f t="shared" si="104"/>
        <v>0</v>
      </c>
      <c r="AD287" s="141">
        <f t="shared" si="104"/>
        <v>0</v>
      </c>
      <c r="AE287" s="141">
        <f t="shared" si="104"/>
        <v>0</v>
      </c>
      <c r="AF287" s="141">
        <f t="shared" si="104"/>
        <v>0</v>
      </c>
      <c r="AG287" s="141">
        <f t="shared" si="104"/>
        <v>0</v>
      </c>
      <c r="AH287" s="141">
        <f t="shared" si="104"/>
        <v>0</v>
      </c>
      <c r="AI287" s="141">
        <f t="shared" si="104"/>
        <v>0</v>
      </c>
      <c r="AJ287" s="141">
        <f t="shared" si="104"/>
        <v>0</v>
      </c>
      <c r="AK287" s="141">
        <f t="shared" si="104"/>
        <v>0</v>
      </c>
      <c r="AL287" s="141">
        <f t="shared" si="104"/>
        <v>0</v>
      </c>
      <c r="AM287" s="141">
        <f t="shared" si="104"/>
        <v>0</v>
      </c>
      <c r="AN287" s="141">
        <f t="shared" si="104"/>
        <v>0</v>
      </c>
      <c r="AO287" s="141">
        <f t="shared" si="104"/>
        <v>0</v>
      </c>
      <c r="AP287" s="141">
        <f t="shared" si="102"/>
        <v>0</v>
      </c>
      <c r="AQ287" s="141">
        <f t="shared" si="102"/>
        <v>0</v>
      </c>
      <c r="AR287" s="141">
        <f t="shared" si="102"/>
        <v>0</v>
      </c>
      <c r="AS287" s="141">
        <f t="shared" si="102"/>
        <v>0</v>
      </c>
      <c r="AT287" s="141">
        <f t="shared" si="102"/>
        <v>0</v>
      </c>
      <c r="AU287" s="141">
        <f t="shared" si="102"/>
        <v>0</v>
      </c>
      <c r="AV287" s="141">
        <f t="shared" si="102"/>
        <v>0</v>
      </c>
      <c r="AW287" s="141">
        <f t="shared" si="102"/>
        <v>0</v>
      </c>
      <c r="AX287" s="141">
        <f t="shared" si="102"/>
        <v>0</v>
      </c>
      <c r="AY287" s="141">
        <f t="shared" si="100"/>
        <v>0</v>
      </c>
      <c r="AZ287" s="22" t="s">
        <v>179</v>
      </c>
    </row>
    <row r="288" spans="1:52">
      <c r="A288" s="141" t="s">
        <v>203</v>
      </c>
      <c r="B288" s="141">
        <f t="shared" si="103"/>
        <v>0</v>
      </c>
      <c r="C288" s="141">
        <f t="shared" si="103"/>
        <v>0</v>
      </c>
      <c r="D288" s="141">
        <f t="shared" si="103"/>
        <v>0</v>
      </c>
      <c r="E288" s="141">
        <f t="shared" si="103"/>
        <v>0</v>
      </c>
      <c r="F288" s="141">
        <f t="shared" si="103"/>
        <v>0</v>
      </c>
      <c r="G288" s="141">
        <f t="shared" si="103"/>
        <v>0</v>
      </c>
      <c r="H288" s="141">
        <f t="shared" si="103"/>
        <v>0</v>
      </c>
      <c r="I288" s="141">
        <f t="shared" si="103"/>
        <v>0</v>
      </c>
      <c r="J288" s="141">
        <f t="shared" si="103"/>
        <v>0</v>
      </c>
      <c r="K288" s="141">
        <f t="shared" si="103"/>
        <v>0</v>
      </c>
      <c r="L288" s="141">
        <f t="shared" si="103"/>
        <v>0</v>
      </c>
      <c r="M288" s="141">
        <f t="shared" si="103"/>
        <v>0</v>
      </c>
      <c r="N288" s="141">
        <f t="shared" si="103"/>
        <v>0</v>
      </c>
      <c r="O288" s="141">
        <f t="shared" si="103"/>
        <v>0</v>
      </c>
      <c r="P288" s="141">
        <f t="shared" si="103"/>
        <v>0</v>
      </c>
      <c r="Q288" s="141">
        <f t="shared" si="103"/>
        <v>0</v>
      </c>
      <c r="R288" s="141">
        <f t="shared" si="103"/>
        <v>0</v>
      </c>
      <c r="S288" s="141">
        <f t="shared" si="103"/>
        <v>0</v>
      </c>
      <c r="T288" s="141">
        <f t="shared" si="103"/>
        <v>0</v>
      </c>
      <c r="U288" s="141">
        <f t="shared" si="103"/>
        <v>0</v>
      </c>
      <c r="V288" s="141">
        <f t="shared" si="103"/>
        <v>0</v>
      </c>
      <c r="W288" s="141">
        <f t="shared" si="103"/>
        <v>0</v>
      </c>
      <c r="X288" s="141">
        <f t="shared" si="103"/>
        <v>0</v>
      </c>
      <c r="Y288" s="141">
        <f t="shared" si="103"/>
        <v>0</v>
      </c>
      <c r="AA288" s="141">
        <f t="shared" si="104"/>
        <v>0</v>
      </c>
      <c r="AB288" s="141">
        <f t="shared" si="104"/>
        <v>0</v>
      </c>
      <c r="AC288" s="141">
        <f t="shared" si="104"/>
        <v>0</v>
      </c>
      <c r="AD288" s="141">
        <f t="shared" si="104"/>
        <v>0</v>
      </c>
      <c r="AE288" s="141">
        <f t="shared" si="104"/>
        <v>0</v>
      </c>
      <c r="AF288" s="141">
        <f t="shared" si="104"/>
        <v>0</v>
      </c>
      <c r="AG288" s="141">
        <f t="shared" si="104"/>
        <v>0</v>
      </c>
      <c r="AH288" s="141">
        <f t="shared" si="104"/>
        <v>0</v>
      </c>
      <c r="AI288" s="141">
        <f t="shared" si="104"/>
        <v>0</v>
      </c>
      <c r="AJ288" s="141">
        <f t="shared" si="104"/>
        <v>0</v>
      </c>
      <c r="AK288" s="141">
        <f t="shared" si="104"/>
        <v>0</v>
      </c>
      <c r="AL288" s="141">
        <f t="shared" si="104"/>
        <v>0</v>
      </c>
      <c r="AM288" s="141">
        <f t="shared" si="104"/>
        <v>0</v>
      </c>
      <c r="AN288" s="141">
        <f t="shared" si="104"/>
        <v>0</v>
      </c>
      <c r="AO288" s="141">
        <f t="shared" si="104"/>
        <v>0</v>
      </c>
      <c r="AP288" s="141">
        <f t="shared" si="102"/>
        <v>0</v>
      </c>
      <c r="AQ288" s="141">
        <f t="shared" si="102"/>
        <v>0</v>
      </c>
      <c r="AR288" s="141">
        <f t="shared" si="102"/>
        <v>0</v>
      </c>
      <c r="AS288" s="141">
        <f t="shared" si="102"/>
        <v>0</v>
      </c>
      <c r="AT288" s="141">
        <f t="shared" si="102"/>
        <v>0</v>
      </c>
      <c r="AU288" s="141">
        <f t="shared" si="102"/>
        <v>0</v>
      </c>
      <c r="AV288" s="141">
        <f t="shared" si="102"/>
        <v>0</v>
      </c>
      <c r="AW288" s="141">
        <f t="shared" si="102"/>
        <v>0</v>
      </c>
      <c r="AX288" s="141">
        <f t="shared" si="102"/>
        <v>0</v>
      </c>
      <c r="AY288" s="141">
        <f t="shared" si="100"/>
        <v>0</v>
      </c>
      <c r="AZ288" s="22" t="s">
        <v>179</v>
      </c>
    </row>
    <row r="289" spans="1:52">
      <c r="A289" s="141" t="s">
        <v>204</v>
      </c>
      <c r="B289" s="141">
        <f t="shared" si="103"/>
        <v>0</v>
      </c>
      <c r="C289" s="141">
        <f t="shared" si="103"/>
        <v>0</v>
      </c>
      <c r="D289" s="141">
        <f t="shared" si="103"/>
        <v>0</v>
      </c>
      <c r="E289" s="141">
        <f t="shared" si="103"/>
        <v>0</v>
      </c>
      <c r="F289" s="141">
        <f t="shared" si="103"/>
        <v>0</v>
      </c>
      <c r="G289" s="141">
        <f t="shared" si="103"/>
        <v>0</v>
      </c>
      <c r="H289" s="141">
        <f t="shared" si="103"/>
        <v>0</v>
      </c>
      <c r="I289" s="141">
        <f t="shared" si="103"/>
        <v>0</v>
      </c>
      <c r="J289" s="141">
        <f t="shared" si="103"/>
        <v>0</v>
      </c>
      <c r="K289" s="141">
        <f t="shared" si="103"/>
        <v>0</v>
      </c>
      <c r="L289" s="141">
        <f t="shared" si="103"/>
        <v>0</v>
      </c>
      <c r="M289" s="141">
        <f t="shared" si="103"/>
        <v>0</v>
      </c>
      <c r="N289" s="141">
        <f t="shared" si="103"/>
        <v>0</v>
      </c>
      <c r="O289" s="141">
        <f t="shared" si="103"/>
        <v>0</v>
      </c>
      <c r="P289" s="141">
        <f t="shared" si="103"/>
        <v>0</v>
      </c>
      <c r="Q289" s="141">
        <f t="shared" si="103"/>
        <v>0</v>
      </c>
      <c r="R289" s="141">
        <f t="shared" si="103"/>
        <v>0</v>
      </c>
      <c r="S289" s="141">
        <f t="shared" si="103"/>
        <v>0</v>
      </c>
      <c r="T289" s="141">
        <f t="shared" si="103"/>
        <v>0</v>
      </c>
      <c r="U289" s="141">
        <f t="shared" si="103"/>
        <v>0</v>
      </c>
      <c r="V289" s="141">
        <f t="shared" si="103"/>
        <v>0</v>
      </c>
      <c r="W289" s="141">
        <f t="shared" si="103"/>
        <v>0</v>
      </c>
      <c r="X289" s="141">
        <f t="shared" si="103"/>
        <v>0</v>
      </c>
      <c r="Y289" s="141">
        <f t="shared" si="103"/>
        <v>0</v>
      </c>
      <c r="AA289" s="141">
        <f t="shared" si="104"/>
        <v>0</v>
      </c>
      <c r="AB289" s="141">
        <f t="shared" si="104"/>
        <v>0</v>
      </c>
      <c r="AC289" s="141">
        <f t="shared" si="104"/>
        <v>0</v>
      </c>
      <c r="AD289" s="141">
        <f t="shared" si="104"/>
        <v>0</v>
      </c>
      <c r="AE289" s="141">
        <f t="shared" si="104"/>
        <v>0</v>
      </c>
      <c r="AF289" s="141">
        <f t="shared" si="104"/>
        <v>0</v>
      </c>
      <c r="AG289" s="141">
        <f t="shared" si="104"/>
        <v>0</v>
      </c>
      <c r="AH289" s="141">
        <f t="shared" si="104"/>
        <v>0</v>
      </c>
      <c r="AI289" s="141">
        <f t="shared" si="104"/>
        <v>0</v>
      </c>
      <c r="AJ289" s="141">
        <f t="shared" si="104"/>
        <v>0</v>
      </c>
      <c r="AK289" s="141">
        <f t="shared" si="104"/>
        <v>0</v>
      </c>
      <c r="AL289" s="141">
        <f t="shared" si="104"/>
        <v>0</v>
      </c>
      <c r="AM289" s="141">
        <f t="shared" si="104"/>
        <v>0</v>
      </c>
      <c r="AN289" s="141">
        <f t="shared" si="104"/>
        <v>0</v>
      </c>
      <c r="AO289" s="141">
        <f t="shared" si="104"/>
        <v>0</v>
      </c>
      <c r="AP289" s="141">
        <f t="shared" si="102"/>
        <v>0</v>
      </c>
      <c r="AQ289" s="141">
        <f t="shared" si="102"/>
        <v>0</v>
      </c>
      <c r="AR289" s="141">
        <f t="shared" si="102"/>
        <v>0</v>
      </c>
      <c r="AS289" s="141">
        <f t="shared" si="102"/>
        <v>0</v>
      </c>
      <c r="AT289" s="141">
        <f t="shared" si="102"/>
        <v>0</v>
      </c>
      <c r="AU289" s="141">
        <f t="shared" si="102"/>
        <v>0</v>
      </c>
      <c r="AV289" s="141">
        <f t="shared" si="102"/>
        <v>0</v>
      </c>
      <c r="AW289" s="141">
        <f t="shared" si="102"/>
        <v>0</v>
      </c>
      <c r="AX289" s="141">
        <f t="shared" si="102"/>
        <v>0</v>
      </c>
      <c r="AY289" s="141">
        <f t="shared" si="100"/>
        <v>0</v>
      </c>
      <c r="AZ289" s="22" t="s">
        <v>179</v>
      </c>
    </row>
    <row r="290" spans="1:52">
      <c r="A290" s="141" t="s">
        <v>205</v>
      </c>
      <c r="B290" s="141">
        <f t="shared" si="103"/>
        <v>0</v>
      </c>
      <c r="C290" s="141">
        <f t="shared" si="103"/>
        <v>0</v>
      </c>
      <c r="D290" s="141">
        <f t="shared" si="103"/>
        <v>0</v>
      </c>
      <c r="E290" s="141">
        <f t="shared" si="103"/>
        <v>0</v>
      </c>
      <c r="F290" s="141">
        <f t="shared" si="103"/>
        <v>0</v>
      </c>
      <c r="G290" s="141">
        <f t="shared" si="103"/>
        <v>0</v>
      </c>
      <c r="H290" s="141">
        <f t="shared" si="103"/>
        <v>0</v>
      </c>
      <c r="I290" s="141">
        <f t="shared" si="103"/>
        <v>0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0</v>
      </c>
      <c r="N290" s="141">
        <f t="shared" si="103"/>
        <v>0</v>
      </c>
      <c r="O290" s="141">
        <f t="shared" si="103"/>
        <v>0</v>
      </c>
      <c r="P290" s="141">
        <f t="shared" si="103"/>
        <v>0</v>
      </c>
      <c r="Q290" s="141">
        <f t="shared" ref="Q290:Y290" si="105">IF(IFERROR(FIND($A$268,Q26,1),0)=0,0,1)</f>
        <v>0</v>
      </c>
      <c r="R290" s="141">
        <f t="shared" si="105"/>
        <v>0</v>
      </c>
      <c r="S290" s="141">
        <f t="shared" si="105"/>
        <v>0</v>
      </c>
      <c r="T290" s="141">
        <f t="shared" si="105"/>
        <v>0</v>
      </c>
      <c r="U290" s="141">
        <f t="shared" si="105"/>
        <v>0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0</v>
      </c>
      <c r="AD290" s="141">
        <f t="shared" si="104"/>
        <v>0</v>
      </c>
      <c r="AE290" s="141">
        <f t="shared" si="104"/>
        <v>0</v>
      </c>
      <c r="AF290" s="141">
        <f t="shared" si="104"/>
        <v>0</v>
      </c>
      <c r="AG290" s="141">
        <f t="shared" si="104"/>
        <v>0</v>
      </c>
      <c r="AH290" s="141">
        <f t="shared" si="104"/>
        <v>0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0</v>
      </c>
      <c r="AM290" s="141">
        <f t="shared" si="104"/>
        <v>0</v>
      </c>
      <c r="AN290" s="141">
        <f t="shared" si="104"/>
        <v>0</v>
      </c>
      <c r="AO290" s="141">
        <f t="shared" si="104"/>
        <v>0</v>
      </c>
      <c r="AP290" s="141">
        <f t="shared" si="102"/>
        <v>0</v>
      </c>
      <c r="AQ290" s="141">
        <f t="shared" si="102"/>
        <v>0</v>
      </c>
      <c r="AR290" s="141">
        <f t="shared" si="102"/>
        <v>0</v>
      </c>
      <c r="AS290" s="141">
        <f t="shared" si="102"/>
        <v>0</v>
      </c>
      <c r="AT290" s="141">
        <f t="shared" si="102"/>
        <v>0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0</v>
      </c>
      <c r="AZ290" s="22" t="s">
        <v>179</v>
      </c>
    </row>
    <row r="291" spans="1:52">
      <c r="A291" s="141" t="s">
        <v>206</v>
      </c>
      <c r="B291" s="141">
        <f t="shared" ref="B291:Y299" si="106">IF(IFERROR(FIND($A$268,B27,1),0)=0,0,1)</f>
        <v>0</v>
      </c>
      <c r="C291" s="141">
        <f t="shared" si="106"/>
        <v>0</v>
      </c>
      <c r="D291" s="141">
        <f t="shared" si="106"/>
        <v>0</v>
      </c>
      <c r="E291" s="141">
        <f t="shared" si="106"/>
        <v>0</v>
      </c>
      <c r="F291" s="141">
        <f t="shared" si="106"/>
        <v>0</v>
      </c>
      <c r="G291" s="141">
        <f t="shared" si="106"/>
        <v>0</v>
      </c>
      <c r="H291" s="141">
        <f t="shared" si="106"/>
        <v>0</v>
      </c>
      <c r="I291" s="141">
        <f t="shared" si="106"/>
        <v>0</v>
      </c>
      <c r="J291" s="141">
        <f t="shared" si="106"/>
        <v>0</v>
      </c>
      <c r="K291" s="141">
        <f t="shared" si="106"/>
        <v>0</v>
      </c>
      <c r="L291" s="141">
        <f t="shared" si="106"/>
        <v>0</v>
      </c>
      <c r="M291" s="141">
        <f t="shared" si="106"/>
        <v>0</v>
      </c>
      <c r="N291" s="141">
        <f t="shared" si="106"/>
        <v>0</v>
      </c>
      <c r="O291" s="141">
        <f t="shared" si="106"/>
        <v>0</v>
      </c>
      <c r="P291" s="141">
        <f t="shared" si="106"/>
        <v>0</v>
      </c>
      <c r="Q291" s="141">
        <f t="shared" si="106"/>
        <v>0</v>
      </c>
      <c r="R291" s="141">
        <f t="shared" si="106"/>
        <v>0</v>
      </c>
      <c r="S291" s="141">
        <f t="shared" si="106"/>
        <v>0</v>
      </c>
      <c r="T291" s="141">
        <f t="shared" si="106"/>
        <v>0</v>
      </c>
      <c r="U291" s="141">
        <f t="shared" si="106"/>
        <v>0</v>
      </c>
      <c r="V291" s="141">
        <f t="shared" si="106"/>
        <v>0</v>
      </c>
      <c r="W291" s="141">
        <f t="shared" si="106"/>
        <v>0</v>
      </c>
      <c r="X291" s="141">
        <f t="shared" si="106"/>
        <v>0</v>
      </c>
      <c r="Y291" s="141">
        <f t="shared" si="106"/>
        <v>0</v>
      </c>
      <c r="AA291" s="141">
        <f t="shared" si="104"/>
        <v>0</v>
      </c>
      <c r="AB291" s="141">
        <f t="shared" si="104"/>
        <v>0</v>
      </c>
      <c r="AC291" s="141">
        <f t="shared" si="104"/>
        <v>0</v>
      </c>
      <c r="AD291" s="141">
        <f t="shared" si="104"/>
        <v>0</v>
      </c>
      <c r="AE291" s="141">
        <f t="shared" si="104"/>
        <v>0</v>
      </c>
      <c r="AF291" s="141">
        <f t="shared" si="104"/>
        <v>0</v>
      </c>
      <c r="AG291" s="141">
        <f t="shared" si="104"/>
        <v>0</v>
      </c>
      <c r="AH291" s="141">
        <f t="shared" si="104"/>
        <v>0</v>
      </c>
      <c r="AI291" s="141">
        <f t="shared" si="104"/>
        <v>0</v>
      </c>
      <c r="AJ291" s="141">
        <f t="shared" si="104"/>
        <v>0</v>
      </c>
      <c r="AK291" s="141">
        <f t="shared" si="104"/>
        <v>0</v>
      </c>
      <c r="AL291" s="141">
        <f t="shared" si="104"/>
        <v>0</v>
      </c>
      <c r="AM291" s="141">
        <f t="shared" si="104"/>
        <v>0</v>
      </c>
      <c r="AN291" s="141">
        <f t="shared" si="104"/>
        <v>0</v>
      </c>
      <c r="AO291" s="141">
        <f t="shared" si="104"/>
        <v>0</v>
      </c>
      <c r="AP291" s="141">
        <f t="shared" si="102"/>
        <v>0</v>
      </c>
      <c r="AQ291" s="141">
        <f t="shared" si="102"/>
        <v>0</v>
      </c>
      <c r="AR291" s="141">
        <f t="shared" si="102"/>
        <v>0</v>
      </c>
      <c r="AS291" s="141">
        <f t="shared" si="102"/>
        <v>0</v>
      </c>
      <c r="AT291" s="141">
        <f t="shared" si="102"/>
        <v>0</v>
      </c>
      <c r="AU291" s="141">
        <f t="shared" si="102"/>
        <v>0</v>
      </c>
      <c r="AV291" s="141">
        <f t="shared" si="102"/>
        <v>0</v>
      </c>
      <c r="AW291" s="141">
        <f t="shared" si="102"/>
        <v>0</v>
      </c>
      <c r="AX291" s="141">
        <f t="shared" si="102"/>
        <v>0</v>
      </c>
      <c r="AY291" s="141">
        <f t="shared" si="100"/>
        <v>0</v>
      </c>
      <c r="AZ291" s="22" t="s">
        <v>179</v>
      </c>
    </row>
    <row r="292" spans="1:52">
      <c r="A292" s="141" t="s">
        <v>207</v>
      </c>
      <c r="B292" s="141">
        <f t="shared" si="106"/>
        <v>0</v>
      </c>
      <c r="C292" s="141">
        <f t="shared" si="106"/>
        <v>0</v>
      </c>
      <c r="D292" s="141">
        <f t="shared" si="106"/>
        <v>0</v>
      </c>
      <c r="E292" s="141">
        <f t="shared" si="106"/>
        <v>0</v>
      </c>
      <c r="F292" s="141">
        <f t="shared" si="106"/>
        <v>0</v>
      </c>
      <c r="G292" s="141">
        <f t="shared" si="106"/>
        <v>0</v>
      </c>
      <c r="H292" s="141">
        <f t="shared" si="106"/>
        <v>0</v>
      </c>
      <c r="I292" s="141">
        <f t="shared" si="106"/>
        <v>0</v>
      </c>
      <c r="J292" s="141">
        <f t="shared" si="106"/>
        <v>0</v>
      </c>
      <c r="K292" s="141">
        <f t="shared" si="106"/>
        <v>0</v>
      </c>
      <c r="L292" s="141">
        <f t="shared" si="106"/>
        <v>0</v>
      </c>
      <c r="M292" s="141">
        <f t="shared" si="106"/>
        <v>0</v>
      </c>
      <c r="N292" s="141">
        <f t="shared" si="106"/>
        <v>0</v>
      </c>
      <c r="O292" s="141">
        <f t="shared" si="106"/>
        <v>0</v>
      </c>
      <c r="P292" s="141">
        <f t="shared" si="106"/>
        <v>0</v>
      </c>
      <c r="Q292" s="141">
        <f t="shared" si="106"/>
        <v>0</v>
      </c>
      <c r="R292" s="141">
        <f t="shared" si="106"/>
        <v>0</v>
      </c>
      <c r="S292" s="141">
        <f t="shared" si="106"/>
        <v>0</v>
      </c>
      <c r="T292" s="141">
        <f t="shared" si="106"/>
        <v>0</v>
      </c>
      <c r="U292" s="141">
        <f t="shared" si="106"/>
        <v>0</v>
      </c>
      <c r="V292" s="141">
        <f t="shared" si="106"/>
        <v>0</v>
      </c>
      <c r="W292" s="141">
        <f t="shared" si="106"/>
        <v>0</v>
      </c>
      <c r="X292" s="141">
        <f t="shared" si="106"/>
        <v>0</v>
      </c>
      <c r="Y292" s="141">
        <f t="shared" si="106"/>
        <v>0</v>
      </c>
      <c r="AA292" s="141">
        <f t="shared" si="104"/>
        <v>0</v>
      </c>
      <c r="AB292" s="141">
        <f t="shared" si="104"/>
        <v>0</v>
      </c>
      <c r="AC292" s="141">
        <f t="shared" si="104"/>
        <v>0</v>
      </c>
      <c r="AD292" s="141">
        <f t="shared" si="104"/>
        <v>0</v>
      </c>
      <c r="AE292" s="141">
        <f t="shared" si="104"/>
        <v>0</v>
      </c>
      <c r="AF292" s="141">
        <f t="shared" si="104"/>
        <v>0</v>
      </c>
      <c r="AG292" s="141">
        <f t="shared" si="104"/>
        <v>0</v>
      </c>
      <c r="AH292" s="141">
        <f t="shared" si="104"/>
        <v>0</v>
      </c>
      <c r="AI292" s="141">
        <f t="shared" si="104"/>
        <v>0</v>
      </c>
      <c r="AJ292" s="141">
        <f t="shared" si="104"/>
        <v>0</v>
      </c>
      <c r="AK292" s="141">
        <f t="shared" si="104"/>
        <v>0</v>
      </c>
      <c r="AL292" s="141">
        <f t="shared" si="104"/>
        <v>0</v>
      </c>
      <c r="AM292" s="141">
        <f t="shared" si="104"/>
        <v>0</v>
      </c>
      <c r="AN292" s="141">
        <f t="shared" si="104"/>
        <v>0</v>
      </c>
      <c r="AO292" s="141">
        <f t="shared" si="104"/>
        <v>0</v>
      </c>
      <c r="AP292" s="141">
        <f t="shared" si="102"/>
        <v>0</v>
      </c>
      <c r="AQ292" s="141">
        <f t="shared" si="102"/>
        <v>0</v>
      </c>
      <c r="AR292" s="141">
        <f t="shared" si="102"/>
        <v>0</v>
      </c>
      <c r="AS292" s="141">
        <f t="shared" si="102"/>
        <v>0</v>
      </c>
      <c r="AT292" s="141">
        <f t="shared" si="102"/>
        <v>0</v>
      </c>
      <c r="AU292" s="141">
        <f t="shared" si="102"/>
        <v>0</v>
      </c>
      <c r="AV292" s="141">
        <f t="shared" si="102"/>
        <v>0</v>
      </c>
      <c r="AW292" s="141">
        <f t="shared" si="102"/>
        <v>0</v>
      </c>
      <c r="AX292" s="141">
        <f t="shared" si="102"/>
        <v>0</v>
      </c>
      <c r="AY292" s="141">
        <f t="shared" si="100"/>
        <v>0</v>
      </c>
      <c r="AZ292" s="22" t="s">
        <v>179</v>
      </c>
    </row>
    <row r="293" spans="1:52">
      <c r="A293" s="141" t="s">
        <v>208</v>
      </c>
      <c r="B293" s="141">
        <f t="shared" si="106"/>
        <v>0</v>
      </c>
      <c r="C293" s="141">
        <f t="shared" si="106"/>
        <v>0</v>
      </c>
      <c r="D293" s="141">
        <f t="shared" si="106"/>
        <v>0</v>
      </c>
      <c r="E293" s="141">
        <f t="shared" si="106"/>
        <v>0</v>
      </c>
      <c r="F293" s="141">
        <f t="shared" si="106"/>
        <v>0</v>
      </c>
      <c r="G293" s="141">
        <f t="shared" si="106"/>
        <v>0</v>
      </c>
      <c r="H293" s="141">
        <f t="shared" si="106"/>
        <v>0</v>
      </c>
      <c r="I293" s="141">
        <f t="shared" si="106"/>
        <v>0</v>
      </c>
      <c r="J293" s="141">
        <f t="shared" si="106"/>
        <v>0</v>
      </c>
      <c r="K293" s="141">
        <f t="shared" si="106"/>
        <v>0</v>
      </c>
      <c r="L293" s="141">
        <f t="shared" si="106"/>
        <v>0</v>
      </c>
      <c r="M293" s="141">
        <f t="shared" si="106"/>
        <v>0</v>
      </c>
      <c r="N293" s="141">
        <f t="shared" si="106"/>
        <v>0</v>
      </c>
      <c r="O293" s="141">
        <f t="shared" si="106"/>
        <v>0</v>
      </c>
      <c r="P293" s="141">
        <f t="shared" si="106"/>
        <v>0</v>
      </c>
      <c r="Q293" s="141">
        <f t="shared" si="106"/>
        <v>0</v>
      </c>
      <c r="R293" s="141">
        <f t="shared" si="106"/>
        <v>0</v>
      </c>
      <c r="S293" s="141">
        <f t="shared" si="106"/>
        <v>0</v>
      </c>
      <c r="T293" s="141">
        <f t="shared" si="106"/>
        <v>0</v>
      </c>
      <c r="U293" s="141">
        <f t="shared" si="106"/>
        <v>0</v>
      </c>
      <c r="V293" s="141">
        <f t="shared" si="106"/>
        <v>0</v>
      </c>
      <c r="W293" s="141">
        <f t="shared" si="106"/>
        <v>0</v>
      </c>
      <c r="X293" s="141">
        <f t="shared" si="106"/>
        <v>0</v>
      </c>
      <c r="Y293" s="141">
        <f t="shared" si="106"/>
        <v>0</v>
      </c>
      <c r="AA293" s="141">
        <f t="shared" si="104"/>
        <v>0</v>
      </c>
      <c r="AB293" s="141">
        <f t="shared" si="104"/>
        <v>0</v>
      </c>
      <c r="AC293" s="141">
        <f t="shared" si="104"/>
        <v>0</v>
      </c>
      <c r="AD293" s="141">
        <f t="shared" si="104"/>
        <v>0</v>
      </c>
      <c r="AE293" s="141">
        <f t="shared" si="104"/>
        <v>0</v>
      </c>
      <c r="AF293" s="141">
        <f t="shared" si="104"/>
        <v>0</v>
      </c>
      <c r="AG293" s="141">
        <f t="shared" si="104"/>
        <v>0</v>
      </c>
      <c r="AH293" s="141">
        <f t="shared" si="104"/>
        <v>0</v>
      </c>
      <c r="AI293" s="141">
        <f t="shared" si="104"/>
        <v>0</v>
      </c>
      <c r="AJ293" s="141">
        <f t="shared" si="104"/>
        <v>0</v>
      </c>
      <c r="AK293" s="141">
        <f t="shared" si="104"/>
        <v>0</v>
      </c>
      <c r="AL293" s="141">
        <f t="shared" si="104"/>
        <v>0</v>
      </c>
      <c r="AM293" s="141">
        <f t="shared" si="104"/>
        <v>0</v>
      </c>
      <c r="AN293" s="141">
        <f t="shared" si="104"/>
        <v>0</v>
      </c>
      <c r="AO293" s="141">
        <f t="shared" si="104"/>
        <v>0</v>
      </c>
      <c r="AP293" s="141">
        <f t="shared" si="102"/>
        <v>0</v>
      </c>
      <c r="AQ293" s="141">
        <f t="shared" si="102"/>
        <v>0</v>
      </c>
      <c r="AR293" s="141">
        <f t="shared" si="102"/>
        <v>0</v>
      </c>
      <c r="AS293" s="141">
        <f t="shared" si="102"/>
        <v>0</v>
      </c>
      <c r="AT293" s="141">
        <f t="shared" si="102"/>
        <v>0</v>
      </c>
      <c r="AU293" s="141">
        <f t="shared" si="102"/>
        <v>0</v>
      </c>
      <c r="AV293" s="141">
        <f t="shared" si="102"/>
        <v>0</v>
      </c>
      <c r="AW293" s="141">
        <f t="shared" si="102"/>
        <v>0</v>
      </c>
      <c r="AX293" s="141">
        <f t="shared" si="102"/>
        <v>0</v>
      </c>
      <c r="AY293" s="141">
        <f t="shared" si="100"/>
        <v>0</v>
      </c>
      <c r="AZ293" s="22" t="s">
        <v>179</v>
      </c>
    </row>
    <row r="294" spans="1:52">
      <c r="A294" s="141" t="s">
        <v>209</v>
      </c>
      <c r="B294" s="141">
        <f t="shared" si="106"/>
        <v>0</v>
      </c>
      <c r="C294" s="141">
        <f t="shared" si="106"/>
        <v>0</v>
      </c>
      <c r="D294" s="141">
        <f t="shared" si="106"/>
        <v>0</v>
      </c>
      <c r="E294" s="141">
        <f t="shared" si="106"/>
        <v>0</v>
      </c>
      <c r="F294" s="141">
        <f t="shared" si="106"/>
        <v>0</v>
      </c>
      <c r="G294" s="141">
        <f t="shared" si="106"/>
        <v>0</v>
      </c>
      <c r="H294" s="141">
        <f t="shared" si="106"/>
        <v>0</v>
      </c>
      <c r="I294" s="141">
        <f t="shared" si="106"/>
        <v>0</v>
      </c>
      <c r="J294" s="141">
        <f t="shared" si="106"/>
        <v>0</v>
      </c>
      <c r="K294" s="141">
        <f t="shared" si="106"/>
        <v>0</v>
      </c>
      <c r="L294" s="141">
        <f t="shared" si="106"/>
        <v>0</v>
      </c>
      <c r="M294" s="141">
        <f t="shared" si="106"/>
        <v>0</v>
      </c>
      <c r="N294" s="141">
        <f t="shared" si="106"/>
        <v>0</v>
      </c>
      <c r="O294" s="141">
        <f t="shared" si="106"/>
        <v>0</v>
      </c>
      <c r="P294" s="141">
        <f t="shared" si="106"/>
        <v>0</v>
      </c>
      <c r="Q294" s="141">
        <f t="shared" si="106"/>
        <v>0</v>
      </c>
      <c r="R294" s="141">
        <f t="shared" si="106"/>
        <v>0</v>
      </c>
      <c r="S294" s="141">
        <f t="shared" si="106"/>
        <v>0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0</v>
      </c>
      <c r="X294" s="141">
        <f t="shared" si="106"/>
        <v>0</v>
      </c>
      <c r="Y294" s="141">
        <f t="shared" si="106"/>
        <v>0</v>
      </c>
      <c r="AA294" s="141">
        <f t="shared" si="104"/>
        <v>0</v>
      </c>
      <c r="AB294" s="141">
        <f t="shared" si="104"/>
        <v>0</v>
      </c>
      <c r="AC294" s="141">
        <f t="shared" si="104"/>
        <v>0</v>
      </c>
      <c r="AD294" s="141">
        <f t="shared" si="104"/>
        <v>0</v>
      </c>
      <c r="AE294" s="141">
        <f t="shared" si="104"/>
        <v>0</v>
      </c>
      <c r="AF294" s="141">
        <f t="shared" si="104"/>
        <v>0</v>
      </c>
      <c r="AG294" s="141">
        <f t="shared" si="104"/>
        <v>0</v>
      </c>
      <c r="AH294" s="141">
        <f t="shared" si="104"/>
        <v>0</v>
      </c>
      <c r="AI294" s="141">
        <f t="shared" si="104"/>
        <v>0</v>
      </c>
      <c r="AJ294" s="141">
        <f t="shared" si="104"/>
        <v>0</v>
      </c>
      <c r="AK294" s="141">
        <f t="shared" si="104"/>
        <v>0</v>
      </c>
      <c r="AL294" s="141">
        <f t="shared" si="104"/>
        <v>0</v>
      </c>
      <c r="AM294" s="141">
        <f t="shared" si="104"/>
        <v>0</v>
      </c>
      <c r="AN294" s="141">
        <f t="shared" si="104"/>
        <v>0</v>
      </c>
      <c r="AO294" s="141">
        <f t="shared" si="104"/>
        <v>0</v>
      </c>
      <c r="AP294" s="141">
        <f t="shared" si="102"/>
        <v>0</v>
      </c>
      <c r="AQ294" s="141">
        <f t="shared" si="102"/>
        <v>0</v>
      </c>
      <c r="AR294" s="141">
        <f t="shared" si="102"/>
        <v>0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0</v>
      </c>
      <c r="AW294" s="141">
        <f t="shared" si="102"/>
        <v>0</v>
      </c>
      <c r="AX294" s="141">
        <f t="shared" si="102"/>
        <v>0</v>
      </c>
      <c r="AY294" s="141">
        <f t="shared" si="100"/>
        <v>0</v>
      </c>
      <c r="AZ294" s="22" t="s">
        <v>179</v>
      </c>
    </row>
    <row r="295" spans="1:52">
      <c r="A295" s="141" t="s">
        <v>210</v>
      </c>
      <c r="B295" s="141">
        <f t="shared" si="106"/>
        <v>0</v>
      </c>
      <c r="C295" s="141">
        <f t="shared" si="106"/>
        <v>0</v>
      </c>
      <c r="D295" s="141">
        <f t="shared" si="106"/>
        <v>0</v>
      </c>
      <c r="E295" s="141">
        <f t="shared" si="106"/>
        <v>0</v>
      </c>
      <c r="F295" s="141">
        <f t="shared" si="106"/>
        <v>0</v>
      </c>
      <c r="G295" s="141">
        <f t="shared" si="106"/>
        <v>0</v>
      </c>
      <c r="H295" s="141">
        <f t="shared" si="106"/>
        <v>0</v>
      </c>
      <c r="I295" s="141">
        <f t="shared" si="106"/>
        <v>0</v>
      </c>
      <c r="J295" s="141">
        <f t="shared" si="106"/>
        <v>0</v>
      </c>
      <c r="K295" s="141">
        <f t="shared" si="106"/>
        <v>0</v>
      </c>
      <c r="L295" s="141">
        <f t="shared" si="106"/>
        <v>0</v>
      </c>
      <c r="M295" s="141">
        <f t="shared" si="106"/>
        <v>0</v>
      </c>
      <c r="N295" s="141">
        <f t="shared" si="106"/>
        <v>0</v>
      </c>
      <c r="O295" s="141">
        <f t="shared" si="106"/>
        <v>0</v>
      </c>
      <c r="P295" s="141">
        <f t="shared" si="106"/>
        <v>0</v>
      </c>
      <c r="Q295" s="141">
        <f t="shared" si="106"/>
        <v>0</v>
      </c>
      <c r="R295" s="141">
        <f t="shared" si="106"/>
        <v>0</v>
      </c>
      <c r="S295" s="141">
        <f t="shared" si="106"/>
        <v>0</v>
      </c>
      <c r="T295" s="141">
        <f t="shared" si="106"/>
        <v>0</v>
      </c>
      <c r="U295" s="141">
        <f t="shared" si="106"/>
        <v>0</v>
      </c>
      <c r="V295" s="141">
        <f t="shared" si="106"/>
        <v>0</v>
      </c>
      <c r="W295" s="141">
        <f t="shared" si="106"/>
        <v>0</v>
      </c>
      <c r="X295" s="141">
        <f t="shared" si="106"/>
        <v>0</v>
      </c>
      <c r="Y295" s="141">
        <f t="shared" si="106"/>
        <v>0</v>
      </c>
      <c r="AA295" s="141">
        <f t="shared" si="104"/>
        <v>0</v>
      </c>
      <c r="AB295" s="141">
        <f t="shared" si="104"/>
        <v>0</v>
      </c>
      <c r="AC295" s="141">
        <f t="shared" si="104"/>
        <v>0</v>
      </c>
      <c r="AD295" s="141">
        <f t="shared" si="104"/>
        <v>0</v>
      </c>
      <c r="AE295" s="141">
        <f t="shared" si="104"/>
        <v>0</v>
      </c>
      <c r="AF295" s="141">
        <f t="shared" si="104"/>
        <v>0</v>
      </c>
      <c r="AG295" s="141">
        <f t="shared" si="104"/>
        <v>0</v>
      </c>
      <c r="AH295" s="141">
        <f t="shared" si="104"/>
        <v>0</v>
      </c>
      <c r="AI295" s="141">
        <f t="shared" si="104"/>
        <v>0</v>
      </c>
      <c r="AJ295" s="141">
        <f t="shared" si="104"/>
        <v>0</v>
      </c>
      <c r="AK295" s="141">
        <f t="shared" si="104"/>
        <v>0</v>
      </c>
      <c r="AL295" s="141">
        <f t="shared" si="104"/>
        <v>0</v>
      </c>
      <c r="AM295" s="141">
        <f t="shared" si="104"/>
        <v>0</v>
      </c>
      <c r="AN295" s="141">
        <f t="shared" si="104"/>
        <v>0</v>
      </c>
      <c r="AO295" s="141">
        <f t="shared" si="104"/>
        <v>0</v>
      </c>
      <c r="AP295" s="141">
        <f t="shared" si="104"/>
        <v>0</v>
      </c>
      <c r="AQ295" s="141">
        <f t="shared" ref="AQ295:AX299" si="107">IF(R295=0,0,R295/AQ31)</f>
        <v>0</v>
      </c>
      <c r="AR295" s="141">
        <f t="shared" si="107"/>
        <v>0</v>
      </c>
      <c r="AS295" s="141">
        <f t="shared" si="107"/>
        <v>0</v>
      </c>
      <c r="AT295" s="141">
        <f t="shared" si="107"/>
        <v>0</v>
      </c>
      <c r="AU295" s="141">
        <f t="shared" si="107"/>
        <v>0</v>
      </c>
      <c r="AV295" s="141">
        <f t="shared" si="107"/>
        <v>0</v>
      </c>
      <c r="AW295" s="141">
        <f t="shared" si="107"/>
        <v>0</v>
      </c>
      <c r="AX295" s="141">
        <f t="shared" si="107"/>
        <v>0</v>
      </c>
      <c r="AY295" s="141">
        <f t="shared" si="100"/>
        <v>0</v>
      </c>
      <c r="AZ295" s="22" t="s">
        <v>179</v>
      </c>
    </row>
    <row r="296" spans="1:52">
      <c r="A296" s="141" t="s">
        <v>211</v>
      </c>
      <c r="B296" s="141">
        <f t="shared" si="106"/>
        <v>0</v>
      </c>
      <c r="C296" s="141">
        <f t="shared" si="106"/>
        <v>0</v>
      </c>
      <c r="D296" s="141">
        <f t="shared" si="106"/>
        <v>0</v>
      </c>
      <c r="E296" s="141">
        <f t="shared" si="106"/>
        <v>0</v>
      </c>
      <c r="F296" s="141">
        <f t="shared" si="106"/>
        <v>0</v>
      </c>
      <c r="G296" s="141">
        <f t="shared" si="106"/>
        <v>0</v>
      </c>
      <c r="H296" s="141">
        <f t="shared" si="106"/>
        <v>0</v>
      </c>
      <c r="I296" s="141">
        <f t="shared" si="106"/>
        <v>0</v>
      </c>
      <c r="J296" s="141">
        <f t="shared" si="106"/>
        <v>0</v>
      </c>
      <c r="K296" s="141">
        <f t="shared" si="106"/>
        <v>0</v>
      </c>
      <c r="L296" s="141">
        <f t="shared" si="106"/>
        <v>0</v>
      </c>
      <c r="M296" s="141">
        <f t="shared" si="106"/>
        <v>0</v>
      </c>
      <c r="N296" s="141">
        <f t="shared" si="106"/>
        <v>0</v>
      </c>
      <c r="O296" s="141">
        <f t="shared" si="106"/>
        <v>0</v>
      </c>
      <c r="P296" s="141">
        <f t="shared" si="106"/>
        <v>0</v>
      </c>
      <c r="Q296" s="141">
        <f t="shared" si="106"/>
        <v>0</v>
      </c>
      <c r="R296" s="141">
        <f t="shared" si="106"/>
        <v>0</v>
      </c>
      <c r="S296" s="141">
        <f t="shared" si="106"/>
        <v>0</v>
      </c>
      <c r="T296" s="141">
        <f t="shared" si="106"/>
        <v>0</v>
      </c>
      <c r="U296" s="141">
        <f t="shared" si="106"/>
        <v>0</v>
      </c>
      <c r="V296" s="141">
        <f t="shared" si="106"/>
        <v>0</v>
      </c>
      <c r="W296" s="141">
        <f t="shared" si="106"/>
        <v>0</v>
      </c>
      <c r="X296" s="141">
        <f t="shared" si="106"/>
        <v>0</v>
      </c>
      <c r="Y296" s="141">
        <f t="shared" si="106"/>
        <v>0</v>
      </c>
      <c r="AA296" s="141">
        <f t="shared" ref="AA296:AP299" si="108">IF(B296=0,0,B296/AA32)</f>
        <v>0</v>
      </c>
      <c r="AB296" s="141">
        <f t="shared" si="108"/>
        <v>0</v>
      </c>
      <c r="AC296" s="141">
        <f t="shared" si="108"/>
        <v>0</v>
      </c>
      <c r="AD296" s="141">
        <f t="shared" si="108"/>
        <v>0</v>
      </c>
      <c r="AE296" s="141">
        <f t="shared" si="108"/>
        <v>0</v>
      </c>
      <c r="AF296" s="141">
        <f t="shared" si="108"/>
        <v>0</v>
      </c>
      <c r="AG296" s="141">
        <f t="shared" si="108"/>
        <v>0</v>
      </c>
      <c r="AH296" s="141">
        <f t="shared" si="108"/>
        <v>0</v>
      </c>
      <c r="AI296" s="141">
        <f t="shared" si="108"/>
        <v>0</v>
      </c>
      <c r="AJ296" s="141">
        <f t="shared" si="108"/>
        <v>0</v>
      </c>
      <c r="AK296" s="141">
        <f t="shared" si="108"/>
        <v>0</v>
      </c>
      <c r="AL296" s="141">
        <f t="shared" si="108"/>
        <v>0</v>
      </c>
      <c r="AM296" s="141">
        <f t="shared" si="108"/>
        <v>0</v>
      </c>
      <c r="AN296" s="141">
        <f t="shared" si="108"/>
        <v>0</v>
      </c>
      <c r="AO296" s="141">
        <f t="shared" si="108"/>
        <v>0</v>
      </c>
      <c r="AP296" s="141">
        <f t="shared" si="108"/>
        <v>0</v>
      </c>
      <c r="AQ296" s="141">
        <f t="shared" si="107"/>
        <v>0</v>
      </c>
      <c r="AR296" s="141">
        <f t="shared" si="107"/>
        <v>0</v>
      </c>
      <c r="AS296" s="141">
        <f t="shared" si="107"/>
        <v>0</v>
      </c>
      <c r="AT296" s="141">
        <f t="shared" si="107"/>
        <v>0</v>
      </c>
      <c r="AU296" s="141">
        <f t="shared" si="107"/>
        <v>0</v>
      </c>
      <c r="AV296" s="141">
        <f t="shared" si="107"/>
        <v>0</v>
      </c>
      <c r="AW296" s="141">
        <f t="shared" si="107"/>
        <v>0</v>
      </c>
      <c r="AX296" s="141">
        <f t="shared" si="107"/>
        <v>0</v>
      </c>
      <c r="AY296" s="141">
        <f t="shared" si="100"/>
        <v>0</v>
      </c>
      <c r="AZ296" s="22" t="s">
        <v>179</v>
      </c>
    </row>
    <row r="297" spans="1:52">
      <c r="A297" s="141" t="s">
        <v>212</v>
      </c>
      <c r="B297" s="141">
        <f t="shared" si="106"/>
        <v>0</v>
      </c>
      <c r="C297" s="141">
        <f t="shared" si="106"/>
        <v>0</v>
      </c>
      <c r="D297" s="141">
        <f t="shared" si="106"/>
        <v>0</v>
      </c>
      <c r="E297" s="141">
        <f t="shared" si="106"/>
        <v>0</v>
      </c>
      <c r="F297" s="141">
        <f t="shared" si="106"/>
        <v>0</v>
      </c>
      <c r="G297" s="141">
        <f t="shared" si="106"/>
        <v>0</v>
      </c>
      <c r="H297" s="141">
        <f t="shared" si="106"/>
        <v>0</v>
      </c>
      <c r="I297" s="141">
        <f t="shared" si="106"/>
        <v>0</v>
      </c>
      <c r="J297" s="141">
        <f t="shared" si="106"/>
        <v>0</v>
      </c>
      <c r="K297" s="141">
        <f t="shared" si="106"/>
        <v>0</v>
      </c>
      <c r="L297" s="141">
        <f t="shared" si="106"/>
        <v>0</v>
      </c>
      <c r="M297" s="141">
        <f t="shared" si="106"/>
        <v>0</v>
      </c>
      <c r="N297" s="141">
        <f t="shared" si="106"/>
        <v>0</v>
      </c>
      <c r="O297" s="141">
        <f t="shared" si="106"/>
        <v>0</v>
      </c>
      <c r="P297" s="141">
        <f t="shared" si="106"/>
        <v>0</v>
      </c>
      <c r="Q297" s="141">
        <f t="shared" si="106"/>
        <v>0</v>
      </c>
      <c r="R297" s="141">
        <f t="shared" si="106"/>
        <v>0</v>
      </c>
      <c r="S297" s="141">
        <f t="shared" si="106"/>
        <v>0</v>
      </c>
      <c r="T297" s="141">
        <f t="shared" si="106"/>
        <v>0</v>
      </c>
      <c r="U297" s="141">
        <f t="shared" si="106"/>
        <v>0</v>
      </c>
      <c r="V297" s="141">
        <f t="shared" si="106"/>
        <v>0</v>
      </c>
      <c r="W297" s="141">
        <f t="shared" si="106"/>
        <v>0</v>
      </c>
      <c r="X297" s="141">
        <f t="shared" si="106"/>
        <v>0</v>
      </c>
      <c r="Y297" s="141">
        <f t="shared" si="106"/>
        <v>0</v>
      </c>
      <c r="AA297" s="141">
        <f t="shared" si="108"/>
        <v>0</v>
      </c>
      <c r="AB297" s="141">
        <f t="shared" si="108"/>
        <v>0</v>
      </c>
      <c r="AC297" s="141">
        <f t="shared" si="108"/>
        <v>0</v>
      </c>
      <c r="AD297" s="141">
        <f t="shared" si="108"/>
        <v>0</v>
      </c>
      <c r="AE297" s="141">
        <f t="shared" si="108"/>
        <v>0</v>
      </c>
      <c r="AF297" s="141">
        <f t="shared" si="108"/>
        <v>0</v>
      </c>
      <c r="AG297" s="141">
        <f t="shared" si="108"/>
        <v>0</v>
      </c>
      <c r="AH297" s="141">
        <f t="shared" si="108"/>
        <v>0</v>
      </c>
      <c r="AI297" s="141">
        <f t="shared" si="108"/>
        <v>0</v>
      </c>
      <c r="AJ297" s="141">
        <f t="shared" si="108"/>
        <v>0</v>
      </c>
      <c r="AK297" s="141">
        <f t="shared" si="108"/>
        <v>0</v>
      </c>
      <c r="AL297" s="141">
        <f t="shared" si="108"/>
        <v>0</v>
      </c>
      <c r="AM297" s="141">
        <f t="shared" si="108"/>
        <v>0</v>
      </c>
      <c r="AN297" s="141">
        <f t="shared" si="108"/>
        <v>0</v>
      </c>
      <c r="AO297" s="141">
        <f t="shared" si="108"/>
        <v>0</v>
      </c>
      <c r="AP297" s="141">
        <f t="shared" si="108"/>
        <v>0</v>
      </c>
      <c r="AQ297" s="141">
        <f t="shared" si="107"/>
        <v>0</v>
      </c>
      <c r="AR297" s="141">
        <f t="shared" si="107"/>
        <v>0</v>
      </c>
      <c r="AS297" s="141">
        <f t="shared" si="107"/>
        <v>0</v>
      </c>
      <c r="AT297" s="141">
        <f t="shared" si="107"/>
        <v>0</v>
      </c>
      <c r="AU297" s="141">
        <f t="shared" si="107"/>
        <v>0</v>
      </c>
      <c r="AV297" s="141">
        <f t="shared" si="107"/>
        <v>0</v>
      </c>
      <c r="AW297" s="141">
        <f t="shared" si="107"/>
        <v>0</v>
      </c>
      <c r="AX297" s="141">
        <f t="shared" si="107"/>
        <v>0</v>
      </c>
      <c r="AY297" s="141">
        <f t="shared" si="100"/>
        <v>0</v>
      </c>
      <c r="AZ297" s="22" t="s">
        <v>179</v>
      </c>
    </row>
    <row r="298" spans="1:52">
      <c r="A298" s="141" t="s">
        <v>213</v>
      </c>
      <c r="B298" s="141">
        <f t="shared" si="106"/>
        <v>0</v>
      </c>
      <c r="C298" s="141">
        <f t="shared" si="106"/>
        <v>0</v>
      </c>
      <c r="D298" s="141">
        <f t="shared" si="106"/>
        <v>0</v>
      </c>
      <c r="E298" s="141">
        <f t="shared" si="106"/>
        <v>0</v>
      </c>
      <c r="F298" s="141">
        <f t="shared" si="106"/>
        <v>0</v>
      </c>
      <c r="G298" s="141">
        <f t="shared" si="106"/>
        <v>0</v>
      </c>
      <c r="H298" s="141">
        <f t="shared" si="106"/>
        <v>0</v>
      </c>
      <c r="I298" s="141">
        <f t="shared" si="106"/>
        <v>0</v>
      </c>
      <c r="J298" s="141">
        <f t="shared" si="106"/>
        <v>0</v>
      </c>
      <c r="K298" s="141">
        <f t="shared" si="106"/>
        <v>0</v>
      </c>
      <c r="L298" s="141">
        <f t="shared" si="106"/>
        <v>0</v>
      </c>
      <c r="M298" s="141">
        <f t="shared" si="106"/>
        <v>0</v>
      </c>
      <c r="N298" s="141">
        <f t="shared" si="106"/>
        <v>0</v>
      </c>
      <c r="O298" s="141">
        <f t="shared" si="106"/>
        <v>0</v>
      </c>
      <c r="P298" s="141">
        <f t="shared" si="106"/>
        <v>0</v>
      </c>
      <c r="Q298" s="141">
        <f t="shared" si="106"/>
        <v>0</v>
      </c>
      <c r="R298" s="141">
        <f t="shared" si="106"/>
        <v>0</v>
      </c>
      <c r="S298" s="141">
        <f t="shared" si="106"/>
        <v>0</v>
      </c>
      <c r="T298" s="141">
        <f t="shared" si="106"/>
        <v>0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0</v>
      </c>
      <c r="Y298" s="141">
        <f t="shared" si="106"/>
        <v>0</v>
      </c>
      <c r="AA298" s="141">
        <f t="shared" si="108"/>
        <v>0</v>
      </c>
      <c r="AB298" s="141">
        <f t="shared" si="108"/>
        <v>0</v>
      </c>
      <c r="AC298" s="141">
        <f t="shared" si="108"/>
        <v>0</v>
      </c>
      <c r="AD298" s="141">
        <f t="shared" si="108"/>
        <v>0</v>
      </c>
      <c r="AE298" s="141">
        <f t="shared" si="108"/>
        <v>0</v>
      </c>
      <c r="AF298" s="141">
        <f t="shared" si="108"/>
        <v>0</v>
      </c>
      <c r="AG298" s="141">
        <f t="shared" si="108"/>
        <v>0</v>
      </c>
      <c r="AH298" s="141">
        <f t="shared" si="108"/>
        <v>0</v>
      </c>
      <c r="AI298" s="141">
        <f t="shared" si="108"/>
        <v>0</v>
      </c>
      <c r="AJ298" s="141">
        <f t="shared" si="108"/>
        <v>0</v>
      </c>
      <c r="AK298" s="141">
        <f t="shared" si="108"/>
        <v>0</v>
      </c>
      <c r="AL298" s="141">
        <f t="shared" si="108"/>
        <v>0</v>
      </c>
      <c r="AM298" s="141">
        <f t="shared" si="108"/>
        <v>0</v>
      </c>
      <c r="AN298" s="141">
        <f t="shared" si="108"/>
        <v>0</v>
      </c>
      <c r="AO298" s="141">
        <f t="shared" si="108"/>
        <v>0</v>
      </c>
      <c r="AP298" s="141">
        <f t="shared" si="108"/>
        <v>0</v>
      </c>
      <c r="AQ298" s="141">
        <f t="shared" si="107"/>
        <v>0</v>
      </c>
      <c r="AR298" s="141">
        <f t="shared" si="107"/>
        <v>0</v>
      </c>
      <c r="AS298" s="141">
        <f t="shared" si="107"/>
        <v>0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0</v>
      </c>
      <c r="AX298" s="141">
        <f t="shared" si="107"/>
        <v>0</v>
      </c>
      <c r="AY298" s="141">
        <f t="shared" si="100"/>
        <v>0</v>
      </c>
      <c r="AZ298" s="22" t="s">
        <v>179</v>
      </c>
    </row>
    <row r="299" spans="1:52">
      <c r="A299" s="141" t="s">
        <v>214</v>
      </c>
      <c r="B299" s="141">
        <f t="shared" si="106"/>
        <v>0</v>
      </c>
      <c r="C299" s="141">
        <f t="shared" si="106"/>
        <v>0</v>
      </c>
      <c r="D299" s="141">
        <f t="shared" si="106"/>
        <v>0</v>
      </c>
      <c r="E299" s="141">
        <f t="shared" si="106"/>
        <v>0</v>
      </c>
      <c r="F299" s="141">
        <f t="shared" si="106"/>
        <v>0</v>
      </c>
      <c r="G299" s="141">
        <f t="shared" si="106"/>
        <v>0</v>
      </c>
      <c r="H299" s="141">
        <f t="shared" si="106"/>
        <v>0</v>
      </c>
      <c r="I299" s="141">
        <f t="shared" si="106"/>
        <v>0</v>
      </c>
      <c r="J299" s="141">
        <f t="shared" si="106"/>
        <v>0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0</v>
      </c>
      <c r="Q299" s="141">
        <f t="shared" si="106"/>
        <v>0</v>
      </c>
      <c r="R299" s="141">
        <f t="shared" si="106"/>
        <v>0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0</v>
      </c>
      <c r="AC299" s="141">
        <f t="shared" si="108"/>
        <v>0</v>
      </c>
      <c r="AD299" s="141">
        <f t="shared" si="108"/>
        <v>0</v>
      </c>
      <c r="AE299" s="141">
        <f t="shared" si="108"/>
        <v>0</v>
      </c>
      <c r="AF299" s="141">
        <f t="shared" si="108"/>
        <v>0</v>
      </c>
      <c r="AG299" s="141">
        <f t="shared" si="108"/>
        <v>0</v>
      </c>
      <c r="AH299" s="141">
        <f t="shared" si="108"/>
        <v>0</v>
      </c>
      <c r="AI299" s="141">
        <f t="shared" si="108"/>
        <v>0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0</v>
      </c>
      <c r="AP299" s="141">
        <f t="shared" si="108"/>
        <v>0</v>
      </c>
      <c r="AQ299" s="141">
        <f t="shared" si="107"/>
        <v>0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0</v>
      </c>
      <c r="AZ299" s="22" t="s">
        <v>179</v>
      </c>
    </row>
    <row r="301" spans="1:52">
      <c r="A301" s="158" t="s">
        <v>180</v>
      </c>
    </row>
    <row r="302" spans="1:52">
      <c r="A302" s="141" t="s">
        <v>184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0</v>
      </c>
      <c r="N302" s="141">
        <f t="shared" si="109"/>
        <v>0</v>
      </c>
      <c r="O302" s="141">
        <f t="shared" si="109"/>
        <v>0</v>
      </c>
      <c r="P302" s="141">
        <f t="shared" si="109"/>
        <v>0</v>
      </c>
      <c r="Q302" s="141">
        <f t="shared" si="109"/>
        <v>0</v>
      </c>
      <c r="R302" s="141">
        <f t="shared" si="109"/>
        <v>0</v>
      </c>
      <c r="S302" s="141">
        <f t="shared" si="109"/>
        <v>0</v>
      </c>
      <c r="T302" s="141">
        <f t="shared" si="109"/>
        <v>0</v>
      </c>
      <c r="U302" s="141">
        <f t="shared" si="109"/>
        <v>0</v>
      </c>
      <c r="V302" s="141">
        <f t="shared" si="109"/>
        <v>0</v>
      </c>
      <c r="W302" s="141">
        <f t="shared" si="109"/>
        <v>0</v>
      </c>
      <c r="X302" s="141">
        <f t="shared" si="109"/>
        <v>0</v>
      </c>
      <c r="Y302" s="141">
        <f t="shared" si="109"/>
        <v>0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0</v>
      </c>
      <c r="AM302" s="141">
        <f t="shared" si="110"/>
        <v>0</v>
      </c>
      <c r="AN302" s="141">
        <f t="shared" si="110"/>
        <v>0</v>
      </c>
      <c r="AO302" s="141">
        <f t="shared" si="110"/>
        <v>0</v>
      </c>
      <c r="AP302" s="141">
        <f t="shared" si="110"/>
        <v>0</v>
      </c>
      <c r="AQ302" s="141">
        <f t="shared" si="110"/>
        <v>0</v>
      </c>
      <c r="AR302" s="141">
        <f t="shared" si="110"/>
        <v>0</v>
      </c>
      <c r="AS302" s="141">
        <f t="shared" si="110"/>
        <v>0</v>
      </c>
      <c r="AT302" s="141">
        <f t="shared" si="110"/>
        <v>0</v>
      </c>
      <c r="AU302" s="141">
        <f t="shared" si="110"/>
        <v>0</v>
      </c>
      <c r="AV302" s="141">
        <f t="shared" si="110"/>
        <v>0</v>
      </c>
      <c r="AW302" s="141">
        <f t="shared" si="110"/>
        <v>0</v>
      </c>
      <c r="AX302" s="141">
        <f t="shared" si="110"/>
        <v>0</v>
      </c>
      <c r="AY302" s="141">
        <f t="shared" ref="AY302:AY332" si="111">SUM(AA302:AX302)</f>
        <v>0</v>
      </c>
      <c r="AZ302" s="22" t="s">
        <v>180</v>
      </c>
    </row>
    <row r="303" spans="1:52">
      <c r="A303" s="141" t="s">
        <v>185</v>
      </c>
      <c r="B303" s="141">
        <f t="shared" si="109"/>
        <v>0</v>
      </c>
      <c r="C303" s="141">
        <f t="shared" si="109"/>
        <v>0</v>
      </c>
      <c r="D303" s="141">
        <f t="shared" si="109"/>
        <v>0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0</v>
      </c>
      <c r="N303" s="141">
        <f t="shared" si="109"/>
        <v>0</v>
      </c>
      <c r="O303" s="141">
        <f t="shared" si="109"/>
        <v>0</v>
      </c>
      <c r="P303" s="141">
        <f t="shared" si="109"/>
        <v>0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0</v>
      </c>
      <c r="AB303" s="141">
        <f t="shared" si="110"/>
        <v>0</v>
      </c>
      <c r="AC303" s="141">
        <f t="shared" si="110"/>
        <v>0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0</v>
      </c>
      <c r="AM303" s="141">
        <f t="shared" si="110"/>
        <v>0</v>
      </c>
      <c r="AN303" s="141">
        <f t="shared" si="110"/>
        <v>0</v>
      </c>
      <c r="AO303" s="141">
        <f t="shared" si="110"/>
        <v>0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0</v>
      </c>
      <c r="AZ303" s="22" t="s">
        <v>180</v>
      </c>
    </row>
    <row r="304" spans="1:52">
      <c r="A304" s="141" t="s">
        <v>186</v>
      </c>
      <c r="B304" s="141">
        <f t="shared" si="109"/>
        <v>0</v>
      </c>
      <c r="C304" s="141">
        <f t="shared" si="109"/>
        <v>0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0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0</v>
      </c>
      <c r="M304" s="141">
        <f t="shared" si="109"/>
        <v>0</v>
      </c>
      <c r="N304" s="141">
        <f t="shared" si="109"/>
        <v>0</v>
      </c>
      <c r="O304" s="141">
        <f t="shared" si="109"/>
        <v>0</v>
      </c>
      <c r="P304" s="141">
        <f t="shared" si="109"/>
        <v>0</v>
      </c>
      <c r="Q304" s="141">
        <f t="shared" si="109"/>
        <v>0</v>
      </c>
      <c r="R304" s="141">
        <f t="shared" si="109"/>
        <v>0</v>
      </c>
      <c r="S304" s="141">
        <f t="shared" si="109"/>
        <v>0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0</v>
      </c>
      <c r="X304" s="141">
        <f t="shared" si="109"/>
        <v>0</v>
      </c>
      <c r="Y304" s="141">
        <f t="shared" si="109"/>
        <v>0</v>
      </c>
      <c r="AA304" s="141">
        <f t="shared" si="110"/>
        <v>0</v>
      </c>
      <c r="AB304" s="141">
        <f t="shared" si="110"/>
        <v>0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0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0</v>
      </c>
      <c r="AL304" s="141">
        <f t="shared" si="110"/>
        <v>0</v>
      </c>
      <c r="AM304" s="141">
        <f t="shared" si="110"/>
        <v>0</v>
      </c>
      <c r="AN304" s="141">
        <f t="shared" si="110"/>
        <v>0</v>
      </c>
      <c r="AO304" s="141">
        <f t="shared" si="110"/>
        <v>0</v>
      </c>
      <c r="AP304" s="141">
        <f t="shared" si="110"/>
        <v>0</v>
      </c>
      <c r="AQ304" s="141">
        <f t="shared" si="110"/>
        <v>0</v>
      </c>
      <c r="AR304" s="141">
        <f t="shared" si="110"/>
        <v>0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0</v>
      </c>
      <c r="AW304" s="141">
        <f t="shared" si="110"/>
        <v>0</v>
      </c>
      <c r="AX304" s="141">
        <f t="shared" si="110"/>
        <v>0</v>
      </c>
      <c r="AY304" s="141">
        <f t="shared" si="111"/>
        <v>0</v>
      </c>
      <c r="AZ304" s="22" t="s">
        <v>180</v>
      </c>
    </row>
    <row r="305" spans="1:52">
      <c r="A305" s="141" t="s">
        <v>187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0</v>
      </c>
      <c r="F305" s="141">
        <f t="shared" si="109"/>
        <v>0</v>
      </c>
      <c r="G305" s="141">
        <f t="shared" si="109"/>
        <v>0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0</v>
      </c>
      <c r="L305" s="141">
        <f t="shared" si="109"/>
        <v>0</v>
      </c>
      <c r="M305" s="141">
        <f t="shared" si="109"/>
        <v>0</v>
      </c>
      <c r="N305" s="141">
        <f t="shared" si="109"/>
        <v>0</v>
      </c>
      <c r="O305" s="141">
        <f t="shared" si="109"/>
        <v>0</v>
      </c>
      <c r="P305" s="141">
        <f t="shared" si="109"/>
        <v>0</v>
      </c>
      <c r="Q305" s="141">
        <f t="shared" si="109"/>
        <v>0</v>
      </c>
      <c r="R305" s="141">
        <f t="shared" si="109"/>
        <v>0</v>
      </c>
      <c r="S305" s="141">
        <f t="shared" si="109"/>
        <v>0</v>
      </c>
      <c r="T305" s="141">
        <f t="shared" si="109"/>
        <v>0</v>
      </c>
      <c r="U305" s="141">
        <f t="shared" si="109"/>
        <v>0</v>
      </c>
      <c r="V305" s="141">
        <f t="shared" si="109"/>
        <v>0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0</v>
      </c>
      <c r="AE305" s="141">
        <f t="shared" si="110"/>
        <v>0</v>
      </c>
      <c r="AF305" s="141">
        <f t="shared" si="110"/>
        <v>0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0</v>
      </c>
      <c r="AK305" s="141">
        <f t="shared" si="110"/>
        <v>0</v>
      </c>
      <c r="AL305" s="141">
        <f t="shared" si="110"/>
        <v>0</v>
      </c>
      <c r="AM305" s="141">
        <f t="shared" si="110"/>
        <v>0</v>
      </c>
      <c r="AN305" s="141">
        <f t="shared" si="110"/>
        <v>0</v>
      </c>
      <c r="AO305" s="141">
        <f t="shared" si="110"/>
        <v>0</v>
      </c>
      <c r="AP305" s="141">
        <f t="shared" si="110"/>
        <v>0</v>
      </c>
      <c r="AQ305" s="141">
        <f t="shared" si="110"/>
        <v>0</v>
      </c>
      <c r="AR305" s="141">
        <f t="shared" si="110"/>
        <v>0</v>
      </c>
      <c r="AS305" s="141">
        <f t="shared" si="110"/>
        <v>0</v>
      </c>
      <c r="AT305" s="141">
        <f t="shared" si="110"/>
        <v>0</v>
      </c>
      <c r="AU305" s="141">
        <f t="shared" si="110"/>
        <v>0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0</v>
      </c>
      <c r="AZ305" s="22" t="s">
        <v>180</v>
      </c>
    </row>
    <row r="306" spans="1:52">
      <c r="A306" s="141" t="s">
        <v>188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0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0</v>
      </c>
      <c r="K306" s="141">
        <f t="shared" si="109"/>
        <v>0</v>
      </c>
      <c r="L306" s="141">
        <f t="shared" si="109"/>
        <v>0</v>
      </c>
      <c r="M306" s="141">
        <f t="shared" si="109"/>
        <v>0</v>
      </c>
      <c r="N306" s="141">
        <f t="shared" si="109"/>
        <v>0</v>
      </c>
      <c r="O306" s="141">
        <f t="shared" si="109"/>
        <v>0</v>
      </c>
      <c r="P306" s="141">
        <f t="shared" si="109"/>
        <v>0</v>
      </c>
      <c r="Q306" s="141">
        <f t="shared" si="109"/>
        <v>0</v>
      </c>
      <c r="R306" s="141">
        <f t="shared" si="109"/>
        <v>0</v>
      </c>
      <c r="S306" s="141">
        <f t="shared" si="109"/>
        <v>0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0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</v>
      </c>
      <c r="AJ306" s="141">
        <f t="shared" si="110"/>
        <v>0</v>
      </c>
      <c r="AK306" s="141">
        <f t="shared" si="110"/>
        <v>0</v>
      </c>
      <c r="AL306" s="141">
        <f t="shared" si="110"/>
        <v>0</v>
      </c>
      <c r="AM306" s="141">
        <f t="shared" si="110"/>
        <v>0</v>
      </c>
      <c r="AN306" s="141">
        <f t="shared" si="110"/>
        <v>0</v>
      </c>
      <c r="AO306" s="141">
        <f t="shared" si="110"/>
        <v>0</v>
      </c>
      <c r="AP306" s="141">
        <f t="shared" si="110"/>
        <v>0</v>
      </c>
      <c r="AQ306" s="141">
        <f t="shared" si="110"/>
        <v>0</v>
      </c>
      <c r="AR306" s="141">
        <f t="shared" si="110"/>
        <v>0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0</v>
      </c>
      <c r="AZ306" s="22" t="s">
        <v>180</v>
      </c>
    </row>
    <row r="307" spans="1:52">
      <c r="A307" s="141" t="s">
        <v>189</v>
      </c>
      <c r="B307" s="141">
        <f t="shared" si="109"/>
        <v>0</v>
      </c>
      <c r="C307" s="141">
        <f t="shared" si="109"/>
        <v>0</v>
      </c>
      <c r="D307" s="141">
        <f t="shared" si="109"/>
        <v>0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0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0</v>
      </c>
      <c r="AA307" s="141">
        <f t="shared" si="110"/>
        <v>0</v>
      </c>
      <c r="AB307" s="141">
        <f t="shared" si="110"/>
        <v>0</v>
      </c>
      <c r="AC307" s="141">
        <f t="shared" si="110"/>
        <v>0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0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0</v>
      </c>
      <c r="AY307" s="141">
        <f t="shared" si="111"/>
        <v>0</v>
      </c>
      <c r="AZ307" s="22" t="s">
        <v>180</v>
      </c>
    </row>
    <row r="308" spans="1:52">
      <c r="A308" s="141" t="s">
        <v>190</v>
      </c>
      <c r="B308" s="141">
        <f t="shared" si="109"/>
        <v>0</v>
      </c>
      <c r="C308" s="141">
        <f t="shared" si="109"/>
        <v>0</v>
      </c>
      <c r="D308" s="141">
        <f t="shared" si="109"/>
        <v>0</v>
      </c>
      <c r="E308" s="141">
        <f t="shared" si="109"/>
        <v>0</v>
      </c>
      <c r="F308" s="141">
        <f t="shared" si="109"/>
        <v>0</v>
      </c>
      <c r="G308" s="141">
        <f t="shared" si="109"/>
        <v>0</v>
      </c>
      <c r="H308" s="141">
        <f t="shared" si="109"/>
        <v>0</v>
      </c>
      <c r="I308" s="141">
        <f t="shared" si="109"/>
        <v>0</v>
      </c>
      <c r="J308" s="141">
        <f t="shared" si="109"/>
        <v>0</v>
      </c>
      <c r="K308" s="141">
        <f>IF(IFERROR(FIND($A$301,#REF!,1),0)=0,0,1)</f>
        <v>0</v>
      </c>
      <c r="L308" s="141">
        <f t="shared" si="109"/>
        <v>0</v>
      </c>
      <c r="M308" s="141">
        <f t="shared" si="109"/>
        <v>0</v>
      </c>
      <c r="N308" s="141">
        <f t="shared" si="109"/>
        <v>0</v>
      </c>
      <c r="O308" s="141">
        <f t="shared" si="109"/>
        <v>0</v>
      </c>
      <c r="P308" s="141">
        <f t="shared" si="109"/>
        <v>0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0</v>
      </c>
      <c r="V308" s="141">
        <f t="shared" si="109"/>
        <v>0</v>
      </c>
      <c r="W308" s="141">
        <f t="shared" si="109"/>
        <v>0</v>
      </c>
      <c r="X308" s="141">
        <f t="shared" si="109"/>
        <v>0</v>
      </c>
      <c r="Y308" s="141">
        <f t="shared" si="109"/>
        <v>0</v>
      </c>
      <c r="AA308" s="141">
        <f t="shared" si="110"/>
        <v>0</v>
      </c>
      <c r="AB308" s="141">
        <f t="shared" si="110"/>
        <v>0</v>
      </c>
      <c r="AC308" s="141">
        <f t="shared" si="110"/>
        <v>0</v>
      </c>
      <c r="AD308" s="141">
        <f t="shared" si="110"/>
        <v>0</v>
      </c>
      <c r="AE308" s="141">
        <f t="shared" si="110"/>
        <v>0</v>
      </c>
      <c r="AF308" s="141">
        <f t="shared" si="110"/>
        <v>0</v>
      </c>
      <c r="AG308" s="141">
        <f t="shared" si="110"/>
        <v>0</v>
      </c>
      <c r="AH308" s="141">
        <f t="shared" si="110"/>
        <v>0</v>
      </c>
      <c r="AI308" s="141">
        <f t="shared" si="110"/>
        <v>0</v>
      </c>
      <c r="AJ308" s="141">
        <f t="shared" si="110"/>
        <v>0</v>
      </c>
      <c r="AK308" s="141">
        <f t="shared" si="110"/>
        <v>0</v>
      </c>
      <c r="AL308" s="141">
        <f t="shared" si="110"/>
        <v>0</v>
      </c>
      <c r="AM308" s="141">
        <f t="shared" si="110"/>
        <v>0</v>
      </c>
      <c r="AN308" s="141">
        <f t="shared" si="110"/>
        <v>0</v>
      </c>
      <c r="AO308" s="141">
        <f t="shared" si="110"/>
        <v>0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0</v>
      </c>
      <c r="AU308" s="141">
        <f t="shared" si="110"/>
        <v>0</v>
      </c>
      <c r="AV308" s="141">
        <f t="shared" si="110"/>
        <v>0</v>
      </c>
      <c r="AW308" s="141">
        <f t="shared" si="110"/>
        <v>0</v>
      </c>
      <c r="AX308" s="141">
        <f t="shared" si="110"/>
        <v>0</v>
      </c>
      <c r="AY308" s="141">
        <f t="shared" si="111"/>
        <v>0</v>
      </c>
      <c r="AZ308" s="22" t="s">
        <v>180</v>
      </c>
    </row>
    <row r="309" spans="1:52">
      <c r="A309" s="141" t="s">
        <v>191</v>
      </c>
      <c r="B309" s="141">
        <f t="shared" si="109"/>
        <v>0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0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0</v>
      </c>
      <c r="W309" s="141">
        <f t="shared" si="109"/>
        <v>0</v>
      </c>
      <c r="X309" s="141">
        <f t="shared" si="109"/>
        <v>0</v>
      </c>
      <c r="Y309" s="141">
        <f t="shared" si="109"/>
        <v>0</v>
      </c>
      <c r="AA309" s="141">
        <f t="shared" si="110"/>
        <v>0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0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0</v>
      </c>
      <c r="AV309" s="141">
        <f t="shared" si="110"/>
        <v>0</v>
      </c>
      <c r="AW309" s="141">
        <f t="shared" si="110"/>
        <v>0</v>
      </c>
      <c r="AX309" s="141">
        <f t="shared" si="110"/>
        <v>0</v>
      </c>
      <c r="AY309" s="141">
        <f t="shared" si="111"/>
        <v>0</v>
      </c>
      <c r="AZ309" s="22" t="s">
        <v>180</v>
      </c>
    </row>
    <row r="310" spans="1:52">
      <c r="A310" s="141" t="s">
        <v>192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0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0</v>
      </c>
      <c r="L310" s="141">
        <f t="shared" si="109"/>
        <v>0</v>
      </c>
      <c r="M310" s="141">
        <f t="shared" si="109"/>
        <v>0</v>
      </c>
      <c r="N310" s="141">
        <f t="shared" si="109"/>
        <v>0</v>
      </c>
      <c r="O310" s="141">
        <f t="shared" si="109"/>
        <v>0</v>
      </c>
      <c r="P310" s="141">
        <f t="shared" si="109"/>
        <v>0</v>
      </c>
      <c r="Q310" s="141">
        <f t="shared" si="109"/>
        <v>0</v>
      </c>
      <c r="R310" s="141">
        <f t="shared" si="109"/>
        <v>0</v>
      </c>
      <c r="S310" s="141">
        <f t="shared" si="109"/>
        <v>0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0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0</v>
      </c>
      <c r="AH310" s="141">
        <f t="shared" si="110"/>
        <v>0</v>
      </c>
      <c r="AI310" s="141">
        <f t="shared" si="110"/>
        <v>0</v>
      </c>
      <c r="AJ310" s="141">
        <f t="shared" si="110"/>
        <v>0</v>
      </c>
      <c r="AK310" s="141">
        <f t="shared" si="110"/>
        <v>0</v>
      </c>
      <c r="AL310" s="141">
        <f t="shared" si="110"/>
        <v>0</v>
      </c>
      <c r="AM310" s="141">
        <f t="shared" si="110"/>
        <v>0</v>
      </c>
      <c r="AN310" s="141">
        <f t="shared" si="110"/>
        <v>0</v>
      </c>
      <c r="AO310" s="141">
        <f t="shared" si="110"/>
        <v>0</v>
      </c>
      <c r="AP310" s="141">
        <f t="shared" si="110"/>
        <v>0</v>
      </c>
      <c r="AQ310" s="141">
        <f t="shared" si="110"/>
        <v>0</v>
      </c>
      <c r="AR310" s="141">
        <f t="shared" si="110"/>
        <v>0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</v>
      </c>
      <c r="AY310" s="141">
        <f t="shared" si="111"/>
        <v>0</v>
      </c>
      <c r="AZ310" s="22" t="s">
        <v>180</v>
      </c>
    </row>
    <row r="311" spans="1:52">
      <c r="A311" s="141" t="s">
        <v>193</v>
      </c>
      <c r="B311" s="141">
        <f t="shared" si="109"/>
        <v>0</v>
      </c>
      <c r="C311" s="141">
        <f t="shared" si="109"/>
        <v>0</v>
      </c>
      <c r="D311" s="141">
        <f t="shared" si="109"/>
        <v>0</v>
      </c>
      <c r="E311" s="141">
        <f t="shared" si="109"/>
        <v>0</v>
      </c>
      <c r="F311" s="141">
        <f t="shared" si="109"/>
        <v>0</v>
      </c>
      <c r="G311" s="141">
        <f t="shared" si="109"/>
        <v>0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0</v>
      </c>
      <c r="O311" s="141">
        <f t="shared" si="109"/>
        <v>0</v>
      </c>
      <c r="P311" s="141">
        <f t="shared" si="109"/>
        <v>0</v>
      </c>
      <c r="Q311" s="141">
        <f t="shared" si="109"/>
        <v>0</v>
      </c>
      <c r="R311" s="141">
        <f t="shared" si="109"/>
        <v>0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0</v>
      </c>
      <c r="Y311" s="141">
        <f t="shared" si="109"/>
        <v>0</v>
      </c>
      <c r="AA311" s="141">
        <f t="shared" si="110"/>
        <v>0</v>
      </c>
      <c r="AB311" s="141">
        <f t="shared" si="110"/>
        <v>0</v>
      </c>
      <c r="AC311" s="141">
        <f t="shared" si="110"/>
        <v>0</v>
      </c>
      <c r="AD311" s="141">
        <f t="shared" si="110"/>
        <v>0</v>
      </c>
      <c r="AE311" s="141">
        <f t="shared" si="110"/>
        <v>0</v>
      </c>
      <c r="AF311" s="141">
        <f t="shared" si="110"/>
        <v>0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0</v>
      </c>
      <c r="AN311" s="141">
        <f t="shared" si="110"/>
        <v>0</v>
      </c>
      <c r="AO311" s="141">
        <f t="shared" si="110"/>
        <v>0</v>
      </c>
      <c r="AP311" s="141">
        <f t="shared" si="110"/>
        <v>0</v>
      </c>
      <c r="AQ311" s="141">
        <f t="shared" si="110"/>
        <v>0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</v>
      </c>
      <c r="AX311" s="141">
        <f t="shared" si="110"/>
        <v>0</v>
      </c>
      <c r="AY311" s="141">
        <f t="shared" si="111"/>
        <v>0</v>
      </c>
      <c r="AZ311" s="22" t="s">
        <v>180</v>
      </c>
    </row>
    <row r="312" spans="1:52">
      <c r="A312" s="141" t="s">
        <v>194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0</v>
      </c>
      <c r="F312" s="141">
        <f t="shared" si="109"/>
        <v>0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0</v>
      </c>
      <c r="M312" s="141">
        <f t="shared" si="109"/>
        <v>0</v>
      </c>
      <c r="N312" s="141">
        <f t="shared" si="109"/>
        <v>0</v>
      </c>
      <c r="O312" s="141">
        <f t="shared" si="109"/>
        <v>0</v>
      </c>
      <c r="P312" s="141">
        <f t="shared" si="109"/>
        <v>0</v>
      </c>
      <c r="Q312" s="141">
        <f t="shared" ref="Q312:Y312" si="112">IF(IFERROR(FIND($A$301,Q15,1),0)=0,0,1)</f>
        <v>0</v>
      </c>
      <c r="R312" s="141">
        <f t="shared" si="112"/>
        <v>0</v>
      </c>
      <c r="S312" s="141">
        <f t="shared" si="112"/>
        <v>0</v>
      </c>
      <c r="T312" s="141">
        <f t="shared" si="112"/>
        <v>0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0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0</v>
      </c>
      <c r="AE312" s="141">
        <f t="shared" si="110"/>
        <v>0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0</v>
      </c>
      <c r="AL312" s="141">
        <f t="shared" si="110"/>
        <v>0</v>
      </c>
      <c r="AM312" s="141">
        <f t="shared" si="110"/>
        <v>0</v>
      </c>
      <c r="AN312" s="141">
        <f t="shared" si="110"/>
        <v>0</v>
      </c>
      <c r="AO312" s="141">
        <f t="shared" si="110"/>
        <v>0</v>
      </c>
      <c r="AP312" s="141">
        <f t="shared" ref="AP312:AX327" si="113">IF(Q312=0,0,Q312/AP15)</f>
        <v>0</v>
      </c>
      <c r="AQ312" s="141">
        <f t="shared" si="113"/>
        <v>0</v>
      </c>
      <c r="AR312" s="141">
        <f t="shared" si="113"/>
        <v>0</v>
      </c>
      <c r="AS312" s="141">
        <f t="shared" si="113"/>
        <v>0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0</v>
      </c>
      <c r="AX312" s="141">
        <f t="shared" si="113"/>
        <v>0</v>
      </c>
      <c r="AY312" s="141">
        <f t="shared" si="111"/>
        <v>0</v>
      </c>
      <c r="AZ312" s="22" t="s">
        <v>180</v>
      </c>
    </row>
    <row r="313" spans="1:52">
      <c r="A313" s="141" t="s">
        <v>195</v>
      </c>
      <c r="B313" s="141">
        <f t="shared" ref="B313:Y323" si="114">IF(IFERROR(FIND($A$301,B16,1),0)=0,0,1)</f>
        <v>0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0</v>
      </c>
      <c r="M313" s="141">
        <f t="shared" si="114"/>
        <v>0</v>
      </c>
      <c r="N313" s="141">
        <f t="shared" si="114"/>
        <v>0</v>
      </c>
      <c r="O313" s="141">
        <f t="shared" si="114"/>
        <v>0</v>
      </c>
      <c r="P313" s="141">
        <f t="shared" si="114"/>
        <v>0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0</v>
      </c>
      <c r="U313" s="141">
        <f t="shared" si="114"/>
        <v>0</v>
      </c>
      <c r="V313" s="141">
        <f t="shared" si="114"/>
        <v>0</v>
      </c>
      <c r="W313" s="141">
        <f t="shared" si="114"/>
        <v>0</v>
      </c>
      <c r="X313" s="141">
        <f t="shared" si="114"/>
        <v>0</v>
      </c>
      <c r="Y313" s="141">
        <f t="shared" si="114"/>
        <v>0</v>
      </c>
      <c r="AA313" s="141">
        <f t="shared" ref="AA313:AP328" si="115">IF(B313=0,0,B313/AA16)</f>
        <v>0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0</v>
      </c>
      <c r="AL313" s="141">
        <f t="shared" si="115"/>
        <v>0</v>
      </c>
      <c r="AM313" s="141">
        <f t="shared" si="115"/>
        <v>0</v>
      </c>
      <c r="AN313" s="141">
        <f t="shared" si="115"/>
        <v>0</v>
      </c>
      <c r="AO313" s="141">
        <f t="shared" si="115"/>
        <v>0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</v>
      </c>
      <c r="AT313" s="141">
        <f t="shared" si="113"/>
        <v>0</v>
      </c>
      <c r="AU313" s="141">
        <f t="shared" si="113"/>
        <v>0</v>
      </c>
      <c r="AV313" s="141">
        <f t="shared" si="113"/>
        <v>0</v>
      </c>
      <c r="AW313" s="141">
        <f t="shared" si="113"/>
        <v>0</v>
      </c>
      <c r="AX313" s="141">
        <f t="shared" si="113"/>
        <v>0</v>
      </c>
      <c r="AY313" s="141">
        <f t="shared" si="111"/>
        <v>0</v>
      </c>
      <c r="AZ313" s="22" t="s">
        <v>180</v>
      </c>
    </row>
    <row r="314" spans="1:52">
      <c r="A314" s="141" t="s">
        <v>196</v>
      </c>
      <c r="B314" s="141">
        <f t="shared" si="114"/>
        <v>0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0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0</v>
      </c>
      <c r="L314" s="141">
        <f t="shared" si="114"/>
        <v>0</v>
      </c>
      <c r="M314" s="141">
        <f t="shared" si="114"/>
        <v>0</v>
      </c>
      <c r="N314" s="141">
        <f t="shared" si="114"/>
        <v>0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0</v>
      </c>
      <c r="V314" s="141">
        <f t="shared" si="114"/>
        <v>0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0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0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0</v>
      </c>
      <c r="AK314" s="141">
        <f t="shared" si="115"/>
        <v>0</v>
      </c>
      <c r="AL314" s="141">
        <f t="shared" si="115"/>
        <v>0</v>
      </c>
      <c r="AM314" s="141">
        <f t="shared" si="115"/>
        <v>0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0</v>
      </c>
      <c r="AU314" s="141">
        <f t="shared" si="113"/>
        <v>0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0</v>
      </c>
      <c r="AZ314" s="22" t="s">
        <v>180</v>
      </c>
    </row>
    <row r="315" spans="1:52">
      <c r="A315" s="141" t="s">
        <v>197</v>
      </c>
      <c r="B315" s="141">
        <f t="shared" si="114"/>
        <v>0</v>
      </c>
      <c r="C315" s="141">
        <f t="shared" si="114"/>
        <v>0</v>
      </c>
      <c r="D315" s="141">
        <f t="shared" si="114"/>
        <v>0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0</v>
      </c>
      <c r="I315" s="141">
        <f t="shared" si="114"/>
        <v>0</v>
      </c>
      <c r="J315" s="141">
        <f t="shared" si="114"/>
        <v>0</v>
      </c>
      <c r="K315" s="141">
        <f t="shared" si="114"/>
        <v>0</v>
      </c>
      <c r="L315" s="141">
        <f t="shared" si="114"/>
        <v>0</v>
      </c>
      <c r="M315" s="141">
        <f t="shared" si="114"/>
        <v>0</v>
      </c>
      <c r="N315" s="141">
        <f t="shared" si="114"/>
        <v>0</v>
      </c>
      <c r="O315" s="141">
        <f t="shared" si="114"/>
        <v>0</v>
      </c>
      <c r="P315" s="141">
        <f t="shared" si="114"/>
        <v>0</v>
      </c>
      <c r="Q315" s="141">
        <f t="shared" si="114"/>
        <v>0</v>
      </c>
      <c r="R315" s="141">
        <f t="shared" si="114"/>
        <v>0</v>
      </c>
      <c r="S315" s="141">
        <f t="shared" si="114"/>
        <v>0</v>
      </c>
      <c r="T315" s="141">
        <f t="shared" si="114"/>
        <v>0</v>
      </c>
      <c r="U315" s="141">
        <f t="shared" si="114"/>
        <v>0</v>
      </c>
      <c r="V315" s="141">
        <f t="shared" si="114"/>
        <v>0</v>
      </c>
      <c r="W315" s="141">
        <f t="shared" si="114"/>
        <v>0</v>
      </c>
      <c r="X315" s="141">
        <f t="shared" si="114"/>
        <v>0</v>
      </c>
      <c r="Y315" s="141">
        <f t="shared" si="114"/>
        <v>0</v>
      </c>
      <c r="AA315" s="141">
        <f t="shared" si="115"/>
        <v>0</v>
      </c>
      <c r="AB315" s="141">
        <f t="shared" si="115"/>
        <v>0</v>
      </c>
      <c r="AC315" s="141">
        <f t="shared" si="115"/>
        <v>0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0</v>
      </c>
      <c r="AH315" s="141">
        <f t="shared" si="115"/>
        <v>0</v>
      </c>
      <c r="AI315" s="141">
        <f t="shared" si="115"/>
        <v>0</v>
      </c>
      <c r="AJ315" s="141">
        <f t="shared" si="115"/>
        <v>0</v>
      </c>
      <c r="AK315" s="141">
        <f t="shared" si="115"/>
        <v>0</v>
      </c>
      <c r="AL315" s="141">
        <f t="shared" si="115"/>
        <v>0</v>
      </c>
      <c r="AM315" s="141">
        <f t="shared" si="115"/>
        <v>0</v>
      </c>
      <c r="AN315" s="141">
        <f t="shared" si="115"/>
        <v>0</v>
      </c>
      <c r="AO315" s="141">
        <f t="shared" si="115"/>
        <v>0</v>
      </c>
      <c r="AP315" s="141">
        <f t="shared" si="113"/>
        <v>0</v>
      </c>
      <c r="AQ315" s="141">
        <f t="shared" si="113"/>
        <v>0</v>
      </c>
      <c r="AR315" s="141">
        <f t="shared" si="113"/>
        <v>0</v>
      </c>
      <c r="AS315" s="141">
        <f t="shared" si="113"/>
        <v>0</v>
      </c>
      <c r="AT315" s="141">
        <f t="shared" si="113"/>
        <v>0</v>
      </c>
      <c r="AU315" s="141">
        <f t="shared" si="113"/>
        <v>0</v>
      </c>
      <c r="AV315" s="141">
        <f t="shared" si="113"/>
        <v>0</v>
      </c>
      <c r="AW315" s="141">
        <f t="shared" si="113"/>
        <v>0</v>
      </c>
      <c r="AX315" s="141">
        <f t="shared" si="113"/>
        <v>0</v>
      </c>
      <c r="AY315" s="141">
        <f t="shared" si="111"/>
        <v>0</v>
      </c>
      <c r="AZ315" s="22" t="s">
        <v>180</v>
      </c>
    </row>
    <row r="316" spans="1:52">
      <c r="A316" s="141" t="s">
        <v>198</v>
      </c>
      <c r="B316" s="141">
        <f t="shared" si="114"/>
        <v>0</v>
      </c>
      <c r="C316" s="141">
        <f t="shared" si="114"/>
        <v>0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0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0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0</v>
      </c>
      <c r="Y316" s="141">
        <f t="shared" si="114"/>
        <v>0</v>
      </c>
      <c r="AA316" s="141">
        <f t="shared" si="115"/>
        <v>0</v>
      </c>
      <c r="AB316" s="141">
        <f t="shared" si="115"/>
        <v>0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0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0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0</v>
      </c>
      <c r="AX316" s="141">
        <f t="shared" si="113"/>
        <v>0</v>
      </c>
      <c r="AY316" s="141">
        <f t="shared" si="111"/>
        <v>0</v>
      </c>
      <c r="AZ316" s="22" t="s">
        <v>180</v>
      </c>
    </row>
    <row r="317" spans="1:52">
      <c r="A317" s="141" t="s">
        <v>199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0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0</v>
      </c>
      <c r="J317" s="141">
        <f t="shared" si="114"/>
        <v>0</v>
      </c>
      <c r="K317" s="141">
        <f t="shared" si="114"/>
        <v>0</v>
      </c>
      <c r="L317" s="141">
        <f t="shared" si="114"/>
        <v>0</v>
      </c>
      <c r="M317" s="141">
        <f t="shared" si="114"/>
        <v>0</v>
      </c>
      <c r="N317" s="141">
        <f t="shared" si="114"/>
        <v>0</v>
      </c>
      <c r="O317" s="141">
        <f t="shared" si="114"/>
        <v>0</v>
      </c>
      <c r="P317" s="141">
        <f t="shared" si="114"/>
        <v>0</v>
      </c>
      <c r="Q317" s="141">
        <f t="shared" si="114"/>
        <v>0</v>
      </c>
      <c r="R317" s="141">
        <f t="shared" si="114"/>
        <v>0</v>
      </c>
      <c r="S317" s="141">
        <f t="shared" si="114"/>
        <v>0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0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0</v>
      </c>
      <c r="AI317" s="141">
        <f t="shared" si="115"/>
        <v>0</v>
      </c>
      <c r="AJ317" s="141">
        <f t="shared" si="115"/>
        <v>0</v>
      </c>
      <c r="AK317" s="141">
        <f t="shared" si="115"/>
        <v>0</v>
      </c>
      <c r="AL317" s="141">
        <f t="shared" si="115"/>
        <v>0</v>
      </c>
      <c r="AM317" s="141">
        <f t="shared" si="115"/>
        <v>0</v>
      </c>
      <c r="AN317" s="141">
        <f t="shared" si="115"/>
        <v>0</v>
      </c>
      <c r="AO317" s="141">
        <f t="shared" si="115"/>
        <v>0</v>
      </c>
      <c r="AP317" s="141">
        <f t="shared" si="113"/>
        <v>0</v>
      </c>
      <c r="AQ317" s="141">
        <f t="shared" si="113"/>
        <v>0</v>
      </c>
      <c r="AR317" s="141">
        <f t="shared" si="113"/>
        <v>0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0</v>
      </c>
      <c r="AW317" s="141">
        <f t="shared" si="113"/>
        <v>0</v>
      </c>
      <c r="AX317" s="141">
        <f t="shared" si="113"/>
        <v>0</v>
      </c>
      <c r="AY317" s="141">
        <f t="shared" si="111"/>
        <v>0</v>
      </c>
      <c r="AZ317" s="22" t="s">
        <v>180</v>
      </c>
    </row>
    <row r="318" spans="1:52">
      <c r="A318" s="141" t="s">
        <v>200</v>
      </c>
      <c r="B318" s="141">
        <f t="shared" si="114"/>
        <v>0</v>
      </c>
      <c r="C318" s="141">
        <f t="shared" si="114"/>
        <v>0</v>
      </c>
      <c r="D318" s="141">
        <f t="shared" si="114"/>
        <v>0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0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0</v>
      </c>
      <c r="Q318" s="141">
        <f t="shared" si="114"/>
        <v>0</v>
      </c>
      <c r="R318" s="141">
        <f t="shared" si="114"/>
        <v>0</v>
      </c>
      <c r="S318" s="141">
        <f t="shared" si="114"/>
        <v>0</v>
      </c>
      <c r="T318" s="141">
        <f t="shared" si="114"/>
        <v>0</v>
      </c>
      <c r="U318" s="141">
        <f t="shared" si="114"/>
        <v>0</v>
      </c>
      <c r="V318" s="141">
        <f t="shared" si="114"/>
        <v>0</v>
      </c>
      <c r="W318" s="141">
        <f t="shared" si="114"/>
        <v>0</v>
      </c>
      <c r="X318" s="141">
        <f t="shared" si="114"/>
        <v>0</v>
      </c>
      <c r="Y318" s="141">
        <f t="shared" si="114"/>
        <v>0</v>
      </c>
      <c r="AA318" s="141">
        <f t="shared" si="115"/>
        <v>0</v>
      </c>
      <c r="AB318" s="141">
        <f t="shared" si="115"/>
        <v>0</v>
      </c>
      <c r="AC318" s="141">
        <f t="shared" si="115"/>
        <v>0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0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0</v>
      </c>
      <c r="AP318" s="141">
        <f t="shared" si="113"/>
        <v>0</v>
      </c>
      <c r="AQ318" s="141">
        <f t="shared" si="113"/>
        <v>0</v>
      </c>
      <c r="AR318" s="141">
        <f t="shared" si="113"/>
        <v>0</v>
      </c>
      <c r="AS318" s="141">
        <f t="shared" si="113"/>
        <v>0</v>
      </c>
      <c r="AT318" s="141">
        <f t="shared" si="113"/>
        <v>0</v>
      </c>
      <c r="AU318" s="141">
        <f t="shared" si="113"/>
        <v>0</v>
      </c>
      <c r="AV318" s="141">
        <f t="shared" si="113"/>
        <v>0</v>
      </c>
      <c r="AW318" s="141">
        <f t="shared" si="113"/>
        <v>0</v>
      </c>
      <c r="AX318" s="141">
        <f t="shared" si="113"/>
        <v>0</v>
      </c>
      <c r="AY318" s="141">
        <f t="shared" si="111"/>
        <v>0</v>
      </c>
      <c r="AZ318" s="22" t="s">
        <v>180</v>
      </c>
    </row>
    <row r="319" spans="1:52">
      <c r="A319" s="141" t="s">
        <v>201</v>
      </c>
      <c r="B319" s="141">
        <f t="shared" si="114"/>
        <v>0</v>
      </c>
      <c r="C319" s="141">
        <f t="shared" si="114"/>
        <v>0</v>
      </c>
      <c r="D319" s="141">
        <f t="shared" si="114"/>
        <v>0</v>
      </c>
      <c r="E319" s="141">
        <f t="shared" si="114"/>
        <v>0</v>
      </c>
      <c r="F319" s="141">
        <f t="shared" si="114"/>
        <v>0</v>
      </c>
      <c r="G319" s="141">
        <f t="shared" si="114"/>
        <v>0</v>
      </c>
      <c r="H319" s="141">
        <f t="shared" si="114"/>
        <v>0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0</v>
      </c>
      <c r="R319" s="141">
        <f t="shared" si="114"/>
        <v>0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0</v>
      </c>
      <c r="Y319" s="141">
        <f t="shared" si="114"/>
        <v>0</v>
      </c>
      <c r="AA319" s="141">
        <f t="shared" si="115"/>
        <v>0</v>
      </c>
      <c r="AB319" s="141">
        <f t="shared" si="115"/>
        <v>0</v>
      </c>
      <c r="AC319" s="141">
        <f t="shared" si="115"/>
        <v>0</v>
      </c>
      <c r="AD319" s="141">
        <f t="shared" si="115"/>
        <v>0</v>
      </c>
      <c r="AE319" s="141">
        <f t="shared" si="115"/>
        <v>0</v>
      </c>
      <c r="AF319" s="141">
        <f t="shared" si="115"/>
        <v>0</v>
      </c>
      <c r="AG319" s="141">
        <f t="shared" si="115"/>
        <v>0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0</v>
      </c>
      <c r="AQ319" s="141">
        <f t="shared" si="113"/>
        <v>0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0</v>
      </c>
      <c r="AX319" s="141">
        <f t="shared" si="113"/>
        <v>0</v>
      </c>
      <c r="AY319" s="141">
        <f t="shared" si="111"/>
        <v>0</v>
      </c>
      <c r="AZ319" s="22" t="s">
        <v>180</v>
      </c>
    </row>
    <row r="320" spans="1:52">
      <c r="A320" s="141" t="s">
        <v>202</v>
      </c>
      <c r="B320" s="141">
        <f t="shared" si="114"/>
        <v>0</v>
      </c>
      <c r="C320" s="141">
        <f t="shared" si="114"/>
        <v>0</v>
      </c>
      <c r="D320" s="141">
        <f t="shared" si="114"/>
        <v>0</v>
      </c>
      <c r="E320" s="141">
        <f t="shared" si="114"/>
        <v>0</v>
      </c>
      <c r="F320" s="141">
        <f t="shared" si="114"/>
        <v>0</v>
      </c>
      <c r="G320" s="141">
        <f t="shared" si="114"/>
        <v>0</v>
      </c>
      <c r="H320" s="141">
        <f t="shared" si="114"/>
        <v>0</v>
      </c>
      <c r="I320" s="141">
        <f t="shared" si="114"/>
        <v>0</v>
      </c>
      <c r="J320" s="141">
        <f t="shared" si="114"/>
        <v>0</v>
      </c>
      <c r="K320" s="141">
        <f t="shared" si="114"/>
        <v>0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0</v>
      </c>
      <c r="P320" s="141">
        <f t="shared" si="114"/>
        <v>0</v>
      </c>
      <c r="Q320" s="141">
        <f t="shared" si="114"/>
        <v>0</v>
      </c>
      <c r="R320" s="141">
        <f t="shared" si="114"/>
        <v>0</v>
      </c>
      <c r="S320" s="141">
        <f t="shared" si="114"/>
        <v>0</v>
      </c>
      <c r="T320" s="141">
        <f t="shared" si="114"/>
        <v>0</v>
      </c>
      <c r="U320" s="141">
        <f t="shared" si="114"/>
        <v>0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0</v>
      </c>
      <c r="AD320" s="141">
        <f t="shared" si="115"/>
        <v>0</v>
      </c>
      <c r="AE320" s="141">
        <f t="shared" si="115"/>
        <v>0</v>
      </c>
      <c r="AF320" s="141">
        <f t="shared" si="115"/>
        <v>0</v>
      </c>
      <c r="AG320" s="141">
        <f t="shared" si="115"/>
        <v>0</v>
      </c>
      <c r="AH320" s="141">
        <f t="shared" si="115"/>
        <v>0</v>
      </c>
      <c r="AI320" s="141">
        <f t="shared" si="115"/>
        <v>0</v>
      </c>
      <c r="AJ320" s="141">
        <f t="shared" si="115"/>
        <v>0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0</v>
      </c>
      <c r="AO320" s="141">
        <f t="shared" si="115"/>
        <v>0</v>
      </c>
      <c r="AP320" s="141">
        <f t="shared" si="113"/>
        <v>0</v>
      </c>
      <c r="AQ320" s="141">
        <f t="shared" si="113"/>
        <v>0</v>
      </c>
      <c r="AR320" s="141">
        <f t="shared" si="113"/>
        <v>0</v>
      </c>
      <c r="AS320" s="141">
        <f t="shared" si="113"/>
        <v>0</v>
      </c>
      <c r="AT320" s="141">
        <f t="shared" si="113"/>
        <v>0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0</v>
      </c>
      <c r="AZ320" s="22" t="s">
        <v>180</v>
      </c>
    </row>
    <row r="321" spans="1:52">
      <c r="A321" s="141" t="s">
        <v>203</v>
      </c>
      <c r="B321" s="141">
        <f t="shared" si="114"/>
        <v>0</v>
      </c>
      <c r="C321" s="141">
        <f t="shared" si="114"/>
        <v>0</v>
      </c>
      <c r="D321" s="141">
        <f t="shared" si="114"/>
        <v>0</v>
      </c>
      <c r="E321" s="141">
        <f t="shared" si="114"/>
        <v>0</v>
      </c>
      <c r="F321" s="141">
        <f t="shared" si="114"/>
        <v>0</v>
      </c>
      <c r="G321" s="141">
        <f t="shared" si="114"/>
        <v>0</v>
      </c>
      <c r="H321" s="141">
        <f t="shared" si="114"/>
        <v>0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0</v>
      </c>
      <c r="M321" s="141">
        <f t="shared" si="114"/>
        <v>0</v>
      </c>
      <c r="N321" s="141">
        <f t="shared" si="114"/>
        <v>0</v>
      </c>
      <c r="O321" s="141">
        <f t="shared" si="114"/>
        <v>0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0</v>
      </c>
      <c r="AB321" s="141">
        <f t="shared" si="115"/>
        <v>0</v>
      </c>
      <c r="AC321" s="141">
        <f t="shared" si="115"/>
        <v>0</v>
      </c>
      <c r="AD321" s="141">
        <f t="shared" si="115"/>
        <v>0</v>
      </c>
      <c r="AE321" s="141">
        <f t="shared" si="115"/>
        <v>0</v>
      </c>
      <c r="AF321" s="141">
        <f t="shared" si="115"/>
        <v>0</v>
      </c>
      <c r="AG321" s="141">
        <f t="shared" si="115"/>
        <v>0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0</v>
      </c>
      <c r="AL321" s="141">
        <f t="shared" si="115"/>
        <v>0</v>
      </c>
      <c r="AM321" s="141">
        <f t="shared" si="115"/>
        <v>0</v>
      </c>
      <c r="AN321" s="141">
        <f t="shared" si="115"/>
        <v>0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0</v>
      </c>
      <c r="AZ321" s="22" t="s">
        <v>180</v>
      </c>
    </row>
    <row r="322" spans="1:52">
      <c r="A322" s="141" t="s">
        <v>204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0</v>
      </c>
      <c r="H322" s="141">
        <f t="shared" si="114"/>
        <v>0</v>
      </c>
      <c r="I322" s="141">
        <f t="shared" si="114"/>
        <v>0</v>
      </c>
      <c r="J322" s="141">
        <f t="shared" si="114"/>
        <v>0</v>
      </c>
      <c r="K322" s="141">
        <f t="shared" si="114"/>
        <v>0</v>
      </c>
      <c r="L322" s="141">
        <f t="shared" si="114"/>
        <v>0</v>
      </c>
      <c r="M322" s="141">
        <f t="shared" si="114"/>
        <v>0</v>
      </c>
      <c r="N322" s="141">
        <f t="shared" si="114"/>
        <v>0</v>
      </c>
      <c r="O322" s="141">
        <f t="shared" si="114"/>
        <v>0</v>
      </c>
      <c r="P322" s="141">
        <f t="shared" si="114"/>
        <v>0</v>
      </c>
      <c r="Q322" s="141">
        <f t="shared" si="114"/>
        <v>0</v>
      </c>
      <c r="R322" s="141">
        <f t="shared" si="114"/>
        <v>0</v>
      </c>
      <c r="S322" s="141">
        <f t="shared" si="114"/>
        <v>0</v>
      </c>
      <c r="T322" s="141">
        <f t="shared" si="114"/>
        <v>0</v>
      </c>
      <c r="U322" s="141">
        <f t="shared" si="114"/>
        <v>0</v>
      </c>
      <c r="V322" s="141">
        <f t="shared" si="114"/>
        <v>0</v>
      </c>
      <c r="W322" s="141">
        <f t="shared" si="114"/>
        <v>0</v>
      </c>
      <c r="X322" s="141">
        <f t="shared" si="114"/>
        <v>0</v>
      </c>
      <c r="Y322" s="141">
        <f t="shared" si="114"/>
        <v>0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0</v>
      </c>
      <c r="AG322" s="141">
        <f t="shared" si="115"/>
        <v>0</v>
      </c>
      <c r="AH322" s="141">
        <f t="shared" si="115"/>
        <v>0</v>
      </c>
      <c r="AI322" s="141">
        <f t="shared" si="115"/>
        <v>0</v>
      </c>
      <c r="AJ322" s="141">
        <f t="shared" si="115"/>
        <v>0</v>
      </c>
      <c r="AK322" s="141">
        <f t="shared" si="115"/>
        <v>0</v>
      </c>
      <c r="AL322" s="141">
        <f t="shared" si="115"/>
        <v>0</v>
      </c>
      <c r="AM322" s="141">
        <f t="shared" si="115"/>
        <v>0</v>
      </c>
      <c r="AN322" s="141">
        <f t="shared" si="115"/>
        <v>0</v>
      </c>
      <c r="AO322" s="141">
        <f t="shared" si="115"/>
        <v>0</v>
      </c>
      <c r="AP322" s="141">
        <f t="shared" si="113"/>
        <v>0</v>
      </c>
      <c r="AQ322" s="141">
        <f t="shared" si="113"/>
        <v>0</v>
      </c>
      <c r="AR322" s="141">
        <f t="shared" si="113"/>
        <v>0</v>
      </c>
      <c r="AS322" s="141">
        <f t="shared" si="113"/>
        <v>0</v>
      </c>
      <c r="AT322" s="141">
        <f t="shared" si="113"/>
        <v>0</v>
      </c>
      <c r="AU322" s="141">
        <f t="shared" si="113"/>
        <v>0</v>
      </c>
      <c r="AV322" s="141">
        <f t="shared" si="113"/>
        <v>0</v>
      </c>
      <c r="AW322" s="141">
        <f t="shared" si="113"/>
        <v>0</v>
      </c>
      <c r="AX322" s="141">
        <f t="shared" si="113"/>
        <v>0</v>
      </c>
      <c r="AY322" s="141">
        <f t="shared" si="111"/>
        <v>0</v>
      </c>
      <c r="AZ322" s="22" t="s">
        <v>180</v>
      </c>
    </row>
    <row r="323" spans="1:52">
      <c r="A323" s="141" t="s">
        <v>205</v>
      </c>
      <c r="B323" s="141">
        <f t="shared" si="114"/>
        <v>0</v>
      </c>
      <c r="C323" s="141">
        <f t="shared" si="114"/>
        <v>0</v>
      </c>
      <c r="D323" s="141">
        <f t="shared" si="114"/>
        <v>0</v>
      </c>
      <c r="E323" s="141">
        <f t="shared" si="114"/>
        <v>0</v>
      </c>
      <c r="F323" s="141">
        <f t="shared" si="114"/>
        <v>0</v>
      </c>
      <c r="G323" s="141">
        <f t="shared" si="114"/>
        <v>0</v>
      </c>
      <c r="H323" s="141">
        <f t="shared" si="114"/>
        <v>0</v>
      </c>
      <c r="I323" s="141">
        <f t="shared" si="114"/>
        <v>0</v>
      </c>
      <c r="J323" s="141">
        <f t="shared" si="114"/>
        <v>0</v>
      </c>
      <c r="K323" s="141">
        <f t="shared" si="114"/>
        <v>0</v>
      </c>
      <c r="L323" s="141">
        <f t="shared" si="114"/>
        <v>0</v>
      </c>
      <c r="M323" s="141">
        <f t="shared" si="114"/>
        <v>0</v>
      </c>
      <c r="N323" s="141">
        <f t="shared" si="114"/>
        <v>0</v>
      </c>
      <c r="O323" s="141">
        <f t="shared" si="114"/>
        <v>0</v>
      </c>
      <c r="P323" s="141">
        <f t="shared" si="114"/>
        <v>0</v>
      </c>
      <c r="Q323" s="141">
        <f t="shared" ref="Q323:Y323" si="116">IF(IFERROR(FIND($A$301,Q26,1),0)=0,0,1)</f>
        <v>0</v>
      </c>
      <c r="R323" s="141">
        <f t="shared" si="116"/>
        <v>0</v>
      </c>
      <c r="S323" s="141">
        <f t="shared" si="116"/>
        <v>0</v>
      </c>
      <c r="T323" s="141">
        <f t="shared" si="116"/>
        <v>0</v>
      </c>
      <c r="U323" s="141">
        <f t="shared" si="116"/>
        <v>0</v>
      </c>
      <c r="V323" s="141">
        <f t="shared" si="116"/>
        <v>0</v>
      </c>
      <c r="W323" s="141">
        <f t="shared" si="116"/>
        <v>0</v>
      </c>
      <c r="X323" s="141">
        <f t="shared" si="116"/>
        <v>0</v>
      </c>
      <c r="Y323" s="141">
        <f t="shared" si="116"/>
        <v>0</v>
      </c>
      <c r="AA323" s="141">
        <f t="shared" si="115"/>
        <v>0</v>
      </c>
      <c r="AB323" s="141">
        <f t="shared" si="115"/>
        <v>0</v>
      </c>
      <c r="AC323" s="141">
        <f t="shared" si="115"/>
        <v>0</v>
      </c>
      <c r="AD323" s="141">
        <f t="shared" si="115"/>
        <v>0</v>
      </c>
      <c r="AE323" s="141">
        <f t="shared" si="115"/>
        <v>0</v>
      </c>
      <c r="AF323" s="141">
        <f t="shared" si="115"/>
        <v>0</v>
      </c>
      <c r="AG323" s="141">
        <f t="shared" si="115"/>
        <v>0</v>
      </c>
      <c r="AH323" s="141">
        <f t="shared" si="115"/>
        <v>0</v>
      </c>
      <c r="AI323" s="141">
        <f t="shared" si="115"/>
        <v>0</v>
      </c>
      <c r="AJ323" s="141">
        <f t="shared" si="115"/>
        <v>0</v>
      </c>
      <c r="AK323" s="141">
        <f t="shared" si="115"/>
        <v>0</v>
      </c>
      <c r="AL323" s="141">
        <f t="shared" si="115"/>
        <v>0</v>
      </c>
      <c r="AM323" s="141">
        <f t="shared" si="115"/>
        <v>0</v>
      </c>
      <c r="AN323" s="141">
        <f t="shared" si="115"/>
        <v>0</v>
      </c>
      <c r="AO323" s="141">
        <f t="shared" si="115"/>
        <v>0</v>
      </c>
      <c r="AP323" s="141">
        <f t="shared" si="113"/>
        <v>0</v>
      </c>
      <c r="AQ323" s="141">
        <f t="shared" si="113"/>
        <v>0</v>
      </c>
      <c r="AR323" s="141">
        <f t="shared" si="113"/>
        <v>0</v>
      </c>
      <c r="AS323" s="141">
        <f t="shared" si="113"/>
        <v>0</v>
      </c>
      <c r="AT323" s="141">
        <f t="shared" si="113"/>
        <v>0</v>
      </c>
      <c r="AU323" s="141">
        <f t="shared" si="113"/>
        <v>0</v>
      </c>
      <c r="AV323" s="141">
        <f t="shared" si="113"/>
        <v>0</v>
      </c>
      <c r="AW323" s="141">
        <f t="shared" si="113"/>
        <v>0</v>
      </c>
      <c r="AX323" s="141">
        <f t="shared" si="113"/>
        <v>0</v>
      </c>
      <c r="AY323" s="141">
        <f t="shared" si="111"/>
        <v>0</v>
      </c>
      <c r="AZ323" s="22" t="s">
        <v>180</v>
      </c>
    </row>
    <row r="324" spans="1:52">
      <c r="A324" s="141" t="s">
        <v>206</v>
      </c>
      <c r="B324" s="141">
        <f t="shared" ref="B324:Y332" si="117">IF(IFERROR(FIND($A$301,B27,1),0)=0,0,1)</f>
        <v>0</v>
      </c>
      <c r="C324" s="141">
        <f t="shared" si="117"/>
        <v>0</v>
      </c>
      <c r="D324" s="141">
        <f t="shared" si="117"/>
        <v>0</v>
      </c>
      <c r="E324" s="141">
        <f t="shared" si="117"/>
        <v>0</v>
      </c>
      <c r="F324" s="141">
        <f t="shared" si="117"/>
        <v>0</v>
      </c>
      <c r="G324" s="141">
        <f t="shared" si="117"/>
        <v>0</v>
      </c>
      <c r="H324" s="141">
        <f t="shared" si="117"/>
        <v>0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0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0</v>
      </c>
      <c r="S324" s="141">
        <f t="shared" si="117"/>
        <v>0</v>
      </c>
      <c r="T324" s="141">
        <f t="shared" si="117"/>
        <v>0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0</v>
      </c>
      <c r="Y324" s="141">
        <f t="shared" si="117"/>
        <v>0</v>
      </c>
      <c r="AA324" s="141">
        <f t="shared" si="115"/>
        <v>0</v>
      </c>
      <c r="AB324" s="141">
        <f t="shared" si="115"/>
        <v>0</v>
      </c>
      <c r="AC324" s="141">
        <f t="shared" si="115"/>
        <v>0</v>
      </c>
      <c r="AD324" s="141">
        <f t="shared" si="115"/>
        <v>0</v>
      </c>
      <c r="AE324" s="141">
        <f t="shared" si="115"/>
        <v>0</v>
      </c>
      <c r="AF324" s="141">
        <f t="shared" si="115"/>
        <v>0</v>
      </c>
      <c r="AG324" s="141">
        <f t="shared" si="115"/>
        <v>0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0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0</v>
      </c>
      <c r="AR324" s="141">
        <f t="shared" si="113"/>
        <v>0</v>
      </c>
      <c r="AS324" s="141">
        <f t="shared" si="113"/>
        <v>0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0</v>
      </c>
      <c r="AX324" s="141">
        <f t="shared" si="113"/>
        <v>0</v>
      </c>
      <c r="AY324" s="141">
        <f t="shared" si="111"/>
        <v>0</v>
      </c>
      <c r="AZ324" s="22" t="s">
        <v>180</v>
      </c>
    </row>
    <row r="325" spans="1:52">
      <c r="A325" s="141" t="s">
        <v>207</v>
      </c>
      <c r="B325" s="141">
        <f t="shared" si="117"/>
        <v>0</v>
      </c>
      <c r="C325" s="141">
        <f t="shared" si="117"/>
        <v>0</v>
      </c>
      <c r="D325" s="141">
        <f t="shared" si="117"/>
        <v>0</v>
      </c>
      <c r="E325" s="141">
        <f t="shared" si="117"/>
        <v>0</v>
      </c>
      <c r="F325" s="141">
        <f t="shared" si="117"/>
        <v>0</v>
      </c>
      <c r="G325" s="141">
        <f t="shared" si="117"/>
        <v>0</v>
      </c>
      <c r="H325" s="141">
        <f t="shared" si="117"/>
        <v>0</v>
      </c>
      <c r="I325" s="141">
        <f t="shared" si="117"/>
        <v>0</v>
      </c>
      <c r="J325" s="141">
        <f t="shared" si="117"/>
        <v>0</v>
      </c>
      <c r="K325" s="141">
        <f t="shared" si="117"/>
        <v>0</v>
      </c>
      <c r="L325" s="141">
        <f t="shared" si="117"/>
        <v>0</v>
      </c>
      <c r="M325" s="141">
        <f t="shared" si="117"/>
        <v>0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0</v>
      </c>
      <c r="T325" s="141">
        <f t="shared" si="117"/>
        <v>0</v>
      </c>
      <c r="U325" s="141">
        <f t="shared" si="117"/>
        <v>0</v>
      </c>
      <c r="V325" s="141">
        <f t="shared" si="117"/>
        <v>0</v>
      </c>
      <c r="W325" s="141">
        <f t="shared" si="117"/>
        <v>0</v>
      </c>
      <c r="X325" s="141">
        <f t="shared" si="117"/>
        <v>0</v>
      </c>
      <c r="Y325" s="141">
        <f t="shared" si="117"/>
        <v>0</v>
      </c>
      <c r="AA325" s="141">
        <f t="shared" si="115"/>
        <v>0</v>
      </c>
      <c r="AB325" s="141">
        <f t="shared" si="115"/>
        <v>0</v>
      </c>
      <c r="AC325" s="141">
        <f t="shared" si="115"/>
        <v>0</v>
      </c>
      <c r="AD325" s="141">
        <f t="shared" si="115"/>
        <v>0</v>
      </c>
      <c r="AE325" s="141">
        <f t="shared" si="115"/>
        <v>0</v>
      </c>
      <c r="AF325" s="141">
        <f t="shared" si="115"/>
        <v>0</v>
      </c>
      <c r="AG325" s="141">
        <f t="shared" si="115"/>
        <v>0</v>
      </c>
      <c r="AH325" s="141">
        <f t="shared" si="115"/>
        <v>0</v>
      </c>
      <c r="AI325" s="141">
        <f t="shared" si="115"/>
        <v>0</v>
      </c>
      <c r="AJ325" s="141">
        <f t="shared" si="115"/>
        <v>0</v>
      </c>
      <c r="AK325" s="141">
        <f t="shared" si="115"/>
        <v>0</v>
      </c>
      <c r="AL325" s="141">
        <f t="shared" si="115"/>
        <v>0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0</v>
      </c>
      <c r="AS325" s="141">
        <f t="shared" si="113"/>
        <v>0</v>
      </c>
      <c r="AT325" s="141">
        <f t="shared" si="113"/>
        <v>0</v>
      </c>
      <c r="AU325" s="141">
        <f t="shared" si="113"/>
        <v>0</v>
      </c>
      <c r="AV325" s="141">
        <f t="shared" si="113"/>
        <v>0</v>
      </c>
      <c r="AW325" s="141">
        <f t="shared" si="113"/>
        <v>0</v>
      </c>
      <c r="AX325" s="141">
        <f t="shared" si="113"/>
        <v>0</v>
      </c>
      <c r="AY325" s="141">
        <f t="shared" si="111"/>
        <v>0</v>
      </c>
      <c r="AZ325" s="22" t="s">
        <v>180</v>
      </c>
    </row>
    <row r="326" spans="1:52">
      <c r="A326" s="141" t="s">
        <v>208</v>
      </c>
      <c r="B326" s="141">
        <f t="shared" si="117"/>
        <v>0</v>
      </c>
      <c r="C326" s="141">
        <f t="shared" si="117"/>
        <v>0</v>
      </c>
      <c r="D326" s="141">
        <f t="shared" si="117"/>
        <v>0</v>
      </c>
      <c r="E326" s="141">
        <f t="shared" si="117"/>
        <v>0</v>
      </c>
      <c r="F326" s="141">
        <f t="shared" si="117"/>
        <v>0</v>
      </c>
      <c r="G326" s="141">
        <f t="shared" si="117"/>
        <v>0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0</v>
      </c>
      <c r="N326" s="141">
        <f t="shared" si="117"/>
        <v>0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0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0</v>
      </c>
      <c r="AA326" s="141">
        <f t="shared" si="115"/>
        <v>0</v>
      </c>
      <c r="AB326" s="141">
        <f t="shared" si="115"/>
        <v>0</v>
      </c>
      <c r="AC326" s="141">
        <f t="shared" si="115"/>
        <v>0</v>
      </c>
      <c r="AD326" s="141">
        <f t="shared" si="115"/>
        <v>0</v>
      </c>
      <c r="AE326" s="141">
        <f t="shared" si="115"/>
        <v>0</v>
      </c>
      <c r="AF326" s="141">
        <f t="shared" si="115"/>
        <v>0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0</v>
      </c>
      <c r="AM326" s="141">
        <f t="shared" si="115"/>
        <v>0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0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0</v>
      </c>
      <c r="AY326" s="141">
        <f t="shared" si="111"/>
        <v>0</v>
      </c>
      <c r="AZ326" s="22" t="s">
        <v>180</v>
      </c>
    </row>
    <row r="327" spans="1:52">
      <c r="A327" s="141" t="s">
        <v>209</v>
      </c>
      <c r="B327" s="141">
        <f t="shared" si="117"/>
        <v>0</v>
      </c>
      <c r="C327" s="141">
        <f t="shared" si="117"/>
        <v>0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0</v>
      </c>
      <c r="H327" s="141">
        <f t="shared" si="117"/>
        <v>0</v>
      </c>
      <c r="I327" s="141">
        <f t="shared" si="117"/>
        <v>0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0</v>
      </c>
      <c r="N327" s="141">
        <f t="shared" si="117"/>
        <v>0</v>
      </c>
      <c r="O327" s="141">
        <f t="shared" si="117"/>
        <v>0</v>
      </c>
      <c r="P327" s="141">
        <f t="shared" si="117"/>
        <v>0</v>
      </c>
      <c r="Q327" s="141">
        <f t="shared" si="117"/>
        <v>0</v>
      </c>
      <c r="R327" s="141">
        <f t="shared" si="117"/>
        <v>0</v>
      </c>
      <c r="S327" s="141">
        <f t="shared" si="117"/>
        <v>0</v>
      </c>
      <c r="T327" s="141">
        <f t="shared" si="117"/>
        <v>0</v>
      </c>
      <c r="U327" s="141">
        <f t="shared" si="117"/>
        <v>0</v>
      </c>
      <c r="V327" s="141">
        <f t="shared" si="117"/>
        <v>0</v>
      </c>
      <c r="W327" s="141">
        <f t="shared" si="117"/>
        <v>0</v>
      </c>
      <c r="X327" s="141">
        <f t="shared" si="117"/>
        <v>0</v>
      </c>
      <c r="Y327" s="141">
        <f t="shared" si="117"/>
        <v>0</v>
      </c>
      <c r="AA327" s="141">
        <f t="shared" si="115"/>
        <v>0</v>
      </c>
      <c r="AB327" s="141">
        <f t="shared" si="115"/>
        <v>0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0</v>
      </c>
      <c r="AG327" s="141">
        <f t="shared" si="115"/>
        <v>0</v>
      </c>
      <c r="AH327" s="141">
        <f t="shared" si="115"/>
        <v>0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</v>
      </c>
      <c r="AM327" s="141">
        <f t="shared" si="115"/>
        <v>0</v>
      </c>
      <c r="AN327" s="141">
        <f t="shared" si="115"/>
        <v>0</v>
      </c>
      <c r="AO327" s="141">
        <f t="shared" si="115"/>
        <v>0</v>
      </c>
      <c r="AP327" s="141">
        <f t="shared" si="113"/>
        <v>0</v>
      </c>
      <c r="AQ327" s="141">
        <f t="shared" si="113"/>
        <v>0</v>
      </c>
      <c r="AR327" s="141">
        <f t="shared" si="113"/>
        <v>0</v>
      </c>
      <c r="AS327" s="141">
        <f t="shared" si="113"/>
        <v>0</v>
      </c>
      <c r="AT327" s="141">
        <f t="shared" si="113"/>
        <v>0</v>
      </c>
      <c r="AU327" s="141">
        <f t="shared" si="113"/>
        <v>0</v>
      </c>
      <c r="AV327" s="141">
        <f t="shared" si="113"/>
        <v>0</v>
      </c>
      <c r="AW327" s="141">
        <f t="shared" si="113"/>
        <v>0</v>
      </c>
      <c r="AX327" s="141">
        <f t="shared" si="113"/>
        <v>0</v>
      </c>
      <c r="AY327" s="141">
        <f t="shared" si="111"/>
        <v>0</v>
      </c>
      <c r="AZ327" s="22" t="s">
        <v>180</v>
      </c>
    </row>
    <row r="328" spans="1:52">
      <c r="A328" s="141" t="s">
        <v>210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0</v>
      </c>
      <c r="F328" s="141">
        <f t="shared" si="117"/>
        <v>0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0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0</v>
      </c>
      <c r="AE328" s="141">
        <f t="shared" si="115"/>
        <v>0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0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0</v>
      </c>
      <c r="AZ328" s="22" t="s">
        <v>180</v>
      </c>
    </row>
    <row r="329" spans="1:52">
      <c r="A329" s="141" t="s">
        <v>211</v>
      </c>
      <c r="B329" s="141">
        <f t="shared" si="117"/>
        <v>0</v>
      </c>
      <c r="C329" s="141">
        <f t="shared" si="117"/>
        <v>0</v>
      </c>
      <c r="D329" s="141">
        <f t="shared" si="117"/>
        <v>0</v>
      </c>
      <c r="E329" s="141">
        <f t="shared" si="117"/>
        <v>0</v>
      </c>
      <c r="F329" s="141">
        <f t="shared" si="117"/>
        <v>0</v>
      </c>
      <c r="G329" s="141">
        <f t="shared" si="117"/>
        <v>0</v>
      </c>
      <c r="H329" s="141">
        <f t="shared" si="117"/>
        <v>0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0</v>
      </c>
      <c r="N329" s="141">
        <f t="shared" si="117"/>
        <v>0</v>
      </c>
      <c r="O329" s="141">
        <f t="shared" si="117"/>
        <v>0</v>
      </c>
      <c r="P329" s="141">
        <f t="shared" si="117"/>
        <v>0</v>
      </c>
      <c r="Q329" s="141">
        <f t="shared" si="117"/>
        <v>0</v>
      </c>
      <c r="R329" s="141">
        <f t="shared" si="117"/>
        <v>0</v>
      </c>
      <c r="S329" s="141">
        <f t="shared" si="117"/>
        <v>0</v>
      </c>
      <c r="T329" s="141">
        <f t="shared" si="117"/>
        <v>0</v>
      </c>
      <c r="U329" s="141">
        <f t="shared" si="117"/>
        <v>0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0</v>
      </c>
      <c r="AA329" s="141">
        <f t="shared" ref="AA329:AP332" si="119">IF(B329=0,0,B329/AA32)</f>
        <v>0</v>
      </c>
      <c r="AB329" s="141">
        <f t="shared" si="119"/>
        <v>0</v>
      </c>
      <c r="AC329" s="141">
        <f t="shared" si="119"/>
        <v>0</v>
      </c>
      <c r="AD329" s="141">
        <f t="shared" si="119"/>
        <v>0</v>
      </c>
      <c r="AE329" s="141">
        <f t="shared" si="119"/>
        <v>0</v>
      </c>
      <c r="AF329" s="141">
        <f t="shared" si="119"/>
        <v>0</v>
      </c>
      <c r="AG329" s="141">
        <f t="shared" si="119"/>
        <v>0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0</v>
      </c>
      <c r="AM329" s="141">
        <f t="shared" si="119"/>
        <v>0</v>
      </c>
      <c r="AN329" s="141">
        <f t="shared" si="119"/>
        <v>0</v>
      </c>
      <c r="AO329" s="141">
        <f t="shared" si="119"/>
        <v>0</v>
      </c>
      <c r="AP329" s="141">
        <f t="shared" si="119"/>
        <v>0</v>
      </c>
      <c r="AQ329" s="141">
        <f t="shared" si="118"/>
        <v>0</v>
      </c>
      <c r="AR329" s="141">
        <f t="shared" si="118"/>
        <v>0</v>
      </c>
      <c r="AS329" s="141">
        <f t="shared" si="118"/>
        <v>0</v>
      </c>
      <c r="AT329" s="141">
        <f t="shared" si="118"/>
        <v>0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0</v>
      </c>
      <c r="AY329" s="141">
        <f t="shared" si="111"/>
        <v>0</v>
      </c>
      <c r="AZ329" s="22" t="s">
        <v>180</v>
      </c>
    </row>
    <row r="330" spans="1:52">
      <c r="A330" s="141" t="s">
        <v>212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0</v>
      </c>
      <c r="G330" s="141">
        <f t="shared" si="117"/>
        <v>0</v>
      </c>
      <c r="H330" s="141">
        <f t="shared" si="117"/>
        <v>0</v>
      </c>
      <c r="I330" s="141">
        <f t="shared" si="117"/>
        <v>0</v>
      </c>
      <c r="J330" s="141">
        <f t="shared" si="117"/>
        <v>0</v>
      </c>
      <c r="K330" s="141">
        <f t="shared" si="117"/>
        <v>0</v>
      </c>
      <c r="L330" s="141">
        <f t="shared" si="117"/>
        <v>0</v>
      </c>
      <c r="M330" s="141">
        <f t="shared" si="117"/>
        <v>0</v>
      </c>
      <c r="N330" s="141">
        <f t="shared" si="117"/>
        <v>0</v>
      </c>
      <c r="O330" s="141">
        <f t="shared" si="117"/>
        <v>0</v>
      </c>
      <c r="P330" s="141">
        <f t="shared" si="117"/>
        <v>0</v>
      </c>
      <c r="Q330" s="141">
        <f t="shared" si="117"/>
        <v>0</v>
      </c>
      <c r="R330" s="141">
        <f t="shared" si="117"/>
        <v>0</v>
      </c>
      <c r="S330" s="141">
        <f t="shared" si="117"/>
        <v>0</v>
      </c>
      <c r="T330" s="141">
        <f t="shared" si="117"/>
        <v>0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0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0</v>
      </c>
      <c r="AF330" s="141">
        <f t="shared" si="119"/>
        <v>0</v>
      </c>
      <c r="AG330" s="141">
        <f t="shared" si="119"/>
        <v>0</v>
      </c>
      <c r="AH330" s="141">
        <f t="shared" si="119"/>
        <v>0</v>
      </c>
      <c r="AI330" s="141">
        <f t="shared" si="119"/>
        <v>0</v>
      </c>
      <c r="AJ330" s="141">
        <f t="shared" si="119"/>
        <v>0</v>
      </c>
      <c r="AK330" s="141">
        <f t="shared" si="119"/>
        <v>0</v>
      </c>
      <c r="AL330" s="141">
        <f t="shared" si="119"/>
        <v>0</v>
      </c>
      <c r="AM330" s="141">
        <f t="shared" si="119"/>
        <v>0</v>
      </c>
      <c r="AN330" s="141">
        <f t="shared" si="119"/>
        <v>0</v>
      </c>
      <c r="AO330" s="141">
        <f t="shared" si="119"/>
        <v>0</v>
      </c>
      <c r="AP330" s="141">
        <f t="shared" si="119"/>
        <v>0</v>
      </c>
      <c r="AQ330" s="141">
        <f t="shared" si="118"/>
        <v>0</v>
      </c>
      <c r="AR330" s="141">
        <f t="shared" si="118"/>
        <v>0</v>
      </c>
      <c r="AS330" s="141">
        <f t="shared" si="118"/>
        <v>0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0</v>
      </c>
      <c r="AX330" s="141">
        <f t="shared" si="118"/>
        <v>0</v>
      </c>
      <c r="AY330" s="141">
        <f t="shared" si="111"/>
        <v>0</v>
      </c>
      <c r="AZ330" s="22" t="s">
        <v>180</v>
      </c>
    </row>
    <row r="331" spans="1:52">
      <c r="A331" s="141" t="s">
        <v>213</v>
      </c>
      <c r="B331" s="141">
        <f t="shared" si="117"/>
        <v>0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0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0</v>
      </c>
      <c r="R331" s="141">
        <f t="shared" si="117"/>
        <v>0</v>
      </c>
      <c r="S331" s="141">
        <f t="shared" si="117"/>
        <v>0</v>
      </c>
      <c r="T331" s="141">
        <f t="shared" si="117"/>
        <v>0</v>
      </c>
      <c r="U331" s="141">
        <f t="shared" si="117"/>
        <v>0</v>
      </c>
      <c r="V331" s="141">
        <f t="shared" si="117"/>
        <v>0</v>
      </c>
      <c r="W331" s="141">
        <f t="shared" si="117"/>
        <v>0</v>
      </c>
      <c r="X331" s="141">
        <f t="shared" si="117"/>
        <v>0</v>
      </c>
      <c r="Y331" s="141">
        <f t="shared" si="117"/>
        <v>0</v>
      </c>
      <c r="AA331" s="141">
        <f t="shared" si="119"/>
        <v>0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0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0</v>
      </c>
      <c r="AQ331" s="141">
        <f t="shared" si="118"/>
        <v>0</v>
      </c>
      <c r="AR331" s="141">
        <f t="shared" si="118"/>
        <v>0</v>
      </c>
      <c r="AS331" s="141">
        <f t="shared" si="118"/>
        <v>0</v>
      </c>
      <c r="AT331" s="141">
        <f t="shared" si="118"/>
        <v>0</v>
      </c>
      <c r="AU331" s="141">
        <f t="shared" si="118"/>
        <v>0</v>
      </c>
      <c r="AV331" s="141">
        <f t="shared" si="118"/>
        <v>0</v>
      </c>
      <c r="AW331" s="141">
        <f t="shared" si="118"/>
        <v>0</v>
      </c>
      <c r="AX331" s="141">
        <f t="shared" si="118"/>
        <v>0</v>
      </c>
      <c r="AY331" s="141">
        <f t="shared" si="111"/>
        <v>0</v>
      </c>
      <c r="AZ331" s="22" t="s">
        <v>180</v>
      </c>
    </row>
    <row r="332" spans="1:52">
      <c r="A332" s="141" t="s">
        <v>214</v>
      </c>
      <c r="B332" s="141">
        <f t="shared" si="117"/>
        <v>0</v>
      </c>
      <c r="C332" s="141">
        <f t="shared" si="117"/>
        <v>0</v>
      </c>
      <c r="D332" s="141">
        <f t="shared" si="117"/>
        <v>0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0</v>
      </c>
      <c r="R332" s="141">
        <f t="shared" si="117"/>
        <v>0</v>
      </c>
      <c r="S332" s="141">
        <f t="shared" si="117"/>
        <v>0</v>
      </c>
      <c r="T332" s="141">
        <f t="shared" si="117"/>
        <v>0</v>
      </c>
      <c r="U332" s="141">
        <f t="shared" si="117"/>
        <v>0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0</v>
      </c>
      <c r="AQ332" s="141">
        <f t="shared" si="118"/>
        <v>0</v>
      </c>
      <c r="AR332" s="141">
        <f t="shared" si="118"/>
        <v>0</v>
      </c>
      <c r="AS332" s="141">
        <f t="shared" si="118"/>
        <v>0</v>
      </c>
      <c r="AT332" s="141">
        <f t="shared" si="118"/>
        <v>0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0</v>
      </c>
      <c r="AZ332" s="22" t="s">
        <v>180</v>
      </c>
    </row>
    <row r="334" spans="1:52">
      <c r="A334" s="158" t="s">
        <v>181</v>
      </c>
    </row>
    <row r="335" spans="1:52">
      <c r="A335" s="141" t="s">
        <v>184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0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0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0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0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0</v>
      </c>
      <c r="AZ335" s="146" t="s">
        <v>181</v>
      </c>
    </row>
    <row r="336" spans="1:52">
      <c r="A336" s="141" t="s">
        <v>185</v>
      </c>
      <c r="B336" s="141">
        <f t="shared" si="120"/>
        <v>0</v>
      </c>
      <c r="C336" s="141">
        <f t="shared" si="120"/>
        <v>0</v>
      </c>
      <c r="D336" s="141">
        <f t="shared" si="120"/>
        <v>0</v>
      </c>
      <c r="E336" s="141">
        <f t="shared" si="120"/>
        <v>0</v>
      </c>
      <c r="F336" s="141">
        <f t="shared" si="120"/>
        <v>0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0</v>
      </c>
      <c r="AD336" s="141">
        <f t="shared" si="121"/>
        <v>0</v>
      </c>
      <c r="AE336" s="141">
        <f t="shared" si="121"/>
        <v>0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0</v>
      </c>
      <c r="AZ336" s="146" t="s">
        <v>181</v>
      </c>
    </row>
    <row r="337" spans="1:52">
      <c r="A337" s="141" t="s">
        <v>186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0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0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0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0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0</v>
      </c>
      <c r="AZ337" s="146" t="s">
        <v>181</v>
      </c>
    </row>
    <row r="338" spans="1:52">
      <c r="A338" s="141" t="s">
        <v>187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0</v>
      </c>
      <c r="F338" s="141">
        <f t="shared" si="120"/>
        <v>0</v>
      </c>
      <c r="G338" s="141">
        <f t="shared" si="120"/>
        <v>0</v>
      </c>
      <c r="H338" s="141">
        <f t="shared" si="120"/>
        <v>0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0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0</v>
      </c>
      <c r="AE338" s="141">
        <f t="shared" si="121"/>
        <v>0</v>
      </c>
      <c r="AF338" s="141">
        <f t="shared" si="121"/>
        <v>0</v>
      </c>
      <c r="AG338" s="141">
        <f t="shared" si="121"/>
        <v>0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0</v>
      </c>
      <c r="AY338" s="141">
        <f t="shared" si="122"/>
        <v>0</v>
      </c>
      <c r="AZ338" s="146" t="s">
        <v>181</v>
      </c>
    </row>
    <row r="339" spans="1:52">
      <c r="A339" s="141" t="s">
        <v>188</v>
      </c>
      <c r="B339" s="141">
        <f t="shared" si="120"/>
        <v>0</v>
      </c>
      <c r="C339" s="141">
        <f t="shared" si="120"/>
        <v>0</v>
      </c>
      <c r="D339" s="141">
        <f t="shared" si="120"/>
        <v>0</v>
      </c>
      <c r="E339" s="141">
        <f t="shared" si="120"/>
        <v>0</v>
      </c>
      <c r="F339" s="141">
        <f t="shared" si="120"/>
        <v>0</v>
      </c>
      <c r="G339" s="141">
        <f t="shared" si="120"/>
        <v>0</v>
      </c>
      <c r="H339" s="141">
        <f t="shared" si="120"/>
        <v>0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0</v>
      </c>
      <c r="AB339" s="141">
        <f t="shared" si="121"/>
        <v>0</v>
      </c>
      <c r="AC339" s="141">
        <f t="shared" si="121"/>
        <v>0</v>
      </c>
      <c r="AD339" s="141">
        <f t="shared" si="121"/>
        <v>0</v>
      </c>
      <c r="AE339" s="141">
        <f t="shared" si="121"/>
        <v>0</v>
      </c>
      <c r="AF339" s="141">
        <f t="shared" si="121"/>
        <v>0</v>
      </c>
      <c r="AG339" s="141">
        <f t="shared" si="121"/>
        <v>0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0</v>
      </c>
      <c r="AZ339" s="146" t="s">
        <v>181</v>
      </c>
    </row>
    <row r="340" spans="1:52">
      <c r="A340" s="141" t="s">
        <v>189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0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0</v>
      </c>
      <c r="AY340" s="141">
        <f t="shared" si="122"/>
        <v>0</v>
      </c>
      <c r="AZ340" s="146" t="s">
        <v>181</v>
      </c>
    </row>
    <row r="341" spans="1:52">
      <c r="A341" s="141" t="s">
        <v>190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0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0</v>
      </c>
      <c r="R341" s="141">
        <f t="shared" si="120"/>
        <v>0</v>
      </c>
      <c r="S341" s="141">
        <f t="shared" si="120"/>
        <v>0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0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0</v>
      </c>
      <c r="AQ341" s="141">
        <f t="shared" si="121"/>
        <v>0</v>
      </c>
      <c r="AR341" s="141">
        <f t="shared" si="121"/>
        <v>0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0</v>
      </c>
      <c r="AZ341" s="146" t="s">
        <v>181</v>
      </c>
    </row>
    <row r="342" spans="1:52">
      <c r="A342" s="141" t="s">
        <v>191</v>
      </c>
      <c r="B342" s="141">
        <f t="shared" si="120"/>
        <v>0</v>
      </c>
      <c r="C342" s="141">
        <f t="shared" si="120"/>
        <v>0</v>
      </c>
      <c r="D342" s="141">
        <f t="shared" si="120"/>
        <v>0</v>
      </c>
      <c r="E342" s="141">
        <f t="shared" si="120"/>
        <v>0</v>
      </c>
      <c r="F342" s="141">
        <f t="shared" si="120"/>
        <v>0</v>
      </c>
      <c r="G342" s="141">
        <f t="shared" si="120"/>
        <v>0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0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</v>
      </c>
      <c r="AD342" s="141">
        <f t="shared" si="121"/>
        <v>0</v>
      </c>
      <c r="AE342" s="141">
        <f t="shared" si="121"/>
        <v>0</v>
      </c>
      <c r="AF342" s="141">
        <f t="shared" si="121"/>
        <v>0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0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0</v>
      </c>
      <c r="AZ342" s="146" t="s">
        <v>181</v>
      </c>
    </row>
    <row r="343" spans="1:52">
      <c r="A343" s="141" t="s">
        <v>192</v>
      </c>
      <c r="B343" s="141">
        <f t="shared" si="120"/>
        <v>0</v>
      </c>
      <c r="C343" s="141">
        <f t="shared" si="120"/>
        <v>0</v>
      </c>
      <c r="D343" s="141">
        <f t="shared" si="120"/>
        <v>0</v>
      </c>
      <c r="E343" s="141">
        <f t="shared" si="120"/>
        <v>0</v>
      </c>
      <c r="F343" s="141">
        <f t="shared" si="120"/>
        <v>0</v>
      </c>
      <c r="G343" s="141">
        <f t="shared" si="120"/>
        <v>0</v>
      </c>
      <c r="H343" s="141">
        <f t="shared" si="120"/>
        <v>0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0</v>
      </c>
      <c r="S343" s="141">
        <f t="shared" si="120"/>
        <v>0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0</v>
      </c>
      <c r="AC343" s="141">
        <f t="shared" si="121"/>
        <v>0</v>
      </c>
      <c r="AD343" s="141">
        <f t="shared" si="121"/>
        <v>0</v>
      </c>
      <c r="AE343" s="141">
        <f t="shared" si="121"/>
        <v>0</v>
      </c>
      <c r="AF343" s="141">
        <f t="shared" si="121"/>
        <v>0</v>
      </c>
      <c r="AG343" s="141">
        <f t="shared" si="121"/>
        <v>0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0</v>
      </c>
      <c r="AR343" s="141">
        <f t="shared" si="121"/>
        <v>0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0</v>
      </c>
      <c r="AZ343" s="146" t="s">
        <v>181</v>
      </c>
    </row>
    <row r="344" spans="1:52">
      <c r="A344" s="141" t="s">
        <v>193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0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0</v>
      </c>
      <c r="S344" s="141">
        <f t="shared" si="120"/>
        <v>0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0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0</v>
      </c>
      <c r="AR344" s="141">
        <f t="shared" si="121"/>
        <v>0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0</v>
      </c>
      <c r="AZ344" s="146" t="s">
        <v>181</v>
      </c>
    </row>
    <row r="345" spans="1:52">
      <c r="A345" s="141" t="s">
        <v>194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0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0</v>
      </c>
      <c r="O345" s="141">
        <f t="shared" si="120"/>
        <v>0</v>
      </c>
      <c r="P345" s="141">
        <f t="shared" si="120"/>
        <v>0</v>
      </c>
      <c r="Q345" s="141">
        <f t="shared" ref="Q345:Y345" si="123">IF(IFERROR(FIND($A$334,Q15,1),0)=0,0,1)</f>
        <v>0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0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0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</v>
      </c>
      <c r="AN345" s="141">
        <f t="shared" si="121"/>
        <v>0</v>
      </c>
      <c r="AO345" s="141">
        <f t="shared" si="121"/>
        <v>0</v>
      </c>
      <c r="AP345" s="141">
        <f t="shared" ref="AP345:AX360" si="124">IF(Q345=0,0,Q345/AP15)</f>
        <v>0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0</v>
      </c>
      <c r="AY345" s="141">
        <f t="shared" si="122"/>
        <v>0</v>
      </c>
      <c r="AZ345" s="146" t="s">
        <v>181</v>
      </c>
    </row>
    <row r="346" spans="1:52">
      <c r="A346" s="141" t="s">
        <v>195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0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0</v>
      </c>
      <c r="M346" s="141">
        <f t="shared" si="125"/>
        <v>0</v>
      </c>
      <c r="N346" s="141">
        <f t="shared" si="125"/>
        <v>0</v>
      </c>
      <c r="O346" s="141">
        <f t="shared" si="125"/>
        <v>0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0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0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0</v>
      </c>
      <c r="AL346" s="141">
        <f t="shared" si="126"/>
        <v>0</v>
      </c>
      <c r="AM346" s="141">
        <f t="shared" si="126"/>
        <v>0</v>
      </c>
      <c r="AN346" s="141">
        <f t="shared" si="126"/>
        <v>0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0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0</v>
      </c>
      <c r="AZ346" s="146" t="s">
        <v>181</v>
      </c>
    </row>
    <row r="347" spans="1:52">
      <c r="A347" s="141" t="s">
        <v>196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181</v>
      </c>
    </row>
    <row r="348" spans="1:52">
      <c r="A348" s="141" t="s">
        <v>197</v>
      </c>
      <c r="B348" s="141">
        <f t="shared" si="125"/>
        <v>0</v>
      </c>
      <c r="C348" s="141">
        <f t="shared" si="125"/>
        <v>0</v>
      </c>
      <c r="D348" s="141">
        <f t="shared" si="125"/>
        <v>0</v>
      </c>
      <c r="E348" s="141">
        <f t="shared" si="125"/>
        <v>0</v>
      </c>
      <c r="F348" s="141">
        <f t="shared" si="125"/>
        <v>0</v>
      </c>
      <c r="G348" s="141">
        <f t="shared" si="125"/>
        <v>0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0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0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0</v>
      </c>
      <c r="AB348" s="141">
        <f t="shared" si="126"/>
        <v>0</v>
      </c>
      <c r="AC348" s="141">
        <f t="shared" si="126"/>
        <v>0</v>
      </c>
      <c r="AD348" s="141">
        <f t="shared" si="126"/>
        <v>0</v>
      </c>
      <c r="AE348" s="141">
        <f t="shared" si="126"/>
        <v>0</v>
      </c>
      <c r="AF348" s="141">
        <f t="shared" si="126"/>
        <v>0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0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0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0</v>
      </c>
      <c r="AZ348" s="146" t="s">
        <v>181</v>
      </c>
    </row>
    <row r="349" spans="1:52">
      <c r="A349" s="141" t="s">
        <v>198</v>
      </c>
      <c r="B349" s="141">
        <f t="shared" si="125"/>
        <v>0</v>
      </c>
      <c r="C349" s="141">
        <f t="shared" si="125"/>
        <v>0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0</v>
      </c>
      <c r="H349" s="141">
        <f t="shared" si="125"/>
        <v>0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0</v>
      </c>
      <c r="P349" s="141">
        <f t="shared" si="125"/>
        <v>0</v>
      </c>
      <c r="Q349" s="141">
        <f t="shared" si="125"/>
        <v>0</v>
      </c>
      <c r="R349" s="141">
        <f t="shared" si="125"/>
        <v>0</v>
      </c>
      <c r="S349" s="141">
        <f t="shared" si="125"/>
        <v>0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0</v>
      </c>
      <c r="Y349" s="141">
        <f t="shared" si="125"/>
        <v>0</v>
      </c>
      <c r="AA349" s="141">
        <f t="shared" si="126"/>
        <v>0</v>
      </c>
      <c r="AB349" s="141">
        <f t="shared" si="126"/>
        <v>0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0</v>
      </c>
      <c r="AG349" s="141">
        <f t="shared" si="126"/>
        <v>0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0</v>
      </c>
      <c r="AO349" s="141">
        <f t="shared" si="126"/>
        <v>0</v>
      </c>
      <c r="AP349" s="141">
        <f t="shared" si="124"/>
        <v>0</v>
      </c>
      <c r="AQ349" s="141">
        <f t="shared" si="124"/>
        <v>0</v>
      </c>
      <c r="AR349" s="141">
        <f t="shared" si="124"/>
        <v>0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0</v>
      </c>
      <c r="AX349" s="141">
        <f t="shared" si="124"/>
        <v>0</v>
      </c>
      <c r="AY349" s="141">
        <f t="shared" si="122"/>
        <v>0</v>
      </c>
      <c r="AZ349" s="146" t="s">
        <v>181</v>
      </c>
    </row>
    <row r="350" spans="1:52">
      <c r="A350" s="141" t="s">
        <v>199</v>
      </c>
      <c r="B350" s="141">
        <f t="shared" si="125"/>
        <v>0</v>
      </c>
      <c r="C350" s="141">
        <f t="shared" si="125"/>
        <v>0</v>
      </c>
      <c r="D350" s="141">
        <f t="shared" si="125"/>
        <v>0</v>
      </c>
      <c r="E350" s="141">
        <f t="shared" si="125"/>
        <v>0</v>
      </c>
      <c r="F350" s="141">
        <f t="shared" si="125"/>
        <v>0</v>
      </c>
      <c r="G350" s="141">
        <f t="shared" si="125"/>
        <v>0</v>
      </c>
      <c r="H350" s="141">
        <f t="shared" si="125"/>
        <v>0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0</v>
      </c>
      <c r="AB350" s="141">
        <f t="shared" si="126"/>
        <v>0</v>
      </c>
      <c r="AC350" s="141">
        <f t="shared" si="126"/>
        <v>0</v>
      </c>
      <c r="AD350" s="141">
        <f t="shared" si="126"/>
        <v>0</v>
      </c>
      <c r="AE350" s="141">
        <f t="shared" si="126"/>
        <v>0</v>
      </c>
      <c r="AF350" s="141">
        <f t="shared" si="126"/>
        <v>0</v>
      </c>
      <c r="AG350" s="141">
        <f t="shared" si="126"/>
        <v>0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0</v>
      </c>
      <c r="AZ350" s="146" t="s">
        <v>181</v>
      </c>
    </row>
    <row r="351" spans="1:52">
      <c r="A351" s="141" t="s">
        <v>200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181</v>
      </c>
    </row>
    <row r="352" spans="1:52">
      <c r="A352" s="141" t="s">
        <v>201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0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0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0</v>
      </c>
      <c r="AZ352" s="146" t="s">
        <v>181</v>
      </c>
    </row>
    <row r="353" spans="1:52">
      <c r="A353" s="141" t="s">
        <v>202</v>
      </c>
      <c r="B353" s="141">
        <f t="shared" si="125"/>
        <v>0</v>
      </c>
      <c r="C353" s="141">
        <f t="shared" si="125"/>
        <v>0</v>
      </c>
      <c r="D353" s="141">
        <f t="shared" si="125"/>
        <v>0</v>
      </c>
      <c r="E353" s="141">
        <f t="shared" si="125"/>
        <v>0</v>
      </c>
      <c r="F353" s="141">
        <f t="shared" si="125"/>
        <v>0</v>
      </c>
      <c r="G353" s="141">
        <f t="shared" si="125"/>
        <v>0</v>
      </c>
      <c r="H353" s="141">
        <f t="shared" si="125"/>
        <v>0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0</v>
      </c>
      <c r="Q353" s="141">
        <f t="shared" si="125"/>
        <v>0</v>
      </c>
      <c r="R353" s="141">
        <f t="shared" si="125"/>
        <v>0</v>
      </c>
      <c r="S353" s="141">
        <f t="shared" si="125"/>
        <v>0</v>
      </c>
      <c r="T353" s="141">
        <f t="shared" si="125"/>
        <v>0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0</v>
      </c>
      <c r="AD353" s="141">
        <f t="shared" si="126"/>
        <v>0</v>
      </c>
      <c r="AE353" s="141">
        <f t="shared" si="126"/>
        <v>0</v>
      </c>
      <c r="AF353" s="141">
        <f t="shared" si="126"/>
        <v>0</v>
      </c>
      <c r="AG353" s="141">
        <f t="shared" si="126"/>
        <v>0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0</v>
      </c>
      <c r="AP353" s="141">
        <f t="shared" si="124"/>
        <v>0</v>
      </c>
      <c r="AQ353" s="141">
        <f t="shared" si="124"/>
        <v>0</v>
      </c>
      <c r="AR353" s="141">
        <f t="shared" si="124"/>
        <v>0</v>
      </c>
      <c r="AS353" s="141">
        <f t="shared" si="124"/>
        <v>0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0</v>
      </c>
      <c r="AZ353" s="146" t="s">
        <v>181</v>
      </c>
    </row>
    <row r="354" spans="1:52">
      <c r="A354" s="141" t="s">
        <v>203</v>
      </c>
      <c r="B354" s="141">
        <f t="shared" si="125"/>
        <v>0</v>
      </c>
      <c r="C354" s="141">
        <f t="shared" si="125"/>
        <v>0</v>
      </c>
      <c r="D354" s="141">
        <f t="shared" si="125"/>
        <v>0</v>
      </c>
      <c r="E354" s="141">
        <f t="shared" si="125"/>
        <v>0</v>
      </c>
      <c r="F354" s="141">
        <f t="shared" si="125"/>
        <v>0</v>
      </c>
      <c r="G354" s="141">
        <f t="shared" si="125"/>
        <v>0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0</v>
      </c>
      <c r="Q354" s="141">
        <f t="shared" si="125"/>
        <v>0</v>
      </c>
      <c r="R354" s="141">
        <f t="shared" si="125"/>
        <v>0</v>
      </c>
      <c r="S354" s="141">
        <f t="shared" si="125"/>
        <v>0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</v>
      </c>
      <c r="AC354" s="141">
        <f t="shared" si="126"/>
        <v>0</v>
      </c>
      <c r="AD354" s="141">
        <f t="shared" si="126"/>
        <v>0</v>
      </c>
      <c r="AE354" s="141">
        <f t="shared" si="126"/>
        <v>0</v>
      </c>
      <c r="AF354" s="141">
        <f t="shared" si="126"/>
        <v>0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0</v>
      </c>
      <c r="AP354" s="141">
        <f t="shared" si="124"/>
        <v>0</v>
      </c>
      <c r="AQ354" s="141">
        <f t="shared" si="124"/>
        <v>0</v>
      </c>
      <c r="AR354" s="141">
        <f t="shared" si="124"/>
        <v>0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0</v>
      </c>
      <c r="AZ354" s="146" t="s">
        <v>181</v>
      </c>
    </row>
    <row r="355" spans="1:52">
      <c r="A355" s="141" t="s">
        <v>204</v>
      </c>
      <c r="B355" s="141">
        <f t="shared" si="125"/>
        <v>0</v>
      </c>
      <c r="C355" s="141">
        <f t="shared" si="125"/>
        <v>0</v>
      </c>
      <c r="D355" s="141">
        <f t="shared" si="125"/>
        <v>0</v>
      </c>
      <c r="E355" s="141">
        <f t="shared" si="125"/>
        <v>0</v>
      </c>
      <c r="F355" s="141">
        <f t="shared" si="125"/>
        <v>0</v>
      </c>
      <c r="G355" s="141">
        <f t="shared" si="125"/>
        <v>0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0</v>
      </c>
      <c r="R355" s="141">
        <f t="shared" si="125"/>
        <v>0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0</v>
      </c>
      <c r="AC355" s="141">
        <f t="shared" si="126"/>
        <v>0</v>
      </c>
      <c r="AD355" s="141">
        <f t="shared" si="126"/>
        <v>0</v>
      </c>
      <c r="AE355" s="141">
        <f t="shared" si="126"/>
        <v>0</v>
      </c>
      <c r="AF355" s="141">
        <f t="shared" si="126"/>
        <v>0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0</v>
      </c>
      <c r="AQ355" s="141">
        <f t="shared" si="124"/>
        <v>0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0</v>
      </c>
      <c r="AZ355" s="146" t="s">
        <v>181</v>
      </c>
    </row>
    <row r="356" spans="1:52">
      <c r="A356" s="141" t="s">
        <v>205</v>
      </c>
      <c r="B356" s="141">
        <f t="shared" si="125"/>
        <v>0</v>
      </c>
      <c r="C356" s="141">
        <f t="shared" si="125"/>
        <v>0</v>
      </c>
      <c r="D356" s="141">
        <f t="shared" si="125"/>
        <v>0</v>
      </c>
      <c r="E356" s="141">
        <f t="shared" si="125"/>
        <v>0</v>
      </c>
      <c r="F356" s="141">
        <f t="shared" si="125"/>
        <v>0</v>
      </c>
      <c r="G356" s="141">
        <f t="shared" si="125"/>
        <v>0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0</v>
      </c>
      <c r="T356" s="141">
        <f t="shared" si="127"/>
        <v>0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0</v>
      </c>
      <c r="AC356" s="141">
        <f t="shared" si="126"/>
        <v>0</v>
      </c>
      <c r="AD356" s="141">
        <f t="shared" si="126"/>
        <v>0</v>
      </c>
      <c r="AE356" s="141">
        <f t="shared" si="126"/>
        <v>0</v>
      </c>
      <c r="AF356" s="141">
        <f t="shared" si="126"/>
        <v>0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0</v>
      </c>
      <c r="AS356" s="141">
        <f t="shared" si="124"/>
        <v>0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0</v>
      </c>
      <c r="AZ356" s="146" t="s">
        <v>181</v>
      </c>
    </row>
    <row r="357" spans="1:52">
      <c r="A357" s="141" t="s">
        <v>206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181</v>
      </c>
    </row>
    <row r="358" spans="1:52">
      <c r="A358" s="141" t="s">
        <v>207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0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0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0</v>
      </c>
      <c r="AZ358" s="146" t="s">
        <v>181</v>
      </c>
    </row>
    <row r="359" spans="1:52">
      <c r="A359" s="141" t="s">
        <v>208</v>
      </c>
      <c r="B359" s="141">
        <f t="shared" si="128"/>
        <v>0</v>
      </c>
      <c r="C359" s="141">
        <f t="shared" si="128"/>
        <v>0</v>
      </c>
      <c r="D359" s="141">
        <f t="shared" si="128"/>
        <v>0</v>
      </c>
      <c r="E359" s="141">
        <f t="shared" si="128"/>
        <v>0</v>
      </c>
      <c r="F359" s="141">
        <f t="shared" si="128"/>
        <v>0</v>
      </c>
      <c r="G359" s="141">
        <f t="shared" si="128"/>
        <v>0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0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0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0</v>
      </c>
      <c r="AD359" s="141">
        <f t="shared" si="126"/>
        <v>0</v>
      </c>
      <c r="AE359" s="141">
        <f t="shared" si="126"/>
        <v>0</v>
      </c>
      <c r="AF359" s="141">
        <f t="shared" si="126"/>
        <v>0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0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0</v>
      </c>
      <c r="AW359" s="141">
        <f t="shared" si="124"/>
        <v>0</v>
      </c>
      <c r="AX359" s="141">
        <f t="shared" si="124"/>
        <v>0</v>
      </c>
      <c r="AY359" s="141">
        <f t="shared" si="122"/>
        <v>0</v>
      </c>
      <c r="AZ359" s="146" t="s">
        <v>181</v>
      </c>
    </row>
    <row r="360" spans="1:52">
      <c r="A360" s="141" t="s">
        <v>209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0</v>
      </c>
      <c r="R360" s="141">
        <f t="shared" si="128"/>
        <v>0</v>
      </c>
      <c r="S360" s="141">
        <f t="shared" si="128"/>
        <v>0</v>
      </c>
      <c r="T360" s="141">
        <f t="shared" si="128"/>
        <v>0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0</v>
      </c>
      <c r="AQ360" s="141">
        <f t="shared" si="124"/>
        <v>0</v>
      </c>
      <c r="AR360" s="141">
        <f t="shared" si="124"/>
        <v>0</v>
      </c>
      <c r="AS360" s="141">
        <f t="shared" si="124"/>
        <v>0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0</v>
      </c>
      <c r="AZ360" s="146" t="s">
        <v>181</v>
      </c>
    </row>
    <row r="361" spans="1:52">
      <c r="A361" s="141" t="s">
        <v>210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0</v>
      </c>
      <c r="S361" s="141">
        <f t="shared" si="128"/>
        <v>0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0</v>
      </c>
      <c r="AR361" s="141">
        <f t="shared" si="129"/>
        <v>0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0</v>
      </c>
      <c r="AZ361" s="146" t="s">
        <v>181</v>
      </c>
    </row>
    <row r="362" spans="1:52">
      <c r="A362" s="141" t="s">
        <v>211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181</v>
      </c>
    </row>
    <row r="363" spans="1:52">
      <c r="A363" s="141" t="s">
        <v>212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181</v>
      </c>
    </row>
    <row r="364" spans="1:52">
      <c r="A364" s="141" t="s">
        <v>213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181</v>
      </c>
    </row>
    <row r="365" spans="1:52">
      <c r="A365" s="141" t="s">
        <v>214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181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N17" sqref="N17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Octubre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0" t="s">
        <v>43</v>
      </c>
    </row>
    <row r="8" spans="3:12" ht="10.5" customHeight="1">
      <c r="C8" s="290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B2" zoomScaleNormal="100" workbookViewId="0">
      <selection activeCell="L8" sqref="L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Octubre 2020</v>
      </c>
    </row>
    <row r="4" spans="2:11" s="2" customFormat="1" ht="19.899999999999999" customHeight="1">
      <c r="B4" s="3"/>
      <c r="C4" s="164" t="s">
        <v>35</v>
      </c>
      <c r="H4" s="1"/>
      <c r="I4" s="1"/>
      <c r="J4" s="1"/>
      <c r="K4" s="1"/>
    </row>
    <row r="5" spans="2:11" s="2" customFormat="1" ht="12.6" customHeight="1">
      <c r="B5" s="3"/>
      <c r="C5" s="4"/>
      <c r="H5" s="1"/>
      <c r="I5" s="1"/>
      <c r="J5" s="1"/>
      <c r="K5" s="1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90" t="s">
        <v>215</v>
      </c>
      <c r="D7" s="6"/>
      <c r="E7" s="7"/>
      <c r="H7" s="248"/>
    </row>
    <row r="8" spans="2:11" s="2" customFormat="1" ht="12.75" customHeight="1">
      <c r="B8" s="3"/>
      <c r="C8" s="290"/>
      <c r="D8" s="6"/>
      <c r="E8" s="7"/>
    </row>
    <row r="9" spans="2:11" s="2" customFormat="1" ht="12.75" customHeight="1">
      <c r="B9" s="3"/>
      <c r="C9" s="290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E28" sqref="E2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Octubre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0" t="s">
        <v>63</v>
      </c>
      <c r="D7" s="6"/>
      <c r="E7" s="14"/>
    </row>
    <row r="8" spans="2:19" s="2" customFormat="1" ht="12.75" customHeight="1">
      <c r="B8" s="3"/>
      <c r="C8" s="290"/>
      <c r="D8" s="6"/>
      <c r="E8" s="14"/>
    </row>
    <row r="9" spans="2:19" s="2" customFormat="1" ht="18" customHeight="1">
      <c r="B9" s="3"/>
      <c r="C9" s="290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8" sqref="J1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Octubre 2020</v>
      </c>
    </row>
    <row r="4" spans="1:8">
      <c r="B4" s="21" t="s">
        <v>35</v>
      </c>
    </row>
    <row r="7" spans="1:8" ht="12.75" customHeight="1">
      <c r="B7" s="291" t="s">
        <v>50</v>
      </c>
    </row>
    <row r="8" spans="1:8">
      <c r="B8" s="291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J22" sqref="J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Octubre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1" t="s">
        <v>32</v>
      </c>
      <c r="D7" s="6"/>
      <c r="E7" s="14"/>
    </row>
    <row r="8" spans="2:39" s="2" customFormat="1" ht="12.75" customHeight="1">
      <c r="B8" s="3"/>
      <c r="C8" s="291"/>
      <c r="D8" s="6"/>
      <c r="E8" s="14"/>
    </row>
    <row r="9" spans="2:39" s="2" customFormat="1" ht="12.75" customHeight="1">
      <c r="B9" s="3"/>
      <c r="C9" s="291"/>
      <c r="D9" s="6"/>
      <c r="E9" s="14"/>
    </row>
    <row r="10" spans="2:39" s="2" customFormat="1" ht="12.75" customHeight="1">
      <c r="B10" s="3"/>
      <c r="C10" s="291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J22" sqref="J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92" t="s">
        <v>36</v>
      </c>
      <c r="F2" s="292"/>
      <c r="G2" s="292"/>
      <c r="H2" s="12"/>
      <c r="I2" s="12"/>
    </row>
    <row r="3" spans="2:11" s="1" customFormat="1" ht="15" customHeight="1">
      <c r="E3" s="293" t="str">
        <f>Indice!E3</f>
        <v>Octubre 2020</v>
      </c>
      <c r="F3" s="293"/>
      <c r="G3" s="293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1" t="s">
        <v>86</v>
      </c>
      <c r="D7" s="66"/>
      <c r="E7" s="67"/>
      <c r="F7" s="86"/>
      <c r="G7" s="86"/>
      <c r="I7" s="263"/>
    </row>
    <row r="8" spans="2:11" s="68" customFormat="1" ht="15" customHeight="1">
      <c r="B8" s="65"/>
      <c r="C8" s="291"/>
      <c r="D8" s="66"/>
      <c r="E8" s="69"/>
      <c r="F8" s="70" t="str">
        <f>'Data 1'!H105</f>
        <v>2019 Octubre</v>
      </c>
      <c r="G8" s="70" t="str">
        <f>'Data 1'!D105</f>
        <v>2020 Octubre</v>
      </c>
      <c r="I8" s="263"/>
    </row>
    <row r="9" spans="2:11" s="2" customFormat="1" ht="15" customHeight="1">
      <c r="B9" s="3"/>
      <c r="C9" s="52"/>
      <c r="D9" s="6"/>
      <c r="E9" s="63" t="s">
        <v>57</v>
      </c>
      <c r="F9" s="257">
        <f>'Data 1'!H108/1000000</f>
        <v>19.74811706182</v>
      </c>
      <c r="G9" s="257">
        <f>'Data 1'!D108/1000000</f>
        <v>34.362601291039994</v>
      </c>
      <c r="H9" s="68"/>
      <c r="I9" s="263"/>
      <c r="J9" s="68"/>
      <c r="K9" s="68"/>
    </row>
    <row r="10" spans="2:11" s="2" customFormat="1" ht="15" customHeight="1">
      <c r="B10" s="3"/>
      <c r="C10" s="291"/>
      <c r="D10" s="6"/>
      <c r="E10" s="63" t="s">
        <v>58</v>
      </c>
      <c r="F10" s="257">
        <f>'Data 1'!H109/1000000</f>
        <v>1.4105797901300001</v>
      </c>
      <c r="G10" s="257">
        <f>'Data 1'!D109/1000000</f>
        <v>12.105007272979998</v>
      </c>
      <c r="H10" s="68"/>
      <c r="I10" s="263"/>
      <c r="J10" s="68"/>
      <c r="K10" s="68"/>
    </row>
    <row r="11" spans="2:11" s="2" customFormat="1" ht="15" customHeight="1">
      <c r="B11" s="3"/>
      <c r="C11" s="291"/>
      <c r="D11" s="6"/>
      <c r="E11" s="63" t="s">
        <v>53</v>
      </c>
      <c r="F11" s="257">
        <f>SUM(F9:F10)</f>
        <v>21.158696851950001</v>
      </c>
      <c r="G11" s="257">
        <f>SUM(G9:G10)</f>
        <v>46.46760856401999</v>
      </c>
      <c r="H11" s="68"/>
      <c r="I11" s="263"/>
      <c r="J11" s="68"/>
      <c r="K11" s="68"/>
    </row>
    <row r="12" spans="2:11" s="2" customFormat="1" ht="15" customHeight="1">
      <c r="B12" s="3"/>
      <c r="C12" s="291"/>
      <c r="D12" s="6"/>
      <c r="E12" s="63" t="s">
        <v>23</v>
      </c>
      <c r="F12" s="257">
        <f>'Data 1'!H111/1000000</f>
        <v>6.4483647548800009</v>
      </c>
      <c r="G12" s="257">
        <f>'Data 1'!D111/1000000</f>
        <v>10.347828797870001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>
        <f>IF('Data 1'!H110="-","-",'Data 1'!H110/1000000)</f>
        <v>0.60453419577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2.6196481816700001</v>
      </c>
      <c r="G14" s="257">
        <f>'Data 1'!D112/1000000</f>
        <v>1.7571784751099997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304</v>
      </c>
      <c r="F15" s="257">
        <f>(SUM('Data 1'!H113:H115)+IF('Data 1'!H116="-",0,'Data 1'!H116))/1000000</f>
        <v>-1.61209118872</v>
      </c>
      <c r="G15" s="284">
        <f>(SUM('Data 1'!D113:D115)+IF('Data 1'!D116="-",0,'Data 1'!D116))/1000000</f>
        <v>0.19524205278999998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-1.20906839154</v>
      </c>
      <c r="G16" s="257">
        <f>'Data 1'!D117/1000000</f>
        <v>-1.36669436953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315</v>
      </c>
      <c r="F17" s="98">
        <f>SUM(F11:F16)</f>
        <v>28.010084404010001</v>
      </c>
      <c r="G17" s="98">
        <f>SUM(G11:G16)</f>
        <v>57.401163520259992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58"/>
      <c r="G18" s="72">
        <f>(G17-F17)/F17</f>
        <v>1.0493034827143284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303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K22" sqref="K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Octubre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1" t="s">
        <v>55</v>
      </c>
      <c r="D7" s="6"/>
      <c r="E7" s="14"/>
    </row>
    <row r="8" spans="2:9" s="2" customFormat="1" ht="12.75" customHeight="1">
      <c r="B8" s="3"/>
      <c r="C8" s="291"/>
      <c r="D8" s="6"/>
      <c r="E8" s="14"/>
    </row>
    <row r="9" spans="2:9" s="2" customFormat="1" ht="12.75" customHeight="1">
      <c r="B9" s="3"/>
      <c r="C9" s="52" t="s">
        <v>56</v>
      </c>
      <c r="D9" s="6"/>
      <c r="E9" s="14"/>
    </row>
    <row r="10" spans="2:9" s="2" customFormat="1" ht="12.75" customHeight="1">
      <c r="B10" s="3"/>
      <c r="C10" s="291"/>
      <c r="D10" s="6"/>
      <c r="E10" s="14"/>
    </row>
    <row r="11" spans="2:9" s="2" customFormat="1" ht="12.75" customHeight="1">
      <c r="B11" s="3"/>
      <c r="C11" s="291"/>
      <c r="D11" s="6"/>
      <c r="E11" s="11"/>
    </row>
    <row r="12" spans="2:9" s="2" customFormat="1" ht="12.75" customHeight="1">
      <c r="B12" s="3"/>
      <c r="C12" s="291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2020-11-17T13:23:38Z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