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MAY\INF_ELABORADA\"/>
    </mc:Choice>
  </mc:AlternateContent>
  <bookViews>
    <workbookView xWindow="0" yWindow="0" windowWidth="19395" windowHeight="7440" tabRatio="1000"/>
  </bookViews>
  <sheets>
    <sheet name="Indice" sheetId="92" r:id="rId1"/>
    <sheet name="M1" sheetId="70" r:id="rId2"/>
    <sheet name="M2" sheetId="71" r:id="rId3"/>
    <sheet name="M3" sheetId="3" r:id="rId4"/>
    <sheet name="M4" sheetId="53" r:id="rId5"/>
    <sheet name="M5" sheetId="10" r:id="rId6"/>
    <sheet name="M6" sheetId="76" r:id="rId7"/>
    <sheet name="M7" sheetId="75" r:id="rId8"/>
    <sheet name="M8" sheetId="58" r:id="rId9"/>
    <sheet name="M9" sheetId="77" r:id="rId10"/>
    <sheet name="M10" sheetId="83" r:id="rId11"/>
    <sheet name="M11" sheetId="85" r:id="rId12"/>
    <sheet name="M12" sheetId="86" r:id="rId13"/>
    <sheet name="M13" sheetId="87" r:id="rId14"/>
    <sheet name="M14" sheetId="84" r:id="rId15"/>
    <sheet name="Data 1" sheetId="88" r:id="rId16"/>
    <sheet name="Data 2" sheetId="91" r:id="rId17"/>
  </sheets>
  <externalReferences>
    <externalReference r:id="rId18"/>
    <externalReference r:id="rId19"/>
  </externalReferences>
  <definedNames>
    <definedName name="_xlnm.Print_Area" localSheetId="1">'M1'!$B$2:$K$63</definedName>
    <definedName name="_xlnm.Print_Area" localSheetId="10">'M10'!$A$4:$M$67</definedName>
    <definedName name="_xlnm.Print_Area" localSheetId="11">'M11'!$A$4:$M$67</definedName>
    <definedName name="_xlnm.Print_Area" localSheetId="12">'M12'!$A$4:$M$67</definedName>
    <definedName name="_xlnm.Print_Area" localSheetId="13">'M13'!$A$4:$M$67</definedName>
    <definedName name="_xlnm.Print_Area" localSheetId="14">'M14'!$A$4:$M$67</definedName>
    <definedName name="_xlnm.Print_Area" localSheetId="2">'M2'!$A$1:$E$22</definedName>
    <definedName name="_xlnm.Print_Area" localSheetId="3">'M3'!$A$1:$E$22</definedName>
    <definedName name="_xlnm.Print_Area" localSheetId="5">'M5'!$A$1:$E$22</definedName>
    <definedName name="_xlnm.Print_Area" localSheetId="6">'M6'!$A$1:$E$22</definedName>
    <definedName name="_xlnm.Print_Area" localSheetId="7">'M7'!$A$1:$E$22</definedName>
    <definedName name="_xlnm.Print_Area" localSheetId="8">'M8'!$A$4:$M$69</definedName>
    <definedName name="_xlnm.Print_Area" localSheetId="9">'M9'!$A$4:$M$67</definedName>
    <definedName name="CUADRO_ANTERIOR" localSheetId="0">Indice!CUADRO_ANTERIOR</definedName>
    <definedName name="CUADRO_ANTERIOR" localSheetId="1">'M1'!CUADRO_ANTERIOR</definedName>
    <definedName name="CUADRO_ANTERIOR">[0]!CUADRO_ANTERIOR</definedName>
    <definedName name="cuadro_anterior_jcol" localSheetId="0">Indice!CUADRO_ANTERIOR</definedName>
    <definedName name="cuadro_anterior_jcol" localSheetId="1">'M1'!CUADRO_ANTERIOR</definedName>
    <definedName name="cuadro_anterior_jcol">[0]!CUADRO_ANTERIOR</definedName>
    <definedName name="CUADRO_PROXIMO" localSheetId="0">Indice!CUADRO_PROXIMO</definedName>
    <definedName name="CUADRO_PROXIMO" localSheetId="1">'M1'!CUADRO_PROXIMO</definedName>
    <definedName name="CUADRO_PROXIMO">[0]!CUADRO_PROXIMO</definedName>
    <definedName name="cuadro_proximo_jcol" localSheetId="0">Indice!CUADRO_PROXIMO</definedName>
    <definedName name="cuadro_proximo_jcol" localSheetId="1">'M1'!CUADRO_PROXIMO</definedName>
    <definedName name="cuadro_proximo_jcol">[0]!CUADRO_PROXIMO</definedName>
    <definedName name="Demanda">[1]Demanda!$D$371:$AA$371</definedName>
    <definedName name="Fecha">[1]I.Precios!$A$1:$A$74</definedName>
    <definedName name="FINALIZAR" localSheetId="0">Indice!FINALIZAR</definedName>
    <definedName name="FINALIZAR" localSheetId="1">'M1'!FINALIZAR</definedName>
    <definedName name="FINALIZAR">[0]!FINALIZAR</definedName>
    <definedName name="finalizar_jcol" localSheetId="0">Indice!FINALIZAR</definedName>
    <definedName name="finalizar_jcol" localSheetId="1">'M1'!FINALIZAR</definedName>
    <definedName name="finalizar_jcol">[0]!FINALIZAR</definedName>
    <definedName name="fl" localSheetId="0">Indice!CUADRO_PROXIMO</definedName>
    <definedName name="fl" localSheetId="1">[0]!CUADRO_PROXIMO</definedName>
    <definedName name="fl">[0]!CUADRO_PROXIMO</definedName>
    <definedName name="hola" localSheetId="0">Indice!FINALIZAR</definedName>
    <definedName name="hola" localSheetId="1">[0]!FINALIZAR</definedName>
    <definedName name="hola">[0]!FINALIZAR</definedName>
    <definedName name="Horas" localSheetId="1">[2]I.Precios!#REF!</definedName>
    <definedName name="Horas" localSheetId="10">[1]I.Precios!#REF!</definedName>
    <definedName name="Horas" localSheetId="11">[1]I.Precios!#REF!</definedName>
    <definedName name="Horas" localSheetId="12">[1]I.Precios!#REF!</definedName>
    <definedName name="Horas" localSheetId="13">[1]I.Precios!#REF!</definedName>
    <definedName name="Horas" localSheetId="14">[1]I.Precios!#REF!</definedName>
    <definedName name="Horas" localSheetId="2">[1]I.Precios!#REF!</definedName>
    <definedName name="Horas" localSheetId="6">[1]I.Precios!#REF!</definedName>
    <definedName name="Horas" localSheetId="7">[1]I.Precios!#REF!</definedName>
    <definedName name="Horas" localSheetId="8">[1]I.Precios!#REF!</definedName>
    <definedName name="Horas" localSheetId="9">[1]I.Precios!#REF!</definedName>
    <definedName name="Horas">[1]I.Precios!#REF!</definedName>
    <definedName name="IMPRESION" localSheetId="0">Indice!IMPRESION</definedName>
    <definedName name="IMPRESION" localSheetId="1">'M1'!IMPRESION</definedName>
    <definedName name="IMPRESION">[0]!IMPRESION</definedName>
    <definedName name="impresion_jcol" localSheetId="0">Indice!IMPRESION</definedName>
    <definedName name="impresion_jcol" localSheetId="1">'M1'!IMPRESION</definedName>
    <definedName name="impresion_jcol">[0]!IMPRESION</definedName>
    <definedName name="Índice" localSheetId="0">[0]!INDICE</definedName>
    <definedName name="Índice" localSheetId="1">[0]!INDICE</definedName>
    <definedName name="Índice" localSheetId="10">[0]!INDICE</definedName>
    <definedName name="Índice" localSheetId="11">[0]!INDICE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2">[0]!INDICE</definedName>
    <definedName name="Índice" localSheetId="6">[0]!INDICE</definedName>
    <definedName name="Índice" localSheetId="7">[0]!INDICE</definedName>
    <definedName name="Índice" localSheetId="8">[0]!INDICE</definedName>
    <definedName name="Índice" localSheetId="9">[0]!INDICE</definedName>
    <definedName name="Índice">[0]!INDICE</definedName>
    <definedName name="indice_jcol" localSheetId="0">[0]!INDICE</definedName>
    <definedName name="indice_jcol" localSheetId="1">[0]!INDICE</definedName>
    <definedName name="indice_jcol" localSheetId="10">[0]!INDICE</definedName>
    <definedName name="indice_jcol" localSheetId="11">[0]!INDICE</definedName>
    <definedName name="indice_jcol" localSheetId="12">[0]!INDICE</definedName>
    <definedName name="indice_jcol" localSheetId="13">[0]!INDICE</definedName>
    <definedName name="indice_jcol" localSheetId="14">[0]!INDICE</definedName>
    <definedName name="indice_jcol" localSheetId="2">[0]!INDICE</definedName>
    <definedName name="indice_jcol" localSheetId="6">[0]!INDICE</definedName>
    <definedName name="indice_jcol" localSheetId="7">[0]!INDICE</definedName>
    <definedName name="indice_jcol" localSheetId="8">[0]!INDICE</definedName>
    <definedName name="indice_jcol" localSheetId="9">[0]!INDICE</definedName>
    <definedName name="indice_jcol">[0]!INDICE</definedName>
    <definedName name="jkhjklhjkhjkl" localSheetId="0">Indice!PRINCIPAL</definedName>
    <definedName name="jkhjklhjkhjkl" localSheetId="1">[0]!PRINCIPAL</definedName>
    <definedName name="jkhjklhjkhjkl" localSheetId="10">'M10'!PRINCIPAL</definedName>
    <definedName name="jkhjklhjkhjkl" localSheetId="11">'M11'!PRINCIPAL</definedName>
    <definedName name="jkhjklhjkhjkl" localSheetId="12">'M12'!PRINCIPAL</definedName>
    <definedName name="jkhjklhjkhjkl" localSheetId="13">'M13'!PRINCIPAL</definedName>
    <definedName name="jkhjklhjkhjkl" localSheetId="14">'M14'!PRINCIPAL</definedName>
    <definedName name="jkhjklhjkhjkl" localSheetId="2">'M2'!PRINCIPAL</definedName>
    <definedName name="jkhjklhjkhjkl" localSheetId="6">'M6'!PRINCIPAL</definedName>
    <definedName name="jkhjklhjkhjkl" localSheetId="7">'M7'!PRINCIPAL</definedName>
    <definedName name="jkhjklhjkhjkl" localSheetId="9">'M9'!PRINCIPAL</definedName>
    <definedName name="jkhjklhjkhjkl">[0]!PRINCIPAL</definedName>
    <definedName name="lionel" localSheetId="0">Indice!CUADRO_PROXIMO</definedName>
    <definedName name="lionel">[0]!CUADRO_PROXIMO</definedName>
    <definedName name="MSTR.Asignaciones__Mensual_simple_" localSheetId="0">#REF!</definedName>
    <definedName name="MSTR.Asignaciones__Mensual_simple_" localSheetId="10">#REF!</definedName>
    <definedName name="MSTR.Asignaciones__Mensual_simple_" localSheetId="11">#REF!</definedName>
    <definedName name="MSTR.Asignaciones__Mensual_simple_" localSheetId="12">#REF!</definedName>
    <definedName name="MSTR.Asignaciones__Mensual_simple_" localSheetId="13">#REF!</definedName>
    <definedName name="MSTR.Asignaciones__Mensual_simple_" localSheetId="14">#REF!</definedName>
    <definedName name="MSTR.Asignaciones__Mensual_simple_" localSheetId="2">#REF!</definedName>
    <definedName name="MSTR.Asignaciones__Mensual_simple_" localSheetId="6">#REF!</definedName>
    <definedName name="MSTR.Asignaciones__Mensual_simple_" localSheetId="7">#REF!</definedName>
    <definedName name="MSTR.Asignaciones__Mensual_simple_" localSheetId="9">#REF!</definedName>
    <definedName name="MSTR.Asignaciones__Mensual_simple_">#REF!</definedName>
    <definedName name="MSTR.Asignaciones__Periodo_simple___Combustible" localSheetId="0">#REF!</definedName>
    <definedName name="MSTR.Asignaciones__Periodo_simple___Combustible">#REF!</definedName>
    <definedName name="MSTR.Asignaciones_Gestión_de_desvíos" localSheetId="0">#REF!</definedName>
    <definedName name="MSTR.Asignaciones_Gestión_de_desvíos">#REF!</definedName>
    <definedName name="MSTR.Asignaciones_Restricciones_TReal" localSheetId="0">#REF!</definedName>
    <definedName name="MSTR.Asignaciones_Restricciones_TReal">#REF!</definedName>
    <definedName name="MSTR.Energia_de_Regulación_Secundaria" localSheetId="0">#REF!</definedName>
    <definedName name="MSTR.Energia_de_Regulación_Secundaria">#REF!</definedName>
    <definedName name="MSTR.Energía_restricciones_técnicas_PDBF_Combustible" localSheetId="0">#REF!</definedName>
    <definedName name="MSTR.Energía_restricciones_técnicas_PDBF_Combustible" localSheetId="10">#REF!</definedName>
    <definedName name="MSTR.Energía_restricciones_técnicas_PDBF_Combustible" localSheetId="11">#REF!</definedName>
    <definedName name="MSTR.Energía_restricciones_técnicas_PDBF_Combustible" localSheetId="12">#REF!</definedName>
    <definedName name="MSTR.Energía_restricciones_técnicas_PDBF_Combustible" localSheetId="13">#REF!</definedName>
    <definedName name="MSTR.Energía_restricciones_técnicas_PDBF_Combustible" localSheetId="14">#REF!</definedName>
    <definedName name="MSTR.Energía_restricciones_técnicas_PDBF_Combustible" localSheetId="6">#REF!</definedName>
    <definedName name="MSTR.Energía_restricciones_técnicas_PDBF_Combustible" localSheetId="7">#REF!</definedName>
    <definedName name="MSTR.Energía_restricciones_técnicas_PDBF_Combustible" localSheetId="9">#REF!</definedName>
    <definedName name="MSTR.Energía_restricciones_técnicas_PDBF_Combustible">#REF!</definedName>
    <definedName name="MSTR.Mercados_de_Operacion._Energía_Gestionada" localSheetId="0">#REF!</definedName>
    <definedName name="MSTR.Mercados_de_Operacion._Energía_Gestionada" localSheetId="10">#REF!</definedName>
    <definedName name="MSTR.Mercados_de_Operacion._Energía_Gestionada" localSheetId="11">#REF!</definedName>
    <definedName name="MSTR.Mercados_de_Operacion._Energía_Gestionada" localSheetId="12">#REF!</definedName>
    <definedName name="MSTR.Mercados_de_Operacion._Energía_Gestionada" localSheetId="13">#REF!</definedName>
    <definedName name="MSTR.Mercados_de_Operacion._Energía_Gestionada" localSheetId="14">#REF!</definedName>
    <definedName name="MSTR.Mercados_de_Operacion._Energía_Gestionada" localSheetId="9">#REF!</definedName>
    <definedName name="MSTR.Mercados_de_Operacion._Energía_Gestionada">#REF!</definedName>
    <definedName name="MSTR.Res_adi_subir_mensual__Combustible" localSheetId="0">#REF!</definedName>
    <definedName name="MSTR.Res_adi_subir_mensual__Combustible">#REF!</definedName>
    <definedName name="nuevo" localSheetId="0">Indice!CUADRO_PROXIMO</definedName>
    <definedName name="nuevo" localSheetId="1">[0]!CUADRO_PROXIMO</definedName>
    <definedName name="nuevo">[0]!CUADRO_PROXIMO</definedName>
    <definedName name="PRINCIPAL" localSheetId="0">#N/A</definedName>
    <definedName name="PRINCIPAL" localSheetId="1">'M1'!PRINCIPAL</definedName>
    <definedName name="PRINCIPAL" localSheetId="10">#N/A</definedName>
    <definedName name="PRINCIPAL" localSheetId="11">#N/A</definedName>
    <definedName name="PRINCIPAL" localSheetId="12">#N/A</definedName>
    <definedName name="PRINCIPAL" localSheetId="13">#N/A</definedName>
    <definedName name="PRINCIPAL" localSheetId="14">#N/A</definedName>
    <definedName name="PRINCIPAL" localSheetId="2">#N/A</definedName>
    <definedName name="PRINCIPAL" localSheetId="6">#N/A</definedName>
    <definedName name="PRINCIPAL" localSheetId="7">#N/A</definedName>
    <definedName name="PRINCIPAL" localSheetId="9">#N/A</definedName>
    <definedName name="PRINCIPAL">'M9'!PRINCIPAL</definedName>
    <definedName name="principal_jcol" localSheetId="0">Indice!PRINCIPAL</definedName>
    <definedName name="principal_jcol" localSheetId="1">'M1'!PRINCIPAL</definedName>
    <definedName name="principal_jcol" localSheetId="10">'M10'!PRINCIPAL</definedName>
    <definedName name="principal_jcol" localSheetId="11">'M11'!PRINCIPAL</definedName>
    <definedName name="principal_jcol" localSheetId="12">'M12'!PRINCIPAL</definedName>
    <definedName name="principal_jcol" localSheetId="13">'M13'!PRINCIPAL</definedName>
    <definedName name="principal_jcol" localSheetId="14">'M14'!PRINCIPAL</definedName>
    <definedName name="principal_jcol" localSheetId="2">'M2'!PRINCIPAL</definedName>
    <definedName name="principal_jcol" localSheetId="6">'M6'!PRINCIPAL</definedName>
    <definedName name="principal_jcol" localSheetId="7">'M7'!PRINCIPAL</definedName>
    <definedName name="principal_jcol" localSheetId="9">'M9'!PRINCIPAL</definedName>
    <definedName name="principal_jcol">[0]!PRINCIPAL</definedName>
    <definedName name="Rango" localSheetId="1">[2]I.PxD!#REF!</definedName>
    <definedName name="Rango" localSheetId="10">[1]I.PxD!#REF!</definedName>
    <definedName name="Rango" localSheetId="11">[1]I.PxD!#REF!</definedName>
    <definedName name="Rango" localSheetId="12">[1]I.PxD!#REF!</definedName>
    <definedName name="Rango" localSheetId="13">[1]I.PxD!#REF!</definedName>
    <definedName name="Rango" localSheetId="14">[1]I.PxD!#REF!</definedName>
    <definedName name="Rango" localSheetId="2">[1]I.PxD!#REF!</definedName>
    <definedName name="Rango" localSheetId="6">[1]I.PxD!#REF!</definedName>
    <definedName name="Rango" localSheetId="7">[1]I.PxD!#REF!</definedName>
    <definedName name="Rango" localSheetId="8">[1]I.PxD!#REF!</definedName>
    <definedName name="Rango" localSheetId="9">[1]I.PxD!#REF!</definedName>
    <definedName name="Rango">[1]I.PxD!#REF!</definedName>
    <definedName name="sfasfasf" localSheetId="0">[0]!INDICE</definedName>
    <definedName name="sfasfasf" localSheetId="1">[0]!INDICE</definedName>
    <definedName name="sfasfasf" localSheetId="10">[0]!INDICE</definedName>
    <definedName name="sfasfasf" localSheetId="11">[0]!INDICE</definedName>
    <definedName name="sfasfasf" localSheetId="12">[0]!INDICE</definedName>
    <definedName name="sfasfasf" localSheetId="13">[0]!INDICE</definedName>
    <definedName name="sfasfasf" localSheetId="14">[0]!INDICE</definedName>
    <definedName name="sfasfasf" localSheetId="2">[0]!INDICE</definedName>
    <definedName name="sfasfasf" localSheetId="6">[0]!INDICE</definedName>
    <definedName name="sfasfasf" localSheetId="7">[0]!INDICE</definedName>
    <definedName name="sfasfasf" localSheetId="8">[0]!INDICE</definedName>
    <definedName name="sfasfasf" localSheetId="9">[0]!INDICE</definedName>
    <definedName name="sfasfasf">[0]!INDICE</definedName>
    <definedName name="v" localSheetId="0">Indice!CUADRO_PROXIMO</definedName>
    <definedName name="v" localSheetId="1">[0]!CUADRO_PROXIMO</definedName>
    <definedName name="v">[0]!CUADRO_PROXIMO</definedName>
    <definedName name="xx" localSheetId="0">[0]!INDICE</definedName>
    <definedName name="xx" localSheetId="1">[0]!INDICE</definedName>
    <definedName name="xx" localSheetId="10">[0]!INDICE</definedName>
    <definedName name="xx" localSheetId="11">[0]!INDICE</definedName>
    <definedName name="xx" localSheetId="12">[0]!INDICE</definedName>
    <definedName name="xx" localSheetId="13">[0]!INDICE</definedName>
    <definedName name="xx" localSheetId="14">[0]!INDICE</definedName>
    <definedName name="xx" localSheetId="2">[0]!INDICE</definedName>
    <definedName name="xx" localSheetId="6">[0]!INDICE</definedName>
    <definedName name="xx" localSheetId="7">[0]!INDICE</definedName>
    <definedName name="xx" localSheetId="8">[0]!INDICE</definedName>
    <definedName name="xx" localSheetId="9">[0]!INDICE</definedName>
    <definedName name="xx">[0]!INDICE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O157" i="91" l="1"/>
  <c r="O156" i="91"/>
  <c r="O155" i="91"/>
  <c r="O154" i="91"/>
  <c r="O153" i="91"/>
  <c r="O30" i="91"/>
  <c r="O29" i="91"/>
  <c r="O28" i="91"/>
  <c r="O27" i="91"/>
  <c r="O26" i="91"/>
  <c r="E165" i="88"/>
  <c r="E164" i="88"/>
  <c r="E163" i="88"/>
  <c r="E162" i="88"/>
  <c r="E161" i="88"/>
  <c r="O91" i="88"/>
  <c r="P113" i="91" l="1"/>
  <c r="P112" i="91"/>
  <c r="P111" i="91"/>
  <c r="P110" i="91"/>
  <c r="P109" i="91"/>
  <c r="P78" i="91"/>
  <c r="P77" i="91"/>
  <c r="P76" i="91"/>
  <c r="P75" i="91"/>
  <c r="P74" i="91"/>
  <c r="C13" i="91"/>
  <c r="C12" i="91"/>
  <c r="E3" i="92" l="1"/>
  <c r="G39" i="88" l="1"/>
  <c r="O21" i="91" l="1"/>
  <c r="N21" i="91"/>
  <c r="M21" i="91"/>
  <c r="L21" i="91"/>
  <c r="K21" i="91"/>
  <c r="J21" i="91"/>
  <c r="I21" i="91"/>
  <c r="H21" i="91"/>
  <c r="G21" i="91"/>
  <c r="F21" i="91"/>
  <c r="E21" i="91"/>
  <c r="D21" i="91"/>
  <c r="C21" i="91"/>
  <c r="G14" i="76" l="1"/>
  <c r="G15" i="76"/>
  <c r="G16" i="76"/>
  <c r="F16" i="76"/>
  <c r="F15" i="76"/>
  <c r="F14" i="76"/>
  <c r="F9" i="76"/>
  <c r="F10" i="76"/>
  <c r="F12" i="76"/>
  <c r="F13" i="76"/>
  <c r="F11" i="76" l="1"/>
  <c r="F17" i="76" s="1"/>
  <c r="O87" i="88"/>
  <c r="N87" i="88"/>
  <c r="M87" i="88"/>
  <c r="L87" i="88"/>
  <c r="K87" i="88"/>
  <c r="J87" i="88"/>
  <c r="I87" i="88"/>
  <c r="H87" i="88"/>
  <c r="G87" i="88"/>
  <c r="F87" i="88"/>
  <c r="E87" i="88"/>
  <c r="D87" i="88"/>
  <c r="C87" i="88"/>
  <c r="G13" i="76" l="1"/>
  <c r="G12" i="76"/>
  <c r="G10" i="76"/>
  <c r="G9" i="76"/>
  <c r="C81" i="88"/>
  <c r="D81" i="88"/>
  <c r="E81" i="88"/>
  <c r="F81" i="88"/>
  <c r="G81" i="88"/>
  <c r="H81" i="88"/>
  <c r="I81" i="88"/>
  <c r="J81" i="88"/>
  <c r="K81" i="88"/>
  <c r="L81" i="88"/>
  <c r="M81" i="88"/>
  <c r="N81" i="88"/>
  <c r="O81" i="88"/>
  <c r="C82" i="88"/>
  <c r="D82" i="88"/>
  <c r="E82" i="88"/>
  <c r="F82" i="88"/>
  <c r="G82" i="88"/>
  <c r="H82" i="88"/>
  <c r="I82" i="88"/>
  <c r="J82" i="88"/>
  <c r="K82" i="88"/>
  <c r="L82" i="88"/>
  <c r="M82" i="88"/>
  <c r="N82" i="88"/>
  <c r="O82" i="88"/>
  <c r="C83" i="88"/>
  <c r="D83" i="88"/>
  <c r="E83" i="88"/>
  <c r="F83" i="88"/>
  <c r="G83" i="88"/>
  <c r="H83" i="88"/>
  <c r="I83" i="88"/>
  <c r="J83" i="88"/>
  <c r="K83" i="88"/>
  <c r="L83" i="88"/>
  <c r="M83" i="88"/>
  <c r="N83" i="88"/>
  <c r="O83" i="88"/>
  <c r="C84" i="88"/>
  <c r="D84" i="88"/>
  <c r="E84" i="88"/>
  <c r="F84" i="88"/>
  <c r="G84" i="88"/>
  <c r="H84" i="88"/>
  <c r="I84" i="88"/>
  <c r="J84" i="88"/>
  <c r="K84" i="88"/>
  <c r="L84" i="88"/>
  <c r="M84" i="88"/>
  <c r="N84" i="88"/>
  <c r="O84" i="88"/>
  <c r="C85" i="88"/>
  <c r="D85" i="88"/>
  <c r="E85" i="88"/>
  <c r="F85" i="88"/>
  <c r="G85" i="88"/>
  <c r="H85" i="88"/>
  <c r="I85" i="88"/>
  <c r="J85" i="88"/>
  <c r="K85" i="88"/>
  <c r="L85" i="88"/>
  <c r="M85" i="88"/>
  <c r="N85" i="88"/>
  <c r="O85" i="88"/>
  <c r="C86" i="88"/>
  <c r="D86" i="88"/>
  <c r="E86" i="88"/>
  <c r="F86" i="88"/>
  <c r="G86" i="88"/>
  <c r="H86" i="88"/>
  <c r="I86" i="88"/>
  <c r="J86" i="88"/>
  <c r="K86" i="88"/>
  <c r="L86" i="88"/>
  <c r="M86" i="88"/>
  <c r="N86" i="88"/>
  <c r="O86" i="88"/>
  <c r="C88" i="88"/>
  <c r="D88" i="88"/>
  <c r="E88" i="88"/>
  <c r="F88" i="88"/>
  <c r="G88" i="88"/>
  <c r="H88" i="88"/>
  <c r="I88" i="88"/>
  <c r="J88" i="88"/>
  <c r="K88" i="88"/>
  <c r="L88" i="88"/>
  <c r="M88" i="88"/>
  <c r="N88" i="88"/>
  <c r="O88" i="88"/>
  <c r="C78" i="88"/>
  <c r="D78" i="88"/>
  <c r="F78" i="88"/>
  <c r="G78" i="88"/>
  <c r="I78" i="88"/>
  <c r="J78" i="88"/>
  <c r="L78" i="88"/>
  <c r="B62" i="88"/>
  <c r="C62" i="88"/>
  <c r="D62" i="88"/>
  <c r="G62" i="88"/>
  <c r="H62" i="88"/>
  <c r="J62" i="88"/>
  <c r="B63" i="88"/>
  <c r="C63" i="88"/>
  <c r="D63" i="88"/>
  <c r="G63" i="88"/>
  <c r="H63" i="88"/>
  <c r="J63" i="88"/>
  <c r="L63" i="88"/>
  <c r="B64" i="88"/>
  <c r="C64" i="88"/>
  <c r="D64" i="88"/>
  <c r="G64" i="88"/>
  <c r="H64" i="88"/>
  <c r="J64" i="88"/>
  <c r="B65" i="88"/>
  <c r="C65" i="88"/>
  <c r="D65" i="88"/>
  <c r="G65" i="88"/>
  <c r="H65" i="88"/>
  <c r="J65" i="88"/>
  <c r="B66" i="88"/>
  <c r="C66" i="88"/>
  <c r="D66" i="88"/>
  <c r="G66" i="88"/>
  <c r="H66" i="88"/>
  <c r="J66" i="88"/>
  <c r="B67" i="88"/>
  <c r="C67" i="88"/>
  <c r="D67" i="88"/>
  <c r="G67" i="88"/>
  <c r="H67" i="88"/>
  <c r="J67" i="88"/>
  <c r="B68" i="88"/>
  <c r="C68" i="88"/>
  <c r="D68" i="88"/>
  <c r="G68" i="88"/>
  <c r="H68" i="88"/>
  <c r="J68" i="88"/>
  <c r="B69" i="88"/>
  <c r="C69" i="88"/>
  <c r="D69" i="88"/>
  <c r="G69" i="88"/>
  <c r="H69" i="88"/>
  <c r="J69" i="88"/>
  <c r="B70" i="88"/>
  <c r="C70" i="88"/>
  <c r="D70" i="88"/>
  <c r="G70" i="88"/>
  <c r="H70" i="88"/>
  <c r="J70" i="88"/>
  <c r="B71" i="88"/>
  <c r="C71" i="88"/>
  <c r="D71" i="88"/>
  <c r="G71" i="88"/>
  <c r="H71" i="88"/>
  <c r="J71" i="88"/>
  <c r="B72" i="88"/>
  <c r="C72" i="88"/>
  <c r="D72" i="88"/>
  <c r="G72" i="88"/>
  <c r="H72" i="88"/>
  <c r="J72" i="88"/>
  <c r="B73" i="88"/>
  <c r="C73" i="88"/>
  <c r="D73" i="88"/>
  <c r="G73" i="88"/>
  <c r="H73" i="88"/>
  <c r="J73" i="88"/>
  <c r="B74" i="88"/>
  <c r="C74" i="88"/>
  <c r="D74" i="88"/>
  <c r="G74" i="88"/>
  <c r="H74" i="88"/>
  <c r="J74" i="88"/>
  <c r="K78" i="88" l="1"/>
  <c r="D89" i="88"/>
  <c r="E65" i="88"/>
  <c r="E62" i="88"/>
  <c r="L89" i="88"/>
  <c r="H89" i="88"/>
  <c r="E73" i="88"/>
  <c r="E69" i="88"/>
  <c r="E67" i="88"/>
  <c r="E78" i="88"/>
  <c r="E63" i="88"/>
  <c r="E72" i="88"/>
  <c r="E70" i="88"/>
  <c r="E64" i="88"/>
  <c r="M89" i="88"/>
  <c r="I89" i="88"/>
  <c r="E89" i="88"/>
  <c r="N89" i="88"/>
  <c r="J89" i="88"/>
  <c r="F89" i="88"/>
  <c r="O89" i="88"/>
  <c r="K89" i="88"/>
  <c r="G89" i="88"/>
  <c r="C89" i="88"/>
  <c r="E74" i="88"/>
  <c r="E71" i="88"/>
  <c r="E66" i="88"/>
  <c r="E68" i="88"/>
  <c r="H78" i="88" l="1"/>
  <c r="M78" i="88" s="1"/>
  <c r="F11" i="3" l="1"/>
  <c r="F15" i="3"/>
  <c r="F19" i="3"/>
  <c r="F9" i="3"/>
  <c r="F21" i="3"/>
  <c r="F20" i="3"/>
  <c r="F18" i="3"/>
  <c r="F17" i="3"/>
  <c r="F16" i="3"/>
  <c r="F14" i="3"/>
  <c r="F13" i="3"/>
  <c r="F12" i="3"/>
  <c r="F10" i="3"/>
  <c r="G11" i="76" l="1"/>
  <c r="G17" i="76" s="1"/>
  <c r="G18" i="76" s="1"/>
  <c r="F62" i="88" l="1"/>
  <c r="K62" i="88" s="1"/>
  <c r="F63" i="88"/>
  <c r="K63" i="88" s="1"/>
  <c r="F64" i="88"/>
  <c r="K64" i="88" s="1"/>
  <c r="F65" i="88"/>
  <c r="K65" i="88" s="1"/>
  <c r="F66" i="88"/>
  <c r="K66" i="88" s="1"/>
  <c r="F67" i="88"/>
  <c r="K67" i="88" s="1"/>
  <c r="F68" i="88"/>
  <c r="K68" i="88" s="1"/>
  <c r="F69" i="88"/>
  <c r="K69" i="88" s="1"/>
  <c r="F70" i="88"/>
  <c r="K70" i="88" s="1"/>
  <c r="F71" i="88"/>
  <c r="K71" i="88" s="1"/>
  <c r="F72" i="88"/>
  <c r="K72" i="88" s="1"/>
  <c r="F73" i="88"/>
  <c r="K73" i="88" s="1"/>
  <c r="I72" i="88" l="1"/>
  <c r="I64" i="88"/>
  <c r="I67" i="88"/>
  <c r="I73" i="88"/>
  <c r="I69" i="88"/>
  <c r="I65" i="88"/>
  <c r="I68" i="88"/>
  <c r="I71" i="88"/>
  <c r="I63" i="88"/>
  <c r="I70" i="88"/>
  <c r="I66" i="88"/>
  <c r="I62" i="88"/>
  <c r="F74" i="88"/>
  <c r="K74" i="88" s="1"/>
  <c r="I74" i="88" l="1"/>
  <c r="L74" i="88" l="1"/>
  <c r="M74" i="88"/>
  <c r="K50" i="87"/>
</calcChain>
</file>

<file path=xl/sharedStrings.xml><?xml version="1.0" encoding="utf-8"?>
<sst xmlns="http://schemas.openxmlformats.org/spreadsheetml/2006/main" count="939" uniqueCount="249">
  <si>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</si>
  <si>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</si>
  <si>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</si>
  <si>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</si>
  <si>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</si>
  <si>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</si>
  <si>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</si>
  <si>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</si>
  <si>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</si>
  <si>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</si>
  <si>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</si>
  <si>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</si>
  <si>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</si>
  <si>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</si>
  <si>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</si>
  <si>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Precio medio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</si>
  <si>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</si>
  <si>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</si>
  <si>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</si>
  <si>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</si>
  <si>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</si>
  <si>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</si>
  <si>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</si>
  <si>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</si>
  <si>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</si>
  <si>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</si>
  <si>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</si>
  <si>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</si>
  <si>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</si>
  <si>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</si>
  <si>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</si>
  <si>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</si>
  <si>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</si>
  <si>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</si>
  <si>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</si>
  <si>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</si>
  <si>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</si>
  <si>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</si>
  <si>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</si>
  <si>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</si>
  <si>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</si>
  <si>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</si>
  <si>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Fecha</t>
  </si>
  <si>
    <t>Solución de restricciones técnicas (Fase I)</t>
  </si>
  <si>
    <t>Otros procesos OS</t>
  </si>
  <si>
    <t>Banda de precios</t>
  </si>
  <si>
    <t>Precio máximo</t>
  </si>
  <si>
    <t>Precio mínimo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</si>
  <si>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</si>
  <si>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</si>
  <si>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</si>
  <si>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</si>
  <si>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</si>
  <si>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</si>
  <si>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</si>
  <si>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</si>
  <si>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</si>
  <si>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</si>
  <si>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</si>
  <si>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</si>
  <si>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</si>
  <si>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</si>
  <si>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</si>
  <si>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</si>
  <si>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</si>
  <si>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Energía limitada por restricciones (MWh)</t>
  </si>
  <si>
    <t>BANDA SUBIR</t>
  </si>
  <si>
    <t>(GW y €/MW)</t>
  </si>
  <si>
    <t>energia bajar</t>
  </si>
  <si>
    <t>energia subir</t>
  </si>
  <si>
    <t>precio medio subir</t>
  </si>
  <si>
    <t>precio medio bajar</t>
  </si>
  <si>
    <t>energía subir</t>
  </si>
  <si>
    <t>energía bajar</t>
  </si>
  <si>
    <t>volumen energía</t>
  </si>
  <si>
    <t>Volumen energía</t>
  </si>
  <si>
    <t>Volumen de energía</t>
  </si>
  <si>
    <t>energía subir fase i</t>
  </si>
  <si>
    <t>Energía bajar fase i</t>
  </si>
  <si>
    <t>Volumen energia</t>
  </si>
  <si>
    <t>Precio medio subir</t>
  </si>
  <si>
    <t>Precio medio bajar</t>
  </si>
  <si>
    <t>Variación repercusion</t>
  </si>
  <si>
    <t>SA sobre mes año anterior</t>
  </si>
  <si>
    <t>variaciones</t>
  </si>
  <si>
    <t>Variaciones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</si>
  <si>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</si>
  <si>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</si>
  <si>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</si>
  <si>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</si>
  <si>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d</t>
  </si>
  <si>
    <t>e</t>
  </si>
  <si>
    <t>f</t>
  </si>
  <si>
    <t>m</t>
  </si>
  <si>
    <t>a</t>
  </si>
  <si>
    <t>j</t>
  </si>
  <si>
    <t>s</t>
  </si>
  <si>
    <t>o</t>
  </si>
  <si>
    <t>n</t>
  </si>
  <si>
    <t>Coste medio de la energía de comercializadores y consumidores directos</t>
  </si>
  <si>
    <t>Mes_ind ID</t>
  </si>
  <si>
    <t>Mes ID</t>
  </si>
  <si>
    <t>Concepto DESC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</si>
  <si>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</si>
  <si>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</si>
  <si>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</si>
  <si>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</si>
  <si>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</si>
  <si>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</si>
  <si>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</si>
  <si>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</si>
  <si>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</si>
  <si>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</si>
  <si>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</si>
  <si>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</si>
  <si>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</si>
  <si>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</si>
  <si>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</si>
  <si>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</si>
  <si>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Mes DESC</t>
  </si>
  <si>
    <t>Importe (EUR) Obligaciones de pago</t>
  </si>
  <si>
    <t>Importe (EUR) Saldo</t>
  </si>
  <si>
    <t>Energía Programada (MWh)</t>
  </si>
  <si>
    <t>Sentido Sentido</t>
  </si>
  <si>
    <t>Combustible DESC</t>
  </si>
  <si>
    <t>Energia (MWh) a subir</t>
  </si>
  <si>
    <t>Energia (MWh) a bajar</t>
  </si>
  <si>
    <t>Precio ( €/MWh)</t>
  </si>
  <si>
    <t>Año ID</t>
  </si>
  <si>
    <t>Energía Asignada (MWh) - Mercado de Terciaria</t>
  </si>
  <si>
    <t>Valor periodo</t>
  </si>
  <si>
    <t>Reserva Asignada (MW)</t>
  </si>
  <si>
    <t>Evolución del precio del mercado diario</t>
  </si>
  <si>
    <t>Mercado diario: participación en cada tecnología en el precio marginal (%)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</si>
  <si>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</si>
  <si>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</si>
  <si>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</si>
  <si>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</si>
  <si>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>Mercado diario: participación de cada tecnología en el precio marginal (%)</t>
  </si>
  <si>
    <t>Precio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</si>
  <si>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</si>
  <si>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</si>
  <si>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</si>
  <si>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</si>
  <si>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</si>
  <si>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</si>
  <si>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precio medio aritmético mensual</t>
  </si>
  <si>
    <t>Solución de restricciones técnicas (Fase I) (MWh y €/MWh)</t>
  </si>
  <si>
    <t>Banda de regulación secundaria (MW y €/MW)</t>
  </si>
  <si>
    <t>Regulación terciaria (MWh y €/MWh)</t>
  </si>
  <si>
    <t>Gestión de desvíos (MWh y €/MWh)</t>
  </si>
  <si>
    <t>Restricciones técnicas en tiempo real (MWh y €/MWh)</t>
  </si>
  <si>
    <t>Reserva adicional a subir (MW y €/MW)</t>
  </si>
  <si>
    <t>Regulación secundaria utilizada (MWh y €/MW)</t>
  </si>
  <si>
    <t>Coste de los servicios de ajuste (€)</t>
  </si>
  <si>
    <t>∆2018/2017</t>
  </si>
  <si>
    <t xml:space="preserve">Mercados diario e intradiario </t>
  </si>
  <si>
    <t>Subir</t>
  </si>
  <si>
    <t>Bajar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</si>
  <si>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</si>
  <si>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</si>
  <si>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</si>
  <si>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</si>
  <si>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</si>
  <si>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</si>
  <si>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</si>
  <si>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</si>
  <si>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</si>
  <si>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</si>
  <si>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</si>
  <si>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</si>
  <si>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</si>
  <si>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</si>
  <si>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</si>
  <si>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</si>
  <si>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</si>
  <si>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</si>
  <si>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</si>
  <si>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</si>
  <si>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</si>
  <si>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</si>
  <si>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</si>
  <si>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</si>
  <si>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</si>
  <si>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</si>
  <si>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</si>
  <si>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</si>
  <si>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</si>
  <si>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</si>
  <si>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</si>
  <si>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Promedio</t>
  </si>
  <si>
    <t>-</t>
  </si>
  <si>
    <t>Mayo 2018</t>
  </si>
  <si>
    <t>MAY-17</t>
  </si>
  <si>
    <t>JUN-17</t>
  </si>
  <si>
    <t>JUL-17</t>
  </si>
  <si>
    <t>AGO-17</t>
  </si>
  <si>
    <t>SEP-17</t>
  </si>
  <si>
    <t>OCT-17</t>
  </si>
  <si>
    <t>NOV-17</t>
  </si>
  <si>
    <t>DIC-17</t>
  </si>
  <si>
    <t>ENE-18</t>
  </si>
  <si>
    <t>FEB-18</t>
  </si>
  <si>
    <t>MAR-18</t>
  </si>
  <si>
    <t>ABR-18</t>
  </si>
  <si>
    <t>MAY-18</t>
  </si>
  <si>
    <t>2017 Mayo</t>
  </si>
  <si>
    <t>2017 Junio</t>
  </si>
  <si>
    <t>2017 Julio</t>
  </si>
  <si>
    <t>2017 Agosto</t>
  </si>
  <si>
    <t>2017 Septiembre</t>
  </si>
  <si>
    <t>2017 Octubre</t>
  </si>
  <si>
    <t>2017 Noviembre</t>
  </si>
  <si>
    <t>2017 Diciembre</t>
  </si>
  <si>
    <t>2018 Enero</t>
  </si>
  <si>
    <t>2018 Febrero</t>
  </si>
  <si>
    <t>2018 Marzo</t>
  </si>
  <si>
    <t>2018 Abril</t>
  </si>
  <si>
    <t>2018 Mayo</t>
  </si>
  <si>
    <t>Segmento Seg_desc_corta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</si>
  <si>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</si>
  <si>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</si>
  <si>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</si>
  <si>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</si>
  <si>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</si>
  <si>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</si>
  <si>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</si>
  <si>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</si>
  <si>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Enlace balear RP48</t>
  </si>
  <si>
    <t>Mayo 2017</t>
  </si>
  <si>
    <t>Restricciones Técnicas al PBF</t>
  </si>
  <si>
    <t>Restric. en Tiempo Real</t>
  </si>
  <si>
    <t>Mayo</t>
  </si>
  <si>
    <t>Carbón</t>
  </si>
  <si>
    <t>Otras Renovables</t>
  </si>
  <si>
    <t>Consumo Bombeo</t>
  </si>
  <si>
    <t>Turbinación bombeo</t>
  </si>
  <si>
    <t>Eólica</t>
  </si>
  <si>
    <t>Solar fotovoltaica</t>
  </si>
  <si>
    <t>Solar térmica</t>
  </si>
  <si>
    <t>Cogeneración</t>
  </si>
  <si>
    <t>Energía a subir</t>
  </si>
  <si>
    <t>Energía a bajar</t>
  </si>
  <si>
    <t>Adquisición de Energía</t>
  </si>
  <si>
    <t>Enlace Península Baleares</t>
  </si>
  <si>
    <t>Fuel-Gas</t>
  </si>
  <si>
    <t>Internacionales</t>
  </si>
  <si>
    <t>Nuclear</t>
  </si>
  <si>
    <t>Residuos no Renovables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</si>
</sst>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</numFmts>
  <fonts count="5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theme="0"/>
      <name val="Geneva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34">
    <xf numFmtId="0" fontId="0" fillId="0" borderId="0"/>
    <xf numFmtId="167" fontId="4" fillId="0" borderId="0" applyFont="0" applyFill="0" applyBorder="0" applyAlignment="0" applyProtection="0"/>
    <xf numFmtId="0" fontId="5" fillId="0" borderId="0"/>
    <xf numFmtId="4" fontId="17" fillId="2" borderId="2">
      <alignment horizontal="right" vertical="center"/>
    </xf>
    <xf numFmtId="0" fontId="6" fillId="0" borderId="0"/>
    <xf numFmtId="0" fontId="6" fillId="0" borderId="0"/>
    <xf numFmtId="0" fontId="16" fillId="0" borderId="0"/>
    <xf numFmtId="0" fontId="16" fillId="0" borderId="0"/>
    <xf numFmtId="0" fontId="14" fillId="0" borderId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0" fontId="29" fillId="0" borderId="0"/>
    <xf numFmtId="0" fontId="32" fillId="0" borderId="0"/>
    <xf numFmtId="0" fontId="18" fillId="3" borderId="2">
      <alignment vertical="center" wrapText="1"/>
    </xf>
    <xf numFmtId="0" fontId="18" fillId="3" borderId="2">
      <alignment horizontal="center" wrapText="1"/>
    </xf>
    <xf numFmtId="0" fontId="3" fillId="0" borderId="0"/>
    <xf numFmtId="0" fontId="17" fillId="2" borderId="2">
      <alignment horizontal="left" vertical="center" wrapText="1"/>
    </xf>
    <xf numFmtId="3" fontId="17" fillId="2" borderId="2">
      <alignment horizontal="right" vertical="center"/>
    </xf>
    <xf numFmtId="9" fontId="3" fillId="0" borderId="0" applyFont="0" applyFill="0" applyBorder="0" applyAlignment="0" applyProtection="0"/>
    <xf numFmtId="164" fontId="17" fillId="2" borderId="2">
      <alignment horizontal="right" vertical="center"/>
    </xf>
    <xf numFmtId="164" fontId="39" fillId="7" borderId="2">
      <alignment horizontal="right" vertical="center"/>
    </xf>
    <xf numFmtId="0" fontId="2" fillId="0" borderId="0"/>
    <xf numFmtId="9" fontId="2" fillId="0" borderId="0" applyFont="0" applyFill="0" applyBorder="0" applyAlignment="0" applyProtection="0"/>
    <xf numFmtId="0" fontId="18" fillId="3" borderId="2">
      <alignment horizontal="center" wrapText="1"/>
    </xf>
    <xf numFmtId="0" fontId="17" fillId="2" borderId="2">
      <alignment horizontal="left" vertical="center" wrapText="1"/>
    </xf>
    <xf numFmtId="169" fontId="39" fillId="7" borderId="2">
      <alignment horizontal="left" vertical="center"/>
    </xf>
    <xf numFmtId="0" fontId="15" fillId="0" borderId="0"/>
    <xf numFmtId="0" fontId="6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0" fillId="0" borderId="0" xfId="0" applyFill="1" applyProtection="1"/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0" fillId="0" borderId="0" xfId="0" applyFill="1" applyBorder="1" applyProtection="1"/>
    <xf numFmtId="164" fontId="10" fillId="0" borderId="0" xfId="0" applyNumberFormat="1" applyFont="1" applyFill="1" applyBorder="1" applyAlignment="1" applyProtection="1">
      <alignment wrapText="1"/>
    </xf>
    <xf numFmtId="0" fontId="11" fillId="5" borderId="0" xfId="0" applyFont="1" applyFill="1" applyBorder="1" applyAlignment="1" applyProtection="1">
      <alignment horizontal="left" indent="1"/>
    </xf>
    <xf numFmtId="0" fontId="9" fillId="0" borderId="0" xfId="8" applyFont="1" applyFill="1" applyAlignment="1" applyProtection="1"/>
    <xf numFmtId="0" fontId="9" fillId="0" borderId="0" xfId="0" applyFont="1" applyFill="1" applyAlignment="1" applyProtection="1"/>
    <xf numFmtId="0" fontId="10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2" fillId="5" borderId="6" xfId="0" applyFont="1" applyFill="1" applyBorder="1"/>
    <xf numFmtId="0" fontId="23" fillId="5" borderId="5" xfId="0" applyFont="1" applyFill="1" applyBorder="1"/>
    <xf numFmtId="49" fontId="21" fillId="5" borderId="0" xfId="0" applyNumberFormat="1" applyFont="1" applyFill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9" fillId="0" borderId="0" xfId="8" applyFont="1" applyFill="1" applyAlignment="1" applyProtection="1">
      <alignment horizontal="left"/>
    </xf>
    <xf numFmtId="0" fontId="6" fillId="0" borderId="0" xfId="4"/>
    <xf numFmtId="0" fontId="7" fillId="0" borderId="0" xfId="4" applyFont="1" applyAlignment="1">
      <alignment horizontal="center" wrapText="1"/>
    </xf>
    <xf numFmtId="0" fontId="24" fillId="0" borderId="0" xfId="4" applyFont="1"/>
    <xf numFmtId="2" fontId="7" fillId="4" borderId="0" xfId="4" applyNumberFormat="1" applyFont="1" applyFill="1"/>
    <xf numFmtId="166" fontId="7" fillId="4" borderId="0" xfId="4" applyNumberFormat="1" applyFont="1" applyFill="1"/>
    <xf numFmtId="0" fontId="6" fillId="4" borderId="0" xfId="4" applyFill="1"/>
    <xf numFmtId="0" fontId="25" fillId="4" borderId="0" xfId="4" applyFont="1" applyFill="1" applyAlignment="1">
      <alignment horizontal="right" wrapText="1"/>
    </xf>
    <xf numFmtId="0" fontId="6" fillId="0" borderId="0" xfId="4" applyAlignment="1">
      <alignment vertical="center" wrapText="1"/>
    </xf>
    <xf numFmtId="0" fontId="6" fillId="0" borderId="0" xfId="11"/>
    <xf numFmtId="166" fontId="6" fillId="0" borderId="0" xfId="11" applyNumberFormat="1"/>
    <xf numFmtId="4" fontId="26" fillId="0" borderId="0" xfId="11" applyNumberFormat="1" applyFont="1"/>
    <xf numFmtId="0" fontId="6" fillId="0" borderId="0" xfId="11" applyFont="1"/>
    <xf numFmtId="0" fontId="6" fillId="0" borderId="0" xfId="12"/>
    <xf numFmtId="165" fontId="6" fillId="0" borderId="0" xfId="11" applyNumberFormat="1"/>
    <xf numFmtId="165" fontId="6" fillId="0" borderId="0" xfId="12" applyNumberFormat="1"/>
    <xf numFmtId="2" fontId="6" fillId="0" borderId="0" xfId="11" applyNumberFormat="1"/>
    <xf numFmtId="4" fontId="6" fillId="0" borderId="0" xfId="11" applyNumberFormat="1"/>
    <xf numFmtId="3" fontId="6" fillId="0" borderId="0" xfId="11" applyNumberFormat="1"/>
    <xf numFmtId="3" fontId="6" fillId="0" borderId="0" xfId="4" applyNumberFormat="1"/>
    <xf numFmtId="164" fontId="20" fillId="0" borderId="0" xfId="0" applyNumberFormat="1" applyFont="1" applyFill="1" applyBorder="1" applyAlignment="1" applyProtection="1">
      <alignment wrapText="1"/>
    </xf>
    <xf numFmtId="3" fontId="8" fillId="6" borderId="0" xfId="0" applyNumberFormat="1" applyFont="1" applyFill="1" applyBorder="1" applyAlignment="1"/>
    <xf numFmtId="0" fontId="30" fillId="0" borderId="0" xfId="16" applyFont="1" applyAlignment="1">
      <alignment horizontal="center"/>
    </xf>
    <xf numFmtId="0" fontId="30" fillId="0" borderId="0" xfId="16" applyFont="1"/>
    <xf numFmtId="1" fontId="30" fillId="0" borderId="0" xfId="16" applyNumberFormat="1" applyFont="1"/>
    <xf numFmtId="165" fontId="30" fillId="0" borderId="0" xfId="16" applyNumberFormat="1" applyFont="1"/>
    <xf numFmtId="165" fontId="31" fillId="0" borderId="0" xfId="16" applyNumberFormat="1" applyFont="1"/>
    <xf numFmtId="2" fontId="30" fillId="0" borderId="0" xfId="16" applyNumberFormat="1" applyFont="1"/>
    <xf numFmtId="0" fontId="32" fillId="0" borderId="0" xfId="17"/>
    <xf numFmtId="0" fontId="30" fillId="0" borderId="0" xfId="16" applyFont="1" applyFill="1"/>
    <xf numFmtId="0" fontId="30" fillId="0" borderId="0" xfId="16" applyFont="1" applyBorder="1"/>
    <xf numFmtId="0" fontId="10" fillId="0" borderId="0" xfId="0" applyFont="1" applyAlignment="1">
      <alignment vertical="top" wrapText="1"/>
    </xf>
    <xf numFmtId="0" fontId="20" fillId="0" borderId="0" xfId="0" applyFont="1"/>
    <xf numFmtId="166" fontId="21" fillId="5" borderId="0" xfId="0" applyNumberFormat="1" applyFont="1" applyFill="1" applyBorder="1" applyAlignment="1" applyProtection="1">
      <alignment horizontal="right" vertical="center"/>
    </xf>
    <xf numFmtId="166" fontId="21" fillId="5" borderId="0" xfId="0" applyNumberFormat="1" applyFont="1" applyFill="1" applyBorder="1" applyAlignment="1" applyProtection="1">
      <alignment horizontal="right"/>
    </xf>
    <xf numFmtId="49" fontId="21" fillId="5" borderId="5" xfId="0" applyNumberFormat="1" applyFont="1" applyFill="1" applyBorder="1"/>
    <xf numFmtId="166" fontId="21" fillId="5" borderId="5" xfId="0" applyNumberFormat="1" applyFont="1" applyFill="1" applyBorder="1" applyAlignment="1" applyProtection="1">
      <alignment horizontal="right" vertical="center"/>
    </xf>
    <xf numFmtId="166" fontId="21" fillId="5" borderId="5" xfId="0" applyNumberFormat="1" applyFont="1" applyFill="1" applyBorder="1" applyAlignment="1" applyProtection="1">
      <alignment horizontal="right"/>
    </xf>
    <xf numFmtId="166" fontId="21" fillId="5" borderId="0" xfId="0" applyNumberFormat="1" applyFont="1" applyFill="1"/>
    <xf numFmtId="166" fontId="21" fillId="5" borderId="5" xfId="0" applyNumberFormat="1" applyFont="1" applyFill="1" applyBorder="1"/>
    <xf numFmtId="164" fontId="20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3" fillId="0" borderId="0" xfId="0" applyFont="1" applyFill="1" applyBorder="1" applyProtection="1"/>
    <xf numFmtId="4" fontId="4" fillId="0" borderId="0" xfId="0" applyNumberFormat="1" applyFont="1" applyFill="1" applyBorder="1" applyProtection="1"/>
    <xf numFmtId="0" fontId="10" fillId="5" borderId="9" xfId="0" applyFont="1" applyFill="1" applyBorder="1" applyAlignment="1" applyProtection="1">
      <alignment horizontal="left" vertical="center" indent="1"/>
    </xf>
    <xf numFmtId="0" fontId="36" fillId="5" borderId="0" xfId="20" applyFont="1" applyFill="1" applyBorder="1"/>
    <xf numFmtId="0" fontId="37" fillId="5" borderId="9" xfId="20" applyFont="1" applyFill="1" applyBorder="1"/>
    <xf numFmtId="0" fontId="12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wrapText="1"/>
    </xf>
    <xf numFmtId="0" fontId="34" fillId="0" borderId="0" xfId="20" applyFont="1" applyBorder="1" applyAlignment="1">
      <alignment wrapText="1"/>
    </xf>
    <xf numFmtId="0" fontId="11" fillId="0" borderId="0" xfId="0" applyFont="1" applyFill="1" applyBorder="1" applyAlignment="1" applyProtection="1">
      <alignment wrapText="1"/>
    </xf>
    <xf numFmtId="0" fontId="35" fillId="5" borderId="8" xfId="20" applyFont="1" applyFill="1" applyBorder="1" applyAlignment="1">
      <alignment wrapText="1"/>
    </xf>
    <xf numFmtId="17" fontId="37" fillId="5" borderId="8" xfId="20" quotePrefix="1" applyNumberFormat="1" applyFont="1" applyFill="1" applyBorder="1" applyAlignment="1">
      <alignment horizontal="right" wrapText="1"/>
    </xf>
    <xf numFmtId="0" fontId="38" fillId="5" borderId="9" xfId="0" applyFont="1" applyFill="1" applyBorder="1" applyAlignment="1" applyProtection="1">
      <alignment horizontal="left" vertical="center"/>
    </xf>
    <xf numFmtId="168" fontId="38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19" fillId="0" borderId="0" xfId="11" applyFont="1" applyFill="1"/>
    <xf numFmtId="0" fontId="2" fillId="0" borderId="0" xfId="26"/>
    <xf numFmtId="4" fontId="2" fillId="0" borderId="0" xfId="26" applyNumberFormat="1"/>
    <xf numFmtId="168" fontId="6" fillId="0" borderId="0" xfId="9" applyNumberFormat="1" applyFont="1"/>
    <xf numFmtId="0" fontId="40" fillId="0" borderId="0" xfId="11" applyFont="1"/>
    <xf numFmtId="0" fontId="41" fillId="0" borderId="0" xfId="11" applyFont="1"/>
    <xf numFmtId="0" fontId="2" fillId="0" borderId="0" xfId="26" applyFill="1"/>
    <xf numFmtId="168" fontId="0" fillId="0" borderId="0" xfId="27" applyNumberFormat="1" applyFont="1" applyFill="1"/>
    <xf numFmtId="164" fontId="21" fillId="5" borderId="0" xfId="0" applyNumberFormat="1" applyFont="1" applyFill="1" applyBorder="1" applyAlignment="1" applyProtection="1">
      <alignment horizontal="right" vertical="center"/>
    </xf>
    <xf numFmtId="0" fontId="42" fillId="0" borderId="0" xfId="0" applyFont="1" applyFill="1" applyProtection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1" fillId="0" borderId="0" xfId="26" applyFont="1"/>
    <xf numFmtId="0" fontId="34" fillId="0" borderId="0" xfId="20" applyFont="1" applyBorder="1" applyAlignment="1">
      <alignment horizontal="center" wrapText="1"/>
    </xf>
    <xf numFmtId="0" fontId="11" fillId="0" borderId="0" xfId="0" quotePrefix="1" applyFont="1" applyFill="1" applyBorder="1" applyProtection="1"/>
    <xf numFmtId="0" fontId="43" fillId="0" borderId="0" xfId="0" applyFont="1" applyFill="1" applyBorder="1" applyProtection="1"/>
    <xf numFmtId="0" fontId="44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Fill="1" applyBorder="1" applyAlignment="1" applyProtection="1">
      <alignment horizontal="left" indent="1"/>
    </xf>
    <xf numFmtId="0" fontId="43" fillId="5" borderId="0" xfId="0" applyFont="1" applyFill="1" applyBorder="1" applyAlignment="1" applyProtection="1">
      <alignment horizontal="left" indent="1"/>
    </xf>
    <xf numFmtId="17" fontId="9" fillId="0" borderId="0" xfId="0" applyNumberFormat="1" applyFont="1" applyFill="1" applyAlignment="1" applyProtection="1">
      <alignment horizontal="right"/>
    </xf>
    <xf numFmtId="165" fontId="45" fillId="0" borderId="0" xfId="0" applyNumberFormat="1" applyFont="1" applyFill="1" applyBorder="1" applyProtection="1"/>
    <xf numFmtId="0" fontId="45" fillId="0" borderId="0" xfId="0" applyFont="1"/>
    <xf numFmtId="164" fontId="45" fillId="0" borderId="0" xfId="0" applyNumberFormat="1" applyFont="1"/>
    <xf numFmtId="170" fontId="45" fillId="0" borderId="0" xfId="0" applyNumberFormat="1" applyFont="1" applyFill="1" applyBorder="1" applyProtection="1"/>
    <xf numFmtId="0" fontId="21" fillId="5" borderId="10" xfId="31" applyFont="1" applyFill="1" applyBorder="1" applyProtection="1"/>
    <xf numFmtId="166" fontId="21" fillId="5" borderId="5" xfId="0" applyNumberFormat="1" applyFont="1" applyFill="1" applyBorder="1" applyAlignment="1" applyProtection="1">
      <alignment horizontal="left" vertical="center"/>
    </xf>
    <xf numFmtId="3" fontId="36" fillId="5" borderId="0" xfId="20" applyNumberFormat="1" applyFont="1" applyFill="1" applyBorder="1"/>
    <xf numFmtId="3" fontId="37" fillId="5" borderId="9" xfId="20" applyNumberFormat="1" applyFont="1" applyFill="1" applyBorder="1"/>
    <xf numFmtId="3" fontId="20" fillId="5" borderId="6" xfId="0" applyNumberFormat="1" applyFont="1" applyFill="1" applyBorder="1" applyAlignment="1">
      <alignment horizontal="right" wrapText="1"/>
    </xf>
    <xf numFmtId="164" fontId="20" fillId="0" borderId="0" xfId="0" applyNumberFormat="1" applyFont="1" applyFill="1" applyBorder="1" applyAlignment="1" applyProtection="1">
      <alignment horizontal="left"/>
    </xf>
    <xf numFmtId="0" fontId="22" fillId="0" borderId="0" xfId="0" applyFont="1"/>
    <xf numFmtId="3" fontId="20" fillId="5" borderId="1" xfId="0" applyNumberFormat="1" applyFont="1" applyFill="1" applyBorder="1" applyAlignment="1">
      <alignment horizontal="left" vertical="center"/>
    </xf>
    <xf numFmtId="164" fontId="21" fillId="5" borderId="0" xfId="0" applyNumberFormat="1" applyFont="1" applyFill="1" applyBorder="1" applyAlignment="1" applyProtection="1">
      <alignment horizontal="left" vertical="center"/>
    </xf>
    <xf numFmtId="3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 applyProtection="1">
      <alignment horizontal="left" vertical="center"/>
    </xf>
    <xf numFmtId="1" fontId="21" fillId="5" borderId="3" xfId="0" applyNumberFormat="1" applyFont="1" applyFill="1" applyBorder="1" applyAlignment="1">
      <alignment horizontal="right" vertical="center"/>
    </xf>
    <xf numFmtId="0" fontId="47" fillId="0" borderId="0" xfId="12" applyFont="1"/>
    <xf numFmtId="0" fontId="47" fillId="0" borderId="0" xfId="11" applyFont="1"/>
    <xf numFmtId="168" fontId="47" fillId="0" borderId="0" xfId="9" applyNumberFormat="1" applyFont="1"/>
    <xf numFmtId="10" fontId="21" fillId="5" borderId="0" xfId="0" applyNumberFormat="1" applyFont="1" applyFill="1" applyBorder="1" applyAlignment="1">
      <alignment horizontal="right" vertical="center"/>
    </xf>
    <xf numFmtId="49" fontId="20" fillId="5" borderId="1" xfId="0" applyNumberFormat="1" applyFont="1" applyFill="1" applyBorder="1" applyAlignment="1">
      <alignment horizontal="right" vertical="center"/>
    </xf>
    <xf numFmtId="0" fontId="48" fillId="0" borderId="0" xfId="26" applyFont="1"/>
    <xf numFmtId="164" fontId="21" fillId="2" borderId="2" xfId="24" applyFont="1" applyAlignment="1">
      <alignment horizontal="right" vertical="center"/>
    </xf>
    <xf numFmtId="164" fontId="20" fillId="5" borderId="1" xfId="0" applyNumberFormat="1" applyFont="1" applyFill="1" applyBorder="1" applyAlignment="1">
      <alignment horizontal="left" vertical="center"/>
    </xf>
    <xf numFmtId="164" fontId="20" fillId="5" borderId="1" xfId="0" applyNumberFormat="1" applyFont="1" applyFill="1" applyBorder="1" applyAlignment="1">
      <alignment horizontal="right" vertical="center"/>
    </xf>
    <xf numFmtId="17" fontId="48" fillId="0" borderId="0" xfId="26" applyNumberFormat="1" applyFont="1"/>
    <xf numFmtId="164" fontId="48" fillId="0" borderId="0" xfId="26" applyNumberFormat="1" applyFont="1"/>
    <xf numFmtId="0" fontId="22" fillId="0" borderId="0" xfId="0" applyFont="1" applyBorder="1"/>
    <xf numFmtId="0" fontId="49" fillId="0" borderId="0" xfId="0" applyFont="1" applyFill="1" applyBorder="1" applyProtection="1"/>
    <xf numFmtId="3" fontId="21" fillId="0" borderId="0" xfId="0" applyNumberFormat="1" applyFont="1" applyFill="1" applyBorder="1" applyAlignment="1" applyProtection="1">
      <alignment horizontal="centerContinuous"/>
    </xf>
    <xf numFmtId="3" fontId="21" fillId="0" borderId="0" xfId="0" applyNumberFormat="1" applyFont="1" applyFill="1" applyBorder="1"/>
    <xf numFmtId="0" fontId="20" fillId="5" borderId="4" xfId="0" applyNumberFormat="1" applyFont="1" applyFill="1" applyBorder="1" applyAlignment="1">
      <alignment horizontal="right" vertical="center"/>
    </xf>
    <xf numFmtId="0" fontId="50" fillId="0" borderId="0" xfId="0" applyFont="1"/>
    <xf numFmtId="4" fontId="21" fillId="5" borderId="0" xfId="0" applyNumberFormat="1" applyFont="1" applyFill="1" applyBorder="1" applyAlignment="1">
      <alignment horizontal="right" vertical="center"/>
    </xf>
    <xf numFmtId="170" fontId="50" fillId="0" borderId="0" xfId="0" applyNumberFormat="1" applyFont="1" applyAlignment="1"/>
    <xf numFmtId="164" fontId="50" fillId="0" borderId="0" xfId="0" applyNumberFormat="1" applyFont="1" applyAlignment="1"/>
    <xf numFmtId="4" fontId="50" fillId="0" borderId="0" xfId="0" applyNumberFormat="1" applyFont="1" applyAlignment="1"/>
    <xf numFmtId="2" fontId="21" fillId="5" borderId="3" xfId="0" applyNumberFormat="1" applyFont="1" applyFill="1" applyBorder="1" applyAlignment="1">
      <alignment horizontal="right" vertical="center"/>
    </xf>
    <xf numFmtId="4" fontId="49" fillId="0" borderId="0" xfId="0" applyNumberFormat="1" applyFont="1" applyFill="1" applyBorder="1" applyProtection="1"/>
    <xf numFmtId="4" fontId="22" fillId="0" borderId="0" xfId="0" applyNumberFormat="1" applyFont="1" applyFill="1"/>
    <xf numFmtId="0" fontId="22" fillId="0" borderId="0" xfId="0" applyFont="1" applyFill="1"/>
    <xf numFmtId="164" fontId="21" fillId="5" borderId="3" xfId="0" applyNumberFormat="1" applyFont="1" applyFill="1" applyBorder="1" applyAlignment="1" applyProtection="1">
      <alignment horizontal="right" vertical="center"/>
    </xf>
    <xf numFmtId="164" fontId="20" fillId="5" borderId="0" xfId="0" applyNumberFormat="1" applyFont="1" applyFill="1" applyBorder="1" applyAlignment="1" applyProtection="1">
      <alignment horizontal="left" vertical="center"/>
    </xf>
    <xf numFmtId="49" fontId="20" fillId="5" borderId="1" xfId="0" applyNumberFormat="1" applyFont="1" applyFill="1" applyBorder="1" applyAlignment="1">
      <alignment horizontal="left" vertical="center"/>
    </xf>
    <xf numFmtId="4" fontId="21" fillId="5" borderId="0" xfId="0" applyNumberFormat="1" applyFont="1" applyFill="1" applyBorder="1" applyAlignment="1">
      <alignment horizontal="left" vertical="center"/>
    </xf>
    <xf numFmtId="49" fontId="21" fillId="5" borderId="3" xfId="0" applyNumberFormat="1" applyFont="1" applyFill="1" applyBorder="1" applyAlignment="1" applyProtection="1">
      <alignment horizontal="left" vertical="center"/>
    </xf>
    <xf numFmtId="4" fontId="21" fillId="5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right"/>
    </xf>
    <xf numFmtId="0" fontId="21" fillId="8" borderId="11" xfId="21" applyFont="1" applyFill="1" applyBorder="1" applyAlignment="1">
      <alignment horizontal="left" vertical="center"/>
    </xf>
    <xf numFmtId="0" fontId="21" fillId="8" borderId="7" xfId="21" applyFont="1" applyFill="1" applyBorder="1" applyAlignment="1">
      <alignment horizontal="left" vertical="center"/>
    </xf>
    <xf numFmtId="0" fontId="4" fillId="0" borderId="0" xfId="0" applyFont="1" applyFill="1" applyProtection="1"/>
    <xf numFmtId="0" fontId="9" fillId="0" borderId="0" xfId="32" applyFont="1" applyFill="1" applyAlignment="1" applyProtection="1">
      <alignment horizontal="right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right"/>
    </xf>
    <xf numFmtId="0" fontId="52" fillId="5" borderId="0" xfId="0" applyFont="1" applyFill="1" applyBorder="1" applyAlignment="1" applyProtection="1">
      <alignment horizontal="right" vertical="center"/>
    </xf>
    <xf numFmtId="0" fontId="20" fillId="5" borderId="0" xfId="33" applyFont="1" applyFill="1" applyBorder="1" applyAlignment="1" applyProtection="1">
      <alignment horizontal="left"/>
    </xf>
    <xf numFmtId="164" fontId="10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52" fillId="5" borderId="0" xfId="0" applyFont="1" applyFill="1" applyBorder="1" applyAlignment="1" applyProtection="1">
      <alignment horizontal="right" vertical="top"/>
    </xf>
    <xf numFmtId="0" fontId="10" fillId="5" borderId="0" xfId="33" applyFont="1" applyFill="1" applyBorder="1" applyAlignment="1" applyProtection="1">
      <alignment horizontal="left"/>
    </xf>
    <xf numFmtId="0" fontId="21" fillId="0" borderId="0" xfId="0" applyFont="1" applyFill="1" applyProtection="1"/>
    <xf numFmtId="0" fontId="10" fillId="0" borderId="0" xfId="0" applyFont="1"/>
    <xf numFmtId="3" fontId="10" fillId="0" borderId="0" xfId="0" applyNumberFormat="1" applyFont="1" applyFill="1" applyBorder="1" applyAlignment="1">
      <alignment horizontal="left"/>
    </xf>
    <xf numFmtId="2" fontId="21" fillId="5" borderId="5" xfId="0" applyNumberFormat="1" applyFont="1" applyFill="1" applyBorder="1" applyAlignment="1" applyProtection="1">
      <alignment horizontal="right" vertical="center"/>
    </xf>
    <xf numFmtId="2" fontId="21" fillId="5" borderId="10" xfId="31" applyNumberFormat="1" applyFont="1" applyFill="1" applyBorder="1" applyProtection="1"/>
    <xf numFmtId="2" fontId="21" fillId="5" borderId="0" xfId="0" applyNumberFormat="1" applyFont="1" applyFill="1" applyBorder="1" applyAlignment="1" applyProtection="1">
      <alignment horizontal="right" vertical="center"/>
    </xf>
    <xf numFmtId="0" fontId="20" fillId="4" borderId="0" xfId="31" applyFont="1" applyFill="1" applyBorder="1" applyProtection="1"/>
    <xf numFmtId="164" fontId="20" fillId="4" borderId="0" xfId="0" applyNumberFormat="1" applyFont="1" applyFill="1" applyBorder="1" applyAlignment="1" applyProtection="1">
      <alignment horizontal="left"/>
    </xf>
    <xf numFmtId="4" fontId="21" fillId="4" borderId="0" xfId="0" applyNumberFormat="1" applyFont="1" applyFill="1" applyBorder="1" applyAlignment="1">
      <alignment horizontal="right" vertical="center"/>
    </xf>
    <xf numFmtId="164" fontId="21" fillId="4" borderId="0" xfId="0" applyNumberFormat="1" applyFont="1" applyFill="1" applyBorder="1" applyAlignment="1" applyProtection="1">
      <alignment horizontal="left" vertical="center"/>
    </xf>
    <xf numFmtId="2" fontId="21" fillId="4" borderId="0" xfId="0" applyNumberFormat="1" applyFont="1" applyFill="1" applyBorder="1" applyAlignment="1">
      <alignment horizontal="right" vertical="center"/>
    </xf>
    <xf numFmtId="0" fontId="20" fillId="4" borderId="10" xfId="31" applyFont="1" applyFill="1" applyBorder="1" applyProtection="1"/>
    <xf numFmtId="0" fontId="21" fillId="4" borderId="10" xfId="31" applyFont="1" applyFill="1" applyBorder="1" applyProtection="1"/>
    <xf numFmtId="168" fontId="21" fillId="5" borderId="0" xfId="0" applyNumberFormat="1" applyFont="1" applyFill="1" applyBorder="1" applyAlignment="1">
      <alignment horizontal="right" vertical="center"/>
    </xf>
    <xf numFmtId="0" fontId="22" fillId="4" borderId="0" xfId="0" applyFont="1" applyFill="1"/>
    <xf numFmtId="164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>
      <alignment horizontal="right" vertical="center"/>
    </xf>
    <xf numFmtId="0" fontId="54" fillId="0" borderId="0" xfId="0" applyFont="1"/>
    <xf numFmtId="164" fontId="21" fillId="4" borderId="2" xfId="24" applyFont="1" applyFill="1" applyAlignment="1">
      <alignment horizontal="right" vertical="center"/>
    </xf>
    <xf numFmtId="164" fontId="21" fillId="5" borderId="1" xfId="0" applyNumberFormat="1" applyFont="1" applyFill="1" applyBorder="1" applyAlignment="1">
      <alignment horizontal="right" vertical="center"/>
    </xf>
    <xf numFmtId="2" fontId="20" fillId="5" borderId="5" xfId="0" applyNumberFormat="1" applyFont="1" applyFill="1" applyBorder="1" applyAlignment="1" applyProtection="1">
      <alignment horizontal="right" vertical="center"/>
    </xf>
    <xf numFmtId="164" fontId="20" fillId="5" borderId="5" xfId="0" applyNumberFormat="1" applyFont="1" applyFill="1" applyBorder="1" applyAlignment="1" applyProtection="1">
      <alignment horizontal="right" vertical="center"/>
    </xf>
    <xf numFmtId="2" fontId="20" fillId="5" borderId="0" xfId="0" applyNumberFormat="1" applyFont="1" applyFill="1" applyBorder="1" applyAlignment="1" applyProtection="1">
      <alignment horizontal="right" vertical="center"/>
    </xf>
    <xf numFmtId="166" fontId="21" fillId="5" borderId="3" xfId="0" applyNumberFormat="1" applyFont="1" applyFill="1" applyBorder="1" applyAlignment="1">
      <alignment horizontal="right" vertical="center"/>
    </xf>
    <xf numFmtId="3" fontId="21" fillId="5" borderId="3" xfId="0" applyNumberFormat="1" applyFont="1" applyFill="1" applyBorder="1" applyAlignment="1">
      <alignment horizontal="right" vertical="center"/>
    </xf>
    <xf numFmtId="164" fontId="21" fillId="9" borderId="0" xfId="0" applyNumberFormat="1" applyFont="1" applyFill="1" applyBorder="1" applyAlignment="1" applyProtection="1">
      <alignment horizontal="left" vertical="center"/>
    </xf>
    <xf numFmtId="164" fontId="20" fillId="9" borderId="12" xfId="0" applyNumberFormat="1" applyFont="1" applyFill="1" applyBorder="1" applyAlignment="1">
      <alignment horizontal="right" vertical="center"/>
    </xf>
    <xf numFmtId="164" fontId="21" fillId="2" borderId="12" xfId="24" applyFont="1" applyFill="1" applyBorder="1" applyAlignment="1">
      <alignment horizontal="right" vertical="center"/>
    </xf>
    <xf numFmtId="0" fontId="19" fillId="0" borderId="0" xfId="11" applyFont="1"/>
    <xf numFmtId="0" fontId="54" fillId="0" borderId="0" xfId="0" applyFont="1" applyFill="1"/>
    <xf numFmtId="168" fontId="54" fillId="0" borderId="0" xfId="0" applyNumberFormat="1" applyFont="1" applyFill="1"/>
    <xf numFmtId="2" fontId="33" fillId="0" borderId="0" xfId="0" applyNumberFormat="1" applyFont="1" applyFill="1" applyBorder="1" applyProtection="1"/>
    <xf numFmtId="0" fontId="33" fillId="0" borderId="0" xfId="0" applyFont="1" applyFill="1"/>
    <xf numFmtId="166" fontId="33" fillId="0" borderId="0" xfId="0" applyNumberFormat="1" applyFont="1" applyFill="1" applyBorder="1" applyProtection="1"/>
    <xf numFmtId="164" fontId="2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3" fontId="21" fillId="5" borderId="6" xfId="0" applyNumberFormat="1" applyFont="1" applyFill="1" applyBorder="1" applyAlignment="1">
      <alignment horizontal="right" wrapText="1"/>
    </xf>
    <xf numFmtId="3" fontId="21" fillId="5" borderId="5" xfId="0" applyNumberFormat="1" applyFont="1" applyFill="1" applyBorder="1" applyAlignment="1">
      <alignment horizontal="right" wrapText="1"/>
    </xf>
    <xf numFmtId="3" fontId="20" fillId="5" borderId="6" xfId="0" applyNumberFormat="1" applyFont="1" applyFill="1" applyBorder="1" applyAlignment="1">
      <alignment horizontal="right" wrapText="1"/>
    </xf>
    <xf numFmtId="3" fontId="20" fillId="5" borderId="5" xfId="0" applyNumberFormat="1" applyFont="1" applyFill="1" applyBorder="1" applyAlignment="1">
      <alignment horizontal="right" wrapText="1"/>
    </xf>
    <xf numFmtId="0" fontId="21" fillId="8" borderId="11" xfId="21" quotePrefix="1" applyFont="1" applyFill="1" applyBorder="1" applyAlignment="1">
      <alignment horizontal="center" vertical="center"/>
    </xf>
    <xf numFmtId="0" fontId="21" fillId="8" borderId="0" xfId="21" quotePrefix="1" applyFont="1" applyFill="1" applyBorder="1" applyAlignment="1">
      <alignment horizontal="center" vertical="center"/>
    </xf>
  </cellXfs>
  <cellStyles count="34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Normal" xfId="0" builtinId="0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ED7D31"/>
      <color rgb="FF70303C"/>
      <color rgb="FF0090D1"/>
      <color rgb="FF70AD47"/>
      <color rgb="FFA99BBD"/>
      <color rgb="FF2C4D75"/>
      <color rgb="FFFF0000"/>
      <color rgb="FF91C3D5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70508591281434263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'Data 1'!$C$5:$C$35</c:f>
              <c:numCache>
                <c:formatCode>General</c:formatCode>
                <c:ptCount val="31"/>
                <c:pt idx="0">
                  <c:v>49.65</c:v>
                </c:pt>
                <c:pt idx="1">
                  <c:v>51.73</c:v>
                </c:pt>
                <c:pt idx="2">
                  <c:v>52.69</c:v>
                </c:pt>
                <c:pt idx="3">
                  <c:v>50.64</c:v>
                </c:pt>
                <c:pt idx="4">
                  <c:v>51.15</c:v>
                </c:pt>
                <c:pt idx="5">
                  <c:v>53.89</c:v>
                </c:pt>
                <c:pt idx="6">
                  <c:v>58.05</c:v>
                </c:pt>
                <c:pt idx="7">
                  <c:v>59.64</c:v>
                </c:pt>
                <c:pt idx="8">
                  <c:v>58.75</c:v>
                </c:pt>
                <c:pt idx="9">
                  <c:v>62.3</c:v>
                </c:pt>
                <c:pt idx="10">
                  <c:v>62.19</c:v>
                </c:pt>
                <c:pt idx="11">
                  <c:v>59.13</c:v>
                </c:pt>
                <c:pt idx="12">
                  <c:v>56.18</c:v>
                </c:pt>
                <c:pt idx="13">
                  <c:v>58.01</c:v>
                </c:pt>
                <c:pt idx="14">
                  <c:v>58.6</c:v>
                </c:pt>
                <c:pt idx="15">
                  <c:v>57.67</c:v>
                </c:pt>
                <c:pt idx="16">
                  <c:v>58.45</c:v>
                </c:pt>
                <c:pt idx="17">
                  <c:v>60.1</c:v>
                </c:pt>
                <c:pt idx="18">
                  <c:v>61.98</c:v>
                </c:pt>
                <c:pt idx="19">
                  <c:v>63.01</c:v>
                </c:pt>
                <c:pt idx="20">
                  <c:v>66</c:v>
                </c:pt>
                <c:pt idx="21">
                  <c:v>65.099999999999994</c:v>
                </c:pt>
                <c:pt idx="22">
                  <c:v>66.64</c:v>
                </c:pt>
                <c:pt idx="23">
                  <c:v>66.45</c:v>
                </c:pt>
                <c:pt idx="24">
                  <c:v>67.05</c:v>
                </c:pt>
                <c:pt idx="25">
                  <c:v>66.290000000000006</c:v>
                </c:pt>
                <c:pt idx="26">
                  <c:v>64.97</c:v>
                </c:pt>
                <c:pt idx="27">
                  <c:v>67.13</c:v>
                </c:pt>
                <c:pt idx="28">
                  <c:v>66.5</c:v>
                </c:pt>
                <c:pt idx="29">
                  <c:v>67.67</c:v>
                </c:pt>
                <c:pt idx="30">
                  <c:v>67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'Data 1'!$D$5:$D$35</c:f>
              <c:numCache>
                <c:formatCode>General</c:formatCode>
                <c:ptCount val="31"/>
                <c:pt idx="0">
                  <c:v>32.6</c:v>
                </c:pt>
                <c:pt idx="1">
                  <c:v>32.4</c:v>
                </c:pt>
                <c:pt idx="2">
                  <c:v>33.869999999999997</c:v>
                </c:pt>
                <c:pt idx="3">
                  <c:v>32</c:v>
                </c:pt>
                <c:pt idx="4">
                  <c:v>37.729999999999997</c:v>
                </c:pt>
                <c:pt idx="5">
                  <c:v>42.68</c:v>
                </c:pt>
                <c:pt idx="6">
                  <c:v>54.6</c:v>
                </c:pt>
                <c:pt idx="7">
                  <c:v>53.04</c:v>
                </c:pt>
                <c:pt idx="8">
                  <c:v>48.26</c:v>
                </c:pt>
                <c:pt idx="9">
                  <c:v>38.799999999999997</c:v>
                </c:pt>
                <c:pt idx="10">
                  <c:v>56.95</c:v>
                </c:pt>
                <c:pt idx="11">
                  <c:v>26.09</c:v>
                </c:pt>
                <c:pt idx="12">
                  <c:v>15</c:v>
                </c:pt>
                <c:pt idx="13">
                  <c:v>44.15</c:v>
                </c:pt>
                <c:pt idx="14">
                  <c:v>36.6</c:v>
                </c:pt>
                <c:pt idx="15">
                  <c:v>36.869999999999997</c:v>
                </c:pt>
                <c:pt idx="16">
                  <c:v>44.44</c:v>
                </c:pt>
                <c:pt idx="17">
                  <c:v>49.1</c:v>
                </c:pt>
                <c:pt idx="18">
                  <c:v>58.47</c:v>
                </c:pt>
                <c:pt idx="19">
                  <c:v>54.98</c:v>
                </c:pt>
                <c:pt idx="20">
                  <c:v>59.45</c:v>
                </c:pt>
                <c:pt idx="21">
                  <c:v>62.26</c:v>
                </c:pt>
                <c:pt idx="22">
                  <c:v>63.5</c:v>
                </c:pt>
                <c:pt idx="23">
                  <c:v>60.34</c:v>
                </c:pt>
                <c:pt idx="24">
                  <c:v>62.03</c:v>
                </c:pt>
                <c:pt idx="25">
                  <c:v>51.2</c:v>
                </c:pt>
                <c:pt idx="26">
                  <c:v>50.22</c:v>
                </c:pt>
                <c:pt idx="27">
                  <c:v>50.22</c:v>
                </c:pt>
                <c:pt idx="28">
                  <c:v>63.29</c:v>
                </c:pt>
                <c:pt idx="29">
                  <c:v>59.41</c:v>
                </c:pt>
                <c:pt idx="30">
                  <c:v>54.95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649176"/>
        <c:axId val="329649568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numRef>
              <c:f>'Data 1'!$A$5:$A$35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1'!$E$5:$E$35</c:f>
              <c:numCache>
                <c:formatCode>0.00</c:formatCode>
                <c:ptCount val="31"/>
                <c:pt idx="0">
                  <c:v>39.8930505911</c:v>
                </c:pt>
                <c:pt idx="1">
                  <c:v>45.754876111500003</c:v>
                </c:pt>
                <c:pt idx="2">
                  <c:v>43.116010488800001</c:v>
                </c:pt>
                <c:pt idx="3">
                  <c:v>42.397018236500003</c:v>
                </c:pt>
                <c:pt idx="4">
                  <c:v>45.577358870499999</c:v>
                </c:pt>
                <c:pt idx="5">
                  <c:v>47.754886136300001</c:v>
                </c:pt>
                <c:pt idx="6">
                  <c:v>56.548715727400001</c:v>
                </c:pt>
                <c:pt idx="7">
                  <c:v>56.8144959073</c:v>
                </c:pt>
                <c:pt idx="8">
                  <c:v>55.871149742900002</c:v>
                </c:pt>
                <c:pt idx="9">
                  <c:v>53.308470931700001</c:v>
                </c:pt>
                <c:pt idx="10">
                  <c:v>58.668970010000002</c:v>
                </c:pt>
                <c:pt idx="11">
                  <c:v>42.322184441200001</c:v>
                </c:pt>
                <c:pt idx="12">
                  <c:v>33.773196582399997</c:v>
                </c:pt>
                <c:pt idx="13">
                  <c:v>52.722388506599998</c:v>
                </c:pt>
                <c:pt idx="14">
                  <c:v>50.287527285000003</c:v>
                </c:pt>
                <c:pt idx="15">
                  <c:v>52.0618362819</c:v>
                </c:pt>
                <c:pt idx="16">
                  <c:v>54.430280287000002</c:v>
                </c:pt>
                <c:pt idx="17">
                  <c:v>57.589829859699996</c:v>
                </c:pt>
                <c:pt idx="18">
                  <c:v>60.444290825400003</c:v>
                </c:pt>
                <c:pt idx="19">
                  <c:v>59.293869230299997</c:v>
                </c:pt>
                <c:pt idx="20">
                  <c:v>62.939625127399999</c:v>
                </c:pt>
                <c:pt idx="21">
                  <c:v>63.353529334500003</c:v>
                </c:pt>
                <c:pt idx="22">
                  <c:v>64.984479651200004</c:v>
                </c:pt>
                <c:pt idx="23">
                  <c:v>64.065767150200003</c:v>
                </c:pt>
                <c:pt idx="24">
                  <c:v>64.772731143399994</c:v>
                </c:pt>
                <c:pt idx="25">
                  <c:v>61.126706717899999</c:v>
                </c:pt>
                <c:pt idx="26">
                  <c:v>60.146529499899998</c:v>
                </c:pt>
                <c:pt idx="27">
                  <c:v>62.798787838999999</c:v>
                </c:pt>
                <c:pt idx="28">
                  <c:v>65.4948386696</c:v>
                </c:pt>
                <c:pt idx="29">
                  <c:v>65.386720997699996</c:v>
                </c:pt>
                <c:pt idx="30">
                  <c:v>62.952396813500002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649176"/>
        <c:axId val="329649568"/>
      </c:lineChart>
      <c:catAx>
        <c:axId val="329649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329649568"/>
        <c:crosses val="autoZero"/>
        <c:auto val="1"/>
        <c:lblAlgn val="ctr"/>
        <c:lblOffset val="100"/>
        <c:noMultiLvlLbl val="0"/>
      </c:catAx>
      <c:valAx>
        <c:axId val="3296495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32964917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2'!$C$7:$O$7</c:f>
              <c:numCache>
                <c:formatCode>#,##0</c:formatCode>
                <c:ptCount val="13"/>
                <c:pt idx="0">
                  <c:v>508.80510752689997</c:v>
                </c:pt>
                <c:pt idx="1">
                  <c:v>519.46388888889999</c:v>
                </c:pt>
                <c:pt idx="2">
                  <c:v>510.7446236559</c:v>
                </c:pt>
                <c:pt idx="3">
                  <c:v>512.12365591399998</c:v>
                </c:pt>
                <c:pt idx="4">
                  <c:v>507.34166666670001</c:v>
                </c:pt>
                <c:pt idx="5">
                  <c:v>513.58791946309998</c:v>
                </c:pt>
                <c:pt idx="6">
                  <c:v>515.54861111109994</c:v>
                </c:pt>
                <c:pt idx="7">
                  <c:v>519.92069892469999</c:v>
                </c:pt>
                <c:pt idx="8">
                  <c:v>531.33064516130003</c:v>
                </c:pt>
                <c:pt idx="9">
                  <c:v>542.02380952379997</c:v>
                </c:pt>
                <c:pt idx="10">
                  <c:v>539.13593539700003</c:v>
                </c:pt>
                <c:pt idx="11">
                  <c:v>527.75833333330002</c:v>
                </c:pt>
                <c:pt idx="12">
                  <c:v>513.52016129030005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177488"/>
        <c:axId val="333177096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77488"/>
        <c:axId val="333177096"/>
      </c:lineChart>
      <c:valAx>
        <c:axId val="333177096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33177488"/>
        <c:crosses val="autoZero"/>
        <c:crossBetween val="between"/>
        <c:majorUnit val="200"/>
      </c:valAx>
      <c:catAx>
        <c:axId val="3331774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3317709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2'!$B$19</c:f>
              <c:strCache>
                <c:ptCount val="1"/>
                <c:pt idx="0">
                  <c:v>Energía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2'!$C$18:$O$18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2'!$C$19:$O$19</c:f>
              <c:numCache>
                <c:formatCode>#,##0</c:formatCode>
                <c:ptCount val="13"/>
                <c:pt idx="0">
                  <c:v>124663.514</c:v>
                </c:pt>
                <c:pt idx="1">
                  <c:v>94559.540999999997</c:v>
                </c:pt>
                <c:pt idx="2">
                  <c:v>85673.202000000005</c:v>
                </c:pt>
                <c:pt idx="3">
                  <c:v>81536.076000000001</c:v>
                </c:pt>
                <c:pt idx="4">
                  <c:v>75102.289000000004</c:v>
                </c:pt>
                <c:pt idx="5">
                  <c:v>65089.595000000001</c:v>
                </c:pt>
                <c:pt idx="6">
                  <c:v>72290.070000000007</c:v>
                </c:pt>
                <c:pt idx="7">
                  <c:v>81049.796000000002</c:v>
                </c:pt>
                <c:pt idx="8">
                  <c:v>106846.751</c:v>
                </c:pt>
                <c:pt idx="9">
                  <c:v>95118.278999999995</c:v>
                </c:pt>
                <c:pt idx="10">
                  <c:v>142766.35800000001</c:v>
                </c:pt>
                <c:pt idx="11">
                  <c:v>118380.448</c:v>
                </c:pt>
                <c:pt idx="12">
                  <c:v>119519.43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875936"/>
        <c:axId val="333876328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2'!$C$23:$O$23</c:f>
              <c:numCache>
                <c:formatCode>#,##0.0</c:formatCode>
                <c:ptCount val="13"/>
                <c:pt idx="0">
                  <c:v>50.732693448699997</c:v>
                </c:pt>
                <c:pt idx="1">
                  <c:v>52.547676812399999</c:v>
                </c:pt>
                <c:pt idx="2">
                  <c:v>50.083044053800002</c:v>
                </c:pt>
                <c:pt idx="3">
                  <c:v>47.756106266400003</c:v>
                </c:pt>
                <c:pt idx="4">
                  <c:v>50.449034516099999</c:v>
                </c:pt>
                <c:pt idx="5">
                  <c:v>58.357759792499998</c:v>
                </c:pt>
                <c:pt idx="6">
                  <c:v>62.377222902100002</c:v>
                </c:pt>
                <c:pt idx="7">
                  <c:v>61.842100256499997</c:v>
                </c:pt>
                <c:pt idx="8">
                  <c:v>51.707705552999997</c:v>
                </c:pt>
                <c:pt idx="9">
                  <c:v>57.0513155521</c:v>
                </c:pt>
                <c:pt idx="10">
                  <c:v>47.7017188461</c:v>
                </c:pt>
                <c:pt idx="11">
                  <c:v>48.565099365099996</c:v>
                </c:pt>
                <c:pt idx="12">
                  <c:v>57.697992953899998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77112"/>
        <c:axId val="333876720"/>
      </c:lineChart>
      <c:catAx>
        <c:axId val="33387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3876328"/>
        <c:crosses val="autoZero"/>
        <c:auto val="1"/>
        <c:lblAlgn val="ctr"/>
        <c:lblOffset val="100"/>
        <c:noMultiLvlLbl val="1"/>
      </c:catAx>
      <c:valAx>
        <c:axId val="333876328"/>
        <c:scaling>
          <c:orientation val="minMax"/>
          <c:max val="2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3875936"/>
        <c:crosses val="autoZero"/>
        <c:crossBetween val="between"/>
        <c:majorUnit val="50000"/>
        <c:dispUnits>
          <c:builtInUnit val="thousands"/>
        </c:dispUnits>
      </c:valAx>
      <c:valAx>
        <c:axId val="333876720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3877112"/>
        <c:crosses val="max"/>
        <c:crossBetween val="between"/>
        <c:majorUnit val="20"/>
      </c:valAx>
      <c:catAx>
        <c:axId val="333877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3876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'Data 2'!$C$20:$O$20</c:f>
              <c:numCache>
                <c:formatCode>#,##0</c:formatCode>
                <c:ptCount val="13"/>
                <c:pt idx="0">
                  <c:v>67245.510999999999</c:v>
                </c:pt>
                <c:pt idx="1">
                  <c:v>87837.740999999995</c:v>
                </c:pt>
                <c:pt idx="2">
                  <c:v>115472.265</c:v>
                </c:pt>
                <c:pt idx="3">
                  <c:v>110945.08</c:v>
                </c:pt>
                <c:pt idx="4">
                  <c:v>109933.033</c:v>
                </c:pt>
                <c:pt idx="5">
                  <c:v>138127.981</c:v>
                </c:pt>
                <c:pt idx="6">
                  <c:v>138345.883</c:v>
                </c:pt>
                <c:pt idx="7">
                  <c:v>143556.52499999999</c:v>
                </c:pt>
                <c:pt idx="8">
                  <c:v>117527.05499999999</c:v>
                </c:pt>
                <c:pt idx="9">
                  <c:v>136637.182</c:v>
                </c:pt>
                <c:pt idx="10">
                  <c:v>102576.868</c:v>
                </c:pt>
                <c:pt idx="11">
                  <c:v>92295.144</c:v>
                </c:pt>
                <c:pt idx="12">
                  <c:v>77249.592999999993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878288"/>
        <c:axId val="333877896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2'!$C$24:$O$24</c:f>
              <c:numCache>
                <c:formatCode>#,##0.0</c:formatCode>
                <c:ptCount val="13"/>
                <c:pt idx="0">
                  <c:v>39.81575127</c:v>
                </c:pt>
                <c:pt idx="1">
                  <c:v>42.375364024900001</c:v>
                </c:pt>
                <c:pt idx="2">
                  <c:v>40.013761746199997</c:v>
                </c:pt>
                <c:pt idx="3">
                  <c:v>38.090010931499997</c:v>
                </c:pt>
                <c:pt idx="4">
                  <c:v>39.002468893900001</c:v>
                </c:pt>
                <c:pt idx="5">
                  <c:v>45.204191538899998</c:v>
                </c:pt>
                <c:pt idx="6">
                  <c:v>53.3716975878</c:v>
                </c:pt>
                <c:pt idx="7">
                  <c:v>52.298940365100002</c:v>
                </c:pt>
                <c:pt idx="8">
                  <c:v>40.975879979299997</c:v>
                </c:pt>
                <c:pt idx="9">
                  <c:v>45.528719920500002</c:v>
                </c:pt>
                <c:pt idx="10">
                  <c:v>32.443740824700001</c:v>
                </c:pt>
                <c:pt idx="11">
                  <c:v>31.2592988641</c:v>
                </c:pt>
                <c:pt idx="12">
                  <c:v>50.325493106499998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79072"/>
        <c:axId val="333878680"/>
      </c:lineChart>
      <c:valAx>
        <c:axId val="333877896"/>
        <c:scaling>
          <c:orientation val="maxMin"/>
          <c:max val="20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33878288"/>
        <c:crosses val="autoZero"/>
        <c:crossBetween val="between"/>
        <c:majorUnit val="50000"/>
        <c:dispUnits>
          <c:builtInUnit val="thousands"/>
        </c:dispUnits>
      </c:valAx>
      <c:catAx>
        <c:axId val="3338782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33877896"/>
        <c:crosses val="autoZero"/>
        <c:auto val="1"/>
        <c:lblAlgn val="ctr"/>
        <c:lblOffset val="100"/>
        <c:noMultiLvlLbl val="0"/>
      </c:catAx>
      <c:valAx>
        <c:axId val="333878680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33879072"/>
        <c:crosses val="max"/>
        <c:crossBetween val="between"/>
        <c:majorUnit val="20"/>
      </c:valAx>
      <c:catAx>
        <c:axId val="333879072"/>
        <c:scaling>
          <c:orientation val="minMax"/>
        </c:scaling>
        <c:delete val="1"/>
        <c:axPos val="t"/>
        <c:majorTickMark val="out"/>
        <c:minorTickMark val="none"/>
        <c:tickLblPos val="nextTo"/>
        <c:crossAx val="33387868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2'!$C$54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2'!$D$54:$P$54</c:f>
              <c:numCache>
                <c:formatCode>#,##0.0</c:formatCode>
                <c:ptCount val="13"/>
                <c:pt idx="0">
                  <c:v>36573.1</c:v>
                </c:pt>
                <c:pt idx="1">
                  <c:v>31856.5</c:v>
                </c:pt>
                <c:pt idx="2">
                  <c:v>64224.4</c:v>
                </c:pt>
                <c:pt idx="3">
                  <c:v>71875.8</c:v>
                </c:pt>
                <c:pt idx="4">
                  <c:v>46377.5</c:v>
                </c:pt>
                <c:pt idx="5">
                  <c:v>28352.7</c:v>
                </c:pt>
                <c:pt idx="6">
                  <c:v>20637.7</c:v>
                </c:pt>
                <c:pt idx="7">
                  <c:v>30371.3</c:v>
                </c:pt>
                <c:pt idx="8">
                  <c:v>49749</c:v>
                </c:pt>
                <c:pt idx="9">
                  <c:v>47780.9</c:v>
                </c:pt>
                <c:pt idx="10">
                  <c:v>18764.099999999999</c:v>
                </c:pt>
                <c:pt idx="11">
                  <c:v>19179.5</c:v>
                </c:pt>
                <c:pt idx="12">
                  <c:v>18994.099999999999</c:v>
                </c:pt>
              </c:numCache>
            </c:numRef>
          </c:val>
        </c:ser>
        <c:ser>
          <c:idx val="3"/>
          <c:order val="2"/>
          <c:tx>
            <c:strRef>
              <c:f>'Data 2'!$C$55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2'!$D$55:$P$55</c:f>
              <c:numCache>
                <c:formatCode>#,##0.0</c:formatCode>
                <c:ptCount val="13"/>
                <c:pt idx="0">
                  <c:v>14965.8</c:v>
                </c:pt>
                <c:pt idx="1">
                  <c:v>21784.2</c:v>
                </c:pt>
                <c:pt idx="2">
                  <c:v>40730.5</c:v>
                </c:pt>
                <c:pt idx="3">
                  <c:v>44407.8</c:v>
                </c:pt>
                <c:pt idx="4">
                  <c:v>52485.1</c:v>
                </c:pt>
                <c:pt idx="5">
                  <c:v>33701.800000000003</c:v>
                </c:pt>
                <c:pt idx="6">
                  <c:v>33409.300000000003</c:v>
                </c:pt>
                <c:pt idx="7">
                  <c:v>38818.699999999997</c:v>
                </c:pt>
                <c:pt idx="8">
                  <c:v>21689</c:v>
                </c:pt>
                <c:pt idx="9">
                  <c:v>17066.099999999999</c:v>
                </c:pt>
                <c:pt idx="10">
                  <c:v>9673.7999999999993</c:v>
                </c:pt>
                <c:pt idx="11">
                  <c:v>6106.3</c:v>
                </c:pt>
                <c:pt idx="12">
                  <c:v>10277</c:v>
                </c:pt>
              </c:numCache>
            </c:numRef>
          </c:val>
        </c:ser>
        <c:ser>
          <c:idx val="4"/>
          <c:order val="3"/>
          <c:tx>
            <c:strRef>
              <c:f>'Data 2'!$C$56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2'!$D$56:$P$56</c:f>
              <c:numCache>
                <c:formatCode>#,##0.0</c:formatCode>
                <c:ptCount val="13"/>
                <c:pt idx="0">
                  <c:v>259.5</c:v>
                </c:pt>
                <c:pt idx="1">
                  <c:v>332.6</c:v>
                </c:pt>
                <c:pt idx="2">
                  <c:v>223.6</c:v>
                </c:pt>
                <c:pt idx="3">
                  <c:v>356.8</c:v>
                </c:pt>
                <c:pt idx="4">
                  <c:v>420.2</c:v>
                </c:pt>
                <c:pt idx="5">
                  <c:v>72.5</c:v>
                </c:pt>
                <c:pt idx="6">
                  <c:v>40.799999999999997</c:v>
                </c:pt>
                <c:pt idx="7">
                  <c:v>239.5</c:v>
                </c:pt>
                <c:pt idx="8">
                  <c:v>1091.7</c:v>
                </c:pt>
                <c:pt idx="9">
                  <c:v>83.8</c:v>
                </c:pt>
                <c:pt idx="10">
                  <c:v>444.5</c:v>
                </c:pt>
                <c:pt idx="11">
                  <c:v>488.3</c:v>
                </c:pt>
                <c:pt idx="12">
                  <c:v>353.4</c:v>
                </c:pt>
              </c:numCache>
            </c:numRef>
          </c:val>
        </c:ser>
        <c:ser>
          <c:idx val="5"/>
          <c:order val="4"/>
          <c:tx>
            <c:strRef>
              <c:f>'Data 2'!$C$57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2'!$D$57:$P$57</c:f>
              <c:numCache>
                <c:formatCode>#,##0.0</c:formatCode>
                <c:ptCount val="13"/>
                <c:pt idx="0">
                  <c:v>26811.1</c:v>
                </c:pt>
                <c:pt idx="1">
                  <c:v>25120.799999999999</c:v>
                </c:pt>
                <c:pt idx="2">
                  <c:v>39459.699999999997</c:v>
                </c:pt>
                <c:pt idx="3">
                  <c:v>41443.4</c:v>
                </c:pt>
                <c:pt idx="4">
                  <c:v>46799.1</c:v>
                </c:pt>
                <c:pt idx="5">
                  <c:v>27285.599999999999</c:v>
                </c:pt>
                <c:pt idx="6">
                  <c:v>17072.8</c:v>
                </c:pt>
                <c:pt idx="7">
                  <c:v>44331.3</c:v>
                </c:pt>
                <c:pt idx="8">
                  <c:v>44705.2</c:v>
                </c:pt>
                <c:pt idx="9">
                  <c:v>30784</c:v>
                </c:pt>
                <c:pt idx="10">
                  <c:v>62414.7</c:v>
                </c:pt>
                <c:pt idx="11">
                  <c:v>66560.399999999994</c:v>
                </c:pt>
                <c:pt idx="12">
                  <c:v>20633.900000000001</c:v>
                </c:pt>
              </c:numCache>
            </c:numRef>
          </c:val>
        </c:ser>
        <c:ser>
          <c:idx val="7"/>
          <c:order val="6"/>
          <c:tx>
            <c:strRef>
              <c:f>'Data 2'!$C$59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2'!$D$59:$P$59</c:f>
              <c:numCache>
                <c:formatCode>#,##0.0</c:formatCode>
                <c:ptCount val="13"/>
                <c:pt idx="0">
                  <c:v>4780.8999999999996</c:v>
                </c:pt>
                <c:pt idx="1">
                  <c:v>3742.7</c:v>
                </c:pt>
                <c:pt idx="2">
                  <c:v>10048.700000000001</c:v>
                </c:pt>
                <c:pt idx="3">
                  <c:v>8916.4</c:v>
                </c:pt>
                <c:pt idx="4">
                  <c:v>11262.5</c:v>
                </c:pt>
                <c:pt idx="5">
                  <c:v>6968.9</c:v>
                </c:pt>
                <c:pt idx="6">
                  <c:v>3847.5</c:v>
                </c:pt>
                <c:pt idx="7">
                  <c:v>13873.3</c:v>
                </c:pt>
                <c:pt idx="8">
                  <c:v>51833.3</c:v>
                </c:pt>
                <c:pt idx="9">
                  <c:v>5603.4</c:v>
                </c:pt>
                <c:pt idx="10">
                  <c:v>19679.2</c:v>
                </c:pt>
                <c:pt idx="11">
                  <c:v>36687.300000000003</c:v>
                </c:pt>
                <c:pt idx="12">
                  <c:v>5611.8</c:v>
                </c:pt>
              </c:numCache>
            </c:numRef>
          </c:val>
        </c:ser>
        <c:ser>
          <c:idx val="9"/>
          <c:order val="8"/>
          <c:tx>
            <c:strRef>
              <c:f>'Data 2'!$C$61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2'!$D$61:$P$61</c:f>
              <c:numCache>
                <c:formatCode>#,##0.0</c:formatCode>
                <c:ptCount val="13"/>
                <c:pt idx="0">
                  <c:v>9611.2999999999993</c:v>
                </c:pt>
                <c:pt idx="1">
                  <c:v>7869.8</c:v>
                </c:pt>
                <c:pt idx="2">
                  <c:v>2606.4</c:v>
                </c:pt>
                <c:pt idx="3">
                  <c:v>5181.1000000000004</c:v>
                </c:pt>
                <c:pt idx="4">
                  <c:v>3698.4</c:v>
                </c:pt>
                <c:pt idx="5">
                  <c:v>8057.2</c:v>
                </c:pt>
                <c:pt idx="6">
                  <c:v>8820.4</c:v>
                </c:pt>
                <c:pt idx="7">
                  <c:v>10280.700000000001</c:v>
                </c:pt>
                <c:pt idx="8">
                  <c:v>26560.6</c:v>
                </c:pt>
                <c:pt idx="9">
                  <c:v>24359.1</c:v>
                </c:pt>
                <c:pt idx="10">
                  <c:v>27422.5</c:v>
                </c:pt>
                <c:pt idx="11">
                  <c:v>16841.599999999999</c:v>
                </c:pt>
                <c:pt idx="12">
                  <c:v>15058.8</c:v>
                </c:pt>
              </c:numCache>
            </c:numRef>
          </c:val>
        </c:ser>
        <c:ser>
          <c:idx val="11"/>
          <c:order val="10"/>
          <c:tx>
            <c:strRef>
              <c:f>'Data 2'!$C$63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2'!$D$63:$P$63</c:f>
              <c:numCache>
                <c:formatCode>#,##0.0</c:formatCode>
                <c:ptCount val="13"/>
                <c:pt idx="0">
                  <c:v>138</c:v>
                </c:pt>
                <c:pt idx="1">
                  <c:v>320</c:v>
                </c:pt>
                <c:pt idx="2">
                  <c:v>130</c:v>
                </c:pt>
                <c:pt idx="3">
                  <c:v>179.2</c:v>
                </c:pt>
                <c:pt idx="4">
                  <c:v>178.3</c:v>
                </c:pt>
                <c:pt idx="5">
                  <c:v>1524.1</c:v>
                </c:pt>
                <c:pt idx="6">
                  <c:v>0</c:v>
                </c:pt>
                <c:pt idx="7">
                  <c:v>108.3</c:v>
                </c:pt>
                <c:pt idx="8">
                  <c:v>159.6</c:v>
                </c:pt>
                <c:pt idx="9">
                  <c:v>40</c:v>
                </c:pt>
                <c:pt idx="10">
                  <c:v>0</c:v>
                </c:pt>
                <c:pt idx="11">
                  <c:v>0</c:v>
                </c:pt>
                <c:pt idx="12">
                  <c:v>96.2</c:v>
                </c:pt>
              </c:numCache>
            </c:numRef>
          </c:val>
        </c:ser>
        <c:ser>
          <c:idx val="12"/>
          <c:order val="11"/>
          <c:tx>
            <c:strRef>
              <c:f>'Data 2'!$C$64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2'!$D$64:$P$64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736.2</c:v>
                </c:pt>
                <c:pt idx="6">
                  <c:v>757.7</c:v>
                </c:pt>
                <c:pt idx="7">
                  <c:v>133.80000000000001</c:v>
                </c:pt>
                <c:pt idx="8">
                  <c:v>521.70000000000005</c:v>
                </c:pt>
                <c:pt idx="9">
                  <c:v>286.60000000000002</c:v>
                </c:pt>
                <c:pt idx="10">
                  <c:v>20.9</c:v>
                </c:pt>
                <c:pt idx="11">
                  <c:v>122</c:v>
                </c:pt>
                <c:pt idx="12">
                  <c:v>322.7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5"/>
          <c:tx>
            <c:strRef>
              <c:f>'Data 2'!$C$68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2'!$D$68:$P$68</c:f>
              <c:numCache>
                <c:formatCode>#,##0.0</c:formatCode>
                <c:ptCount val="13"/>
                <c:pt idx="0">
                  <c:v>3683.8</c:v>
                </c:pt>
                <c:pt idx="1">
                  <c:v>1244.9000000000001</c:v>
                </c:pt>
                <c:pt idx="2">
                  <c:v>1680.4</c:v>
                </c:pt>
                <c:pt idx="3">
                  <c:v>4517</c:v>
                </c:pt>
                <c:pt idx="4">
                  <c:v>4969.7</c:v>
                </c:pt>
                <c:pt idx="5">
                  <c:v>3817.1</c:v>
                </c:pt>
                <c:pt idx="6">
                  <c:v>5932.4</c:v>
                </c:pt>
                <c:pt idx="7">
                  <c:v>8046.3</c:v>
                </c:pt>
                <c:pt idx="8">
                  <c:v>11348.4</c:v>
                </c:pt>
                <c:pt idx="9">
                  <c:v>5220.7</c:v>
                </c:pt>
                <c:pt idx="10">
                  <c:v>8766.7999999999993</c:v>
                </c:pt>
                <c:pt idx="11">
                  <c:v>6609.5</c:v>
                </c:pt>
                <c:pt idx="12">
                  <c:v>1709.2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648000"/>
        <c:axId val="32964721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2'!$C$53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2'!$D$53:$P$53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2'!$C$58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2'!$D$58:$P$58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2'!$C$60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2'!$D$60:$P$60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2'!$C$62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2'!$D$62:$P$62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2'!$C$65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2'!$D$65:$P$65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2'!$D$66:$P$66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2'!$D$67:$P$67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2'!$D$72:$O$72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0"/>
          <c:order val="17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2'!$D$71:$P$71</c:f>
              <c:numCache>
                <c:formatCode>#,##0.0</c:formatCode>
                <c:ptCount val="13"/>
                <c:pt idx="0">
                  <c:v>30.571421091000001</c:v>
                </c:pt>
                <c:pt idx="1">
                  <c:v>36.435668434999997</c:v>
                </c:pt>
                <c:pt idx="2">
                  <c:v>36.143624378299997</c:v>
                </c:pt>
                <c:pt idx="3">
                  <c:v>33.497112747499997</c:v>
                </c:pt>
                <c:pt idx="4">
                  <c:v>30.933778283799999</c:v>
                </c:pt>
                <c:pt idx="5">
                  <c:v>35.307517909200001</c:v>
                </c:pt>
                <c:pt idx="6">
                  <c:v>45.196962723699997</c:v>
                </c:pt>
                <c:pt idx="7">
                  <c:v>36.297392464700003</c:v>
                </c:pt>
                <c:pt idx="8">
                  <c:v>24.798933392999999</c:v>
                </c:pt>
                <c:pt idx="9">
                  <c:v>39.032916008100003</c:v>
                </c:pt>
                <c:pt idx="10">
                  <c:v>22.945107465700001</c:v>
                </c:pt>
                <c:pt idx="11">
                  <c:v>15.694614761</c:v>
                </c:pt>
                <c:pt idx="12">
                  <c:v>38.9886902163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56672"/>
        <c:axId val="329648392"/>
      </c:lineChart>
      <c:catAx>
        <c:axId val="3296480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29647216"/>
        <c:crosses val="autoZero"/>
        <c:auto val="1"/>
        <c:lblAlgn val="ctr"/>
        <c:lblOffset val="100"/>
        <c:noMultiLvlLbl val="0"/>
      </c:catAx>
      <c:valAx>
        <c:axId val="329647216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9648000"/>
        <c:crosses val="autoZero"/>
        <c:crossBetween val="between"/>
        <c:dispUnits>
          <c:builtInUnit val="thousands"/>
        </c:dispUnits>
      </c:valAx>
      <c:valAx>
        <c:axId val="329648392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356672"/>
        <c:crosses val="max"/>
        <c:crossBetween val="between"/>
        <c:majorUnit val="15"/>
      </c:valAx>
      <c:catAx>
        <c:axId val="334356672"/>
        <c:scaling>
          <c:orientation val="minMax"/>
        </c:scaling>
        <c:delete val="1"/>
        <c:axPos val="t"/>
        <c:majorTickMark val="out"/>
        <c:minorTickMark val="none"/>
        <c:tickLblPos val="nextTo"/>
        <c:crossAx val="329648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2'!$C$37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2'!$D$37:$P$37</c:f>
              <c:numCache>
                <c:formatCode>#,##0.0</c:formatCode>
                <c:ptCount val="13"/>
                <c:pt idx="0">
                  <c:v>49018.7</c:v>
                </c:pt>
                <c:pt idx="1">
                  <c:v>39223.4</c:v>
                </c:pt>
                <c:pt idx="2">
                  <c:v>28227.7</c:v>
                </c:pt>
                <c:pt idx="3">
                  <c:v>23185.3</c:v>
                </c:pt>
                <c:pt idx="4">
                  <c:v>23990.400000000001</c:v>
                </c:pt>
                <c:pt idx="5">
                  <c:v>36235.599999999999</c:v>
                </c:pt>
                <c:pt idx="6">
                  <c:v>35124.9</c:v>
                </c:pt>
                <c:pt idx="7">
                  <c:v>25784.6</c:v>
                </c:pt>
                <c:pt idx="8">
                  <c:v>35353.199999999997</c:v>
                </c:pt>
                <c:pt idx="9">
                  <c:v>38501.599999999999</c:v>
                </c:pt>
                <c:pt idx="10">
                  <c:v>38546.800000000003</c:v>
                </c:pt>
                <c:pt idx="11">
                  <c:v>43196.7</c:v>
                </c:pt>
                <c:pt idx="12">
                  <c:v>33193.699999999997</c:v>
                </c:pt>
              </c:numCache>
            </c:numRef>
          </c:val>
        </c:ser>
        <c:ser>
          <c:idx val="3"/>
          <c:order val="2"/>
          <c:tx>
            <c:strRef>
              <c:f>'Data 2'!$C$38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2'!$D$38:$P$38</c:f>
              <c:numCache>
                <c:formatCode>#,##0.0</c:formatCode>
                <c:ptCount val="13"/>
                <c:pt idx="0">
                  <c:v>59814.3</c:v>
                </c:pt>
                <c:pt idx="1">
                  <c:v>100710.5</c:v>
                </c:pt>
                <c:pt idx="2">
                  <c:v>53992.1</c:v>
                </c:pt>
                <c:pt idx="3">
                  <c:v>53888.3</c:v>
                </c:pt>
                <c:pt idx="4">
                  <c:v>55429.2</c:v>
                </c:pt>
                <c:pt idx="5">
                  <c:v>75955.399999999994</c:v>
                </c:pt>
                <c:pt idx="6">
                  <c:v>83653.399999999994</c:v>
                </c:pt>
                <c:pt idx="7">
                  <c:v>57877.3</c:v>
                </c:pt>
                <c:pt idx="8">
                  <c:v>57056.1</c:v>
                </c:pt>
                <c:pt idx="9">
                  <c:v>51366.400000000001</c:v>
                </c:pt>
                <c:pt idx="10">
                  <c:v>48796.7</c:v>
                </c:pt>
                <c:pt idx="11">
                  <c:v>55522.2</c:v>
                </c:pt>
                <c:pt idx="12">
                  <c:v>61920.1</c:v>
                </c:pt>
              </c:numCache>
            </c:numRef>
          </c:val>
        </c:ser>
        <c:ser>
          <c:idx val="4"/>
          <c:order val="3"/>
          <c:tx>
            <c:strRef>
              <c:f>'Data 2'!$C$39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2'!$D$39:$P$39</c:f>
              <c:numCache>
                <c:formatCode>#,##0.0</c:formatCode>
                <c:ptCount val="13"/>
                <c:pt idx="0">
                  <c:v>7.3</c:v>
                </c:pt>
                <c:pt idx="1">
                  <c:v>17.3</c:v>
                </c:pt>
                <c:pt idx="2">
                  <c:v>2.7</c:v>
                </c:pt>
                <c:pt idx="3">
                  <c:v>1.1000000000000001</c:v>
                </c:pt>
                <c:pt idx="4">
                  <c:v>0.8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10.8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'Data 2'!$C$40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2'!$D$40:$P$40</c:f>
              <c:numCache>
                <c:formatCode>#,##0.0</c:formatCode>
                <c:ptCount val="13"/>
                <c:pt idx="0">
                  <c:v>7845.9</c:v>
                </c:pt>
                <c:pt idx="1">
                  <c:v>3498.8</c:v>
                </c:pt>
                <c:pt idx="2">
                  <c:v>1736.9</c:v>
                </c:pt>
                <c:pt idx="3">
                  <c:v>1823.4</c:v>
                </c:pt>
                <c:pt idx="4">
                  <c:v>1551.4</c:v>
                </c:pt>
                <c:pt idx="5">
                  <c:v>4285.8999999999996</c:v>
                </c:pt>
                <c:pt idx="6">
                  <c:v>7774.4</c:v>
                </c:pt>
                <c:pt idx="7">
                  <c:v>14602.9</c:v>
                </c:pt>
                <c:pt idx="8">
                  <c:v>4781.6000000000004</c:v>
                </c:pt>
                <c:pt idx="9">
                  <c:v>876.5</c:v>
                </c:pt>
                <c:pt idx="10">
                  <c:v>14986.9</c:v>
                </c:pt>
                <c:pt idx="11">
                  <c:v>6134.1</c:v>
                </c:pt>
                <c:pt idx="12">
                  <c:v>5137.3999999999996</c:v>
                </c:pt>
              </c:numCache>
            </c:numRef>
          </c:val>
        </c:ser>
        <c:ser>
          <c:idx val="7"/>
          <c:order val="6"/>
          <c:tx>
            <c:strRef>
              <c:f>'Data 2'!$C$42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2'!$D$42:$P$42</c:f>
              <c:numCache>
                <c:formatCode>#,##0.0</c:formatCode>
                <c:ptCount val="13"/>
                <c:pt idx="0">
                  <c:v>7018.8</c:v>
                </c:pt>
                <c:pt idx="1">
                  <c:v>11518.7</c:v>
                </c:pt>
                <c:pt idx="2">
                  <c:v>5554.8</c:v>
                </c:pt>
                <c:pt idx="3">
                  <c:v>5883.3</c:v>
                </c:pt>
                <c:pt idx="4">
                  <c:v>5247.3</c:v>
                </c:pt>
                <c:pt idx="5">
                  <c:v>7050.1</c:v>
                </c:pt>
                <c:pt idx="6">
                  <c:v>7943.5</c:v>
                </c:pt>
                <c:pt idx="7">
                  <c:v>8236.4</c:v>
                </c:pt>
                <c:pt idx="8">
                  <c:v>5669.6</c:v>
                </c:pt>
                <c:pt idx="9">
                  <c:v>6719.4</c:v>
                </c:pt>
                <c:pt idx="10">
                  <c:v>13034.1</c:v>
                </c:pt>
                <c:pt idx="11">
                  <c:v>6758.4</c:v>
                </c:pt>
                <c:pt idx="12">
                  <c:v>7808.1</c:v>
                </c:pt>
              </c:numCache>
            </c:numRef>
          </c:val>
        </c:ser>
        <c:ser>
          <c:idx val="8"/>
          <c:order val="7"/>
          <c:tx>
            <c:strRef>
              <c:f>'Data 2'!$C$43</c:f>
              <c:strCache>
                <c:ptCount val="1"/>
                <c:pt idx="0">
                  <c:v>Fuel-Gas</c:v>
                </c:pt>
              </c:strCache>
            </c:strRef>
          </c:tx>
          <c:spPr>
            <a:solidFill>
              <a:srgbClr val="BA0F16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2'!$D$43:$P$43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2'!$C$44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2'!$D$44:$P$44</c:f>
              <c:numCache>
                <c:formatCode>#,##0.0</c:formatCode>
                <c:ptCount val="13"/>
                <c:pt idx="0">
                  <c:v>58284.6</c:v>
                </c:pt>
                <c:pt idx="1">
                  <c:v>88256.3</c:v>
                </c:pt>
                <c:pt idx="2">
                  <c:v>34688.699999999997</c:v>
                </c:pt>
                <c:pt idx="3">
                  <c:v>29023.599999999999</c:v>
                </c:pt>
                <c:pt idx="4">
                  <c:v>29358.5</c:v>
                </c:pt>
                <c:pt idx="5">
                  <c:v>42190.9</c:v>
                </c:pt>
                <c:pt idx="6">
                  <c:v>66112.3</c:v>
                </c:pt>
                <c:pt idx="7">
                  <c:v>50297.7</c:v>
                </c:pt>
                <c:pt idx="8">
                  <c:v>55012.6</c:v>
                </c:pt>
                <c:pt idx="9">
                  <c:v>74091.8</c:v>
                </c:pt>
                <c:pt idx="10">
                  <c:v>57129.4</c:v>
                </c:pt>
                <c:pt idx="11">
                  <c:v>46798.3</c:v>
                </c:pt>
                <c:pt idx="12">
                  <c:v>108282.8</c:v>
                </c:pt>
              </c:numCache>
            </c:numRef>
          </c:val>
        </c:ser>
        <c:ser>
          <c:idx val="11"/>
          <c:order val="10"/>
          <c:tx>
            <c:strRef>
              <c:f>'Data 2'!$C$46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2'!$D$46:$P$46</c:f>
              <c:numCache>
                <c:formatCode>#,##0.0</c:formatCode>
                <c:ptCount val="13"/>
                <c:pt idx="0">
                  <c:v>169.5</c:v>
                </c:pt>
                <c:pt idx="1">
                  <c:v>69.8</c:v>
                </c:pt>
                <c:pt idx="2">
                  <c:v>310</c:v>
                </c:pt>
                <c:pt idx="3">
                  <c:v>148</c:v>
                </c:pt>
                <c:pt idx="4">
                  <c:v>3.1</c:v>
                </c:pt>
                <c:pt idx="5">
                  <c:v>700</c:v>
                </c:pt>
                <c:pt idx="6">
                  <c:v>0</c:v>
                </c:pt>
                <c:pt idx="7">
                  <c:v>1085.4000000000001</c:v>
                </c:pt>
                <c:pt idx="8">
                  <c:v>282.3</c:v>
                </c:pt>
                <c:pt idx="9">
                  <c:v>129.69999999999999</c:v>
                </c:pt>
                <c:pt idx="10">
                  <c:v>0</c:v>
                </c:pt>
                <c:pt idx="11">
                  <c:v>0</c:v>
                </c:pt>
                <c:pt idx="12">
                  <c:v>306.60000000000002</c:v>
                </c:pt>
              </c:numCache>
            </c:numRef>
          </c:val>
        </c:ser>
        <c:ser>
          <c:idx val="12"/>
          <c:order val="11"/>
          <c:tx>
            <c:strRef>
              <c:f>'Data 2'!$C$47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2'!$D$47:$P$47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131.30000000000001</c:v>
                </c:pt>
                <c:pt idx="6">
                  <c:v>299.10000000000002</c:v>
                </c:pt>
                <c:pt idx="7">
                  <c:v>57.5</c:v>
                </c:pt>
                <c:pt idx="8">
                  <c:v>69.8</c:v>
                </c:pt>
                <c:pt idx="9">
                  <c:v>8.1</c:v>
                </c:pt>
                <c:pt idx="10">
                  <c:v>7.9</c:v>
                </c:pt>
                <c:pt idx="11">
                  <c:v>0</c:v>
                </c:pt>
                <c:pt idx="12">
                  <c:v>16.5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5"/>
          <c:tx>
            <c:strRef>
              <c:f>'Data 2'!$C$51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2'!$D$51:$P$51</c:f>
              <c:numCache>
                <c:formatCode>#,##0.0</c:formatCode>
                <c:ptCount val="13"/>
                <c:pt idx="0">
                  <c:v>36979</c:v>
                </c:pt>
                <c:pt idx="1">
                  <c:v>27501.3</c:v>
                </c:pt>
                <c:pt idx="2">
                  <c:v>32397.1</c:v>
                </c:pt>
                <c:pt idx="3">
                  <c:v>29140</c:v>
                </c:pt>
                <c:pt idx="4">
                  <c:v>44532.5</c:v>
                </c:pt>
                <c:pt idx="5">
                  <c:v>30549.8</c:v>
                </c:pt>
                <c:pt idx="6">
                  <c:v>41077.1</c:v>
                </c:pt>
                <c:pt idx="7">
                  <c:v>54906.6</c:v>
                </c:pt>
                <c:pt idx="8">
                  <c:v>28937.8</c:v>
                </c:pt>
                <c:pt idx="9">
                  <c:v>42931.7</c:v>
                </c:pt>
                <c:pt idx="10">
                  <c:v>39005.1</c:v>
                </c:pt>
                <c:pt idx="11">
                  <c:v>36861.199999999997</c:v>
                </c:pt>
                <c:pt idx="12">
                  <c:v>20554.599999999999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4357456"/>
        <c:axId val="33435784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2'!$C$36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2'!$D$36:$P$36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2'!$C$41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2'!$D$41:$P$41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2'!$C$45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2'!$D$45:$P$45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2'!$C$48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2'!$D$48:$P$48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2'!$C$49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2'!$D$49:$P$49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2'!$C$50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2'!$D$50:$P$50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2'!$D$70:$P$70</c:f>
              <c:numCache>
                <c:formatCode>#,##0.0</c:formatCode>
                <c:ptCount val="13"/>
                <c:pt idx="0">
                  <c:v>54.692289017699999</c:v>
                </c:pt>
                <c:pt idx="1">
                  <c:v>58.053899003700003</c:v>
                </c:pt>
                <c:pt idx="2">
                  <c:v>57.819714231100001</c:v>
                </c:pt>
                <c:pt idx="3">
                  <c:v>55.585096335899998</c:v>
                </c:pt>
                <c:pt idx="4">
                  <c:v>56.231510706199998</c:v>
                </c:pt>
                <c:pt idx="5">
                  <c:v>64.784309668600002</c:v>
                </c:pt>
                <c:pt idx="6">
                  <c:v>70.107599447400005</c:v>
                </c:pt>
                <c:pt idx="7">
                  <c:v>78.756404746300007</c:v>
                </c:pt>
                <c:pt idx="8">
                  <c:v>62.437006568199998</c:v>
                </c:pt>
                <c:pt idx="9">
                  <c:v>65.942944356799998</c:v>
                </c:pt>
                <c:pt idx="10">
                  <c:v>56.060312311300002</c:v>
                </c:pt>
                <c:pt idx="11">
                  <c:v>54.4493213274</c:v>
                </c:pt>
                <c:pt idx="12">
                  <c:v>62.5355007466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58632"/>
        <c:axId val="334358240"/>
      </c:lineChart>
      <c:catAx>
        <c:axId val="33435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357848"/>
        <c:crosses val="autoZero"/>
        <c:auto val="1"/>
        <c:lblAlgn val="ctr"/>
        <c:lblOffset val="100"/>
        <c:noMultiLvlLbl val="0"/>
      </c:catAx>
      <c:valAx>
        <c:axId val="33435784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357456"/>
        <c:crosses val="autoZero"/>
        <c:crossBetween val="between"/>
        <c:dispUnits>
          <c:builtInUnit val="thousands"/>
        </c:dispUnits>
      </c:valAx>
      <c:valAx>
        <c:axId val="33435824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358632"/>
        <c:crosses val="max"/>
        <c:crossBetween val="between"/>
        <c:majorUnit val="15"/>
      </c:valAx>
      <c:catAx>
        <c:axId val="334358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4358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2'!$C$93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2'!$D$93:$P$93</c:f>
              <c:numCache>
                <c:formatCode>#,##0.0</c:formatCode>
                <c:ptCount val="13"/>
                <c:pt idx="0">
                  <c:v>6283.8</c:v>
                </c:pt>
                <c:pt idx="1">
                  <c:v>10864.5</c:v>
                </c:pt>
                <c:pt idx="2">
                  <c:v>27924.7</c:v>
                </c:pt>
                <c:pt idx="3">
                  <c:v>43819.1</c:v>
                </c:pt>
                <c:pt idx="4">
                  <c:v>23995.8</c:v>
                </c:pt>
                <c:pt idx="5">
                  <c:v>6238.1</c:v>
                </c:pt>
                <c:pt idx="6">
                  <c:v>4345.3999999999996</c:v>
                </c:pt>
                <c:pt idx="7">
                  <c:v>11031.5</c:v>
                </c:pt>
                <c:pt idx="8">
                  <c:v>24843.5</c:v>
                </c:pt>
                <c:pt idx="9">
                  <c:v>9788.2999999999993</c:v>
                </c:pt>
                <c:pt idx="10">
                  <c:v>1915.7</c:v>
                </c:pt>
                <c:pt idx="11">
                  <c:v>5601.6</c:v>
                </c:pt>
                <c:pt idx="12">
                  <c:v>3825.2</c:v>
                </c:pt>
              </c:numCache>
            </c:numRef>
          </c:val>
        </c:ser>
        <c:ser>
          <c:idx val="1"/>
          <c:order val="1"/>
          <c:tx>
            <c:strRef>
              <c:f>'Data 2'!$C$94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2'!$D$94:$P$94</c:f>
              <c:numCache>
                <c:formatCode>#,##0.0</c:formatCode>
                <c:ptCount val="13"/>
                <c:pt idx="0">
                  <c:v>4145.3</c:v>
                </c:pt>
                <c:pt idx="1">
                  <c:v>7378.2</c:v>
                </c:pt>
                <c:pt idx="2">
                  <c:v>18737.8</c:v>
                </c:pt>
                <c:pt idx="3">
                  <c:v>26947.4</c:v>
                </c:pt>
                <c:pt idx="4">
                  <c:v>23603.4</c:v>
                </c:pt>
                <c:pt idx="5">
                  <c:v>6107.2</c:v>
                </c:pt>
                <c:pt idx="6">
                  <c:v>8205.2999999999993</c:v>
                </c:pt>
                <c:pt idx="7">
                  <c:v>9660.7000000000007</c:v>
                </c:pt>
                <c:pt idx="8">
                  <c:v>12025</c:v>
                </c:pt>
                <c:pt idx="9">
                  <c:v>2896.9</c:v>
                </c:pt>
                <c:pt idx="10">
                  <c:v>883.7</c:v>
                </c:pt>
                <c:pt idx="11">
                  <c:v>1130.8</c:v>
                </c:pt>
                <c:pt idx="12">
                  <c:v>805.7</c:v>
                </c:pt>
              </c:numCache>
            </c:numRef>
          </c:val>
        </c:ser>
        <c:ser>
          <c:idx val="2"/>
          <c:order val="2"/>
          <c:tx>
            <c:strRef>
              <c:f>'Data 2'!$C$95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2'!$D$95:$P$95</c:f>
              <c:numCache>
                <c:formatCode>#,##0.0</c:formatCode>
                <c:ptCount val="13"/>
                <c:pt idx="0">
                  <c:v>18.899999999999999</c:v>
                </c:pt>
                <c:pt idx="1">
                  <c:v>88.1</c:v>
                </c:pt>
                <c:pt idx="2">
                  <c:v>26.5</c:v>
                </c:pt>
                <c:pt idx="3">
                  <c:v>131.4</c:v>
                </c:pt>
                <c:pt idx="4">
                  <c:v>120.4</c:v>
                </c:pt>
                <c:pt idx="5">
                  <c:v>11.4</c:v>
                </c:pt>
                <c:pt idx="6">
                  <c:v>0</c:v>
                </c:pt>
                <c:pt idx="7">
                  <c:v>0</c:v>
                </c:pt>
                <c:pt idx="8">
                  <c:v>139.19999999999999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ser>
          <c:idx val="3"/>
          <c:order val="3"/>
          <c:tx>
            <c:strRef>
              <c:f>'Data 2'!$C$96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2'!$D$96:$P$96</c:f>
              <c:numCache>
                <c:formatCode>#,##0.0</c:formatCode>
                <c:ptCount val="13"/>
                <c:pt idx="0">
                  <c:v>7977.8</c:v>
                </c:pt>
                <c:pt idx="1">
                  <c:v>16621.400000000001</c:v>
                </c:pt>
                <c:pt idx="2">
                  <c:v>21039.7</c:v>
                </c:pt>
                <c:pt idx="3">
                  <c:v>18038.2</c:v>
                </c:pt>
                <c:pt idx="4">
                  <c:v>18312.900000000001</c:v>
                </c:pt>
                <c:pt idx="5">
                  <c:v>8233.1</c:v>
                </c:pt>
                <c:pt idx="6">
                  <c:v>6736.7</c:v>
                </c:pt>
                <c:pt idx="7">
                  <c:v>16502.5</c:v>
                </c:pt>
                <c:pt idx="8">
                  <c:v>12696.1</c:v>
                </c:pt>
                <c:pt idx="9">
                  <c:v>5978.6</c:v>
                </c:pt>
                <c:pt idx="10">
                  <c:v>4789.3</c:v>
                </c:pt>
                <c:pt idx="11">
                  <c:v>19369.2</c:v>
                </c:pt>
                <c:pt idx="12">
                  <c:v>4108.2</c:v>
                </c:pt>
              </c:numCache>
            </c:numRef>
          </c:val>
        </c:ser>
        <c:ser>
          <c:idx val="4"/>
          <c:order val="4"/>
          <c:tx>
            <c:strRef>
              <c:f>'Data 2'!$C$97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2'!$D$97:$P$97</c:f>
              <c:numCache>
                <c:formatCode>#,##0.0</c:formatCode>
                <c:ptCount val="13"/>
                <c:pt idx="0">
                  <c:v>313</c:v>
                </c:pt>
                <c:pt idx="1">
                  <c:v>464.4</c:v>
                </c:pt>
                <c:pt idx="2">
                  <c:v>1083.3</c:v>
                </c:pt>
                <c:pt idx="3">
                  <c:v>700.3</c:v>
                </c:pt>
                <c:pt idx="4">
                  <c:v>630.70000000000005</c:v>
                </c:pt>
                <c:pt idx="5">
                  <c:v>466.1</c:v>
                </c:pt>
                <c:pt idx="6">
                  <c:v>204.5</c:v>
                </c:pt>
                <c:pt idx="7">
                  <c:v>1775.9</c:v>
                </c:pt>
                <c:pt idx="8">
                  <c:v>3036.8</c:v>
                </c:pt>
                <c:pt idx="9">
                  <c:v>470.2</c:v>
                </c:pt>
                <c:pt idx="10">
                  <c:v>395.2</c:v>
                </c:pt>
                <c:pt idx="11">
                  <c:v>3910.4</c:v>
                </c:pt>
                <c:pt idx="12">
                  <c:v>441.1</c:v>
                </c:pt>
              </c:numCache>
            </c:numRef>
          </c:val>
        </c:ser>
        <c:ser>
          <c:idx val="5"/>
          <c:order val="5"/>
          <c:tx>
            <c:strRef>
              <c:f>'Data 2'!$C$98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2'!$D$98:$P$98</c:f>
              <c:numCache>
                <c:formatCode>#,##0.0</c:formatCode>
                <c:ptCount val="13"/>
                <c:pt idx="0">
                  <c:v>4389.8</c:v>
                </c:pt>
                <c:pt idx="1">
                  <c:v>2067.3000000000002</c:v>
                </c:pt>
                <c:pt idx="2">
                  <c:v>2318.1</c:v>
                </c:pt>
                <c:pt idx="3">
                  <c:v>5037</c:v>
                </c:pt>
                <c:pt idx="4">
                  <c:v>2095.3000000000002</c:v>
                </c:pt>
                <c:pt idx="5">
                  <c:v>1774.5</c:v>
                </c:pt>
                <c:pt idx="6">
                  <c:v>506</c:v>
                </c:pt>
                <c:pt idx="7">
                  <c:v>2151.1999999999998</c:v>
                </c:pt>
                <c:pt idx="8">
                  <c:v>14862.1</c:v>
                </c:pt>
                <c:pt idx="9">
                  <c:v>6144.5</c:v>
                </c:pt>
                <c:pt idx="10">
                  <c:v>2417.8000000000002</c:v>
                </c:pt>
                <c:pt idx="11">
                  <c:v>5534.9</c:v>
                </c:pt>
                <c:pt idx="12">
                  <c:v>2792</c:v>
                </c:pt>
              </c:numCache>
            </c:numRef>
          </c:val>
        </c:ser>
        <c:ser>
          <c:idx val="6"/>
          <c:order val="6"/>
          <c:tx>
            <c:strRef>
              <c:f>'Data 2'!$C$99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'Data 2'!$D$99:$P$99</c:f>
              <c:numCache>
                <c:formatCode>#,##0.0</c:formatCode>
                <c:ptCount val="13"/>
                <c:pt idx="0">
                  <c:v>0</c:v>
                </c:pt>
                <c:pt idx="1">
                  <c:v>1381.8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300.5</c:v>
                </c:pt>
                <c:pt idx="6">
                  <c:v>0</c:v>
                </c:pt>
                <c:pt idx="7">
                  <c:v>0</c:v>
                </c:pt>
                <c:pt idx="8">
                  <c:v>109.8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'Data 2'!$C$100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2'!$D$100:$P$100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2'!$C$101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2'!$D$101:$P$101</c:f>
              <c:numCache>
                <c:formatCode>#,##0.0</c:formatCode>
                <c:ptCount val="13"/>
                <c:pt idx="0">
                  <c:v>935.6</c:v>
                </c:pt>
                <c:pt idx="1">
                  <c:v>160.4</c:v>
                </c:pt>
                <c:pt idx="2">
                  <c:v>4314</c:v>
                </c:pt>
                <c:pt idx="3">
                  <c:v>3400</c:v>
                </c:pt>
                <c:pt idx="4">
                  <c:v>1288.4000000000001</c:v>
                </c:pt>
                <c:pt idx="5">
                  <c:v>185</c:v>
                </c:pt>
                <c:pt idx="6">
                  <c:v>802.1</c:v>
                </c:pt>
                <c:pt idx="7">
                  <c:v>2234.6</c:v>
                </c:pt>
                <c:pt idx="8">
                  <c:v>13649</c:v>
                </c:pt>
                <c:pt idx="9">
                  <c:v>2006.5</c:v>
                </c:pt>
                <c:pt idx="10">
                  <c:v>2598.3000000000002</c:v>
                </c:pt>
                <c:pt idx="11">
                  <c:v>1362.4</c:v>
                </c:pt>
                <c:pt idx="12">
                  <c:v>67.3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4359416"/>
        <c:axId val="334359808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2'!$D$106:$P$106</c:f>
              <c:numCache>
                <c:formatCode>mmm\-yy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2'!$D$105:$P$105</c:f>
              <c:numCache>
                <c:formatCode>#,##0.0</c:formatCode>
                <c:ptCount val="13"/>
                <c:pt idx="0">
                  <c:v>37.510220161100001</c:v>
                </c:pt>
                <c:pt idx="1">
                  <c:v>38.300981138300003</c:v>
                </c:pt>
                <c:pt idx="2">
                  <c:v>40.000333624500001</c:v>
                </c:pt>
                <c:pt idx="3">
                  <c:v>35.937440223300001</c:v>
                </c:pt>
                <c:pt idx="4">
                  <c:v>36.511317131799998</c:v>
                </c:pt>
                <c:pt idx="5">
                  <c:v>38.937077702300002</c:v>
                </c:pt>
                <c:pt idx="6">
                  <c:v>48.682983173099998</c:v>
                </c:pt>
                <c:pt idx="7">
                  <c:v>37.017880635799997</c:v>
                </c:pt>
                <c:pt idx="8">
                  <c:v>35.217388445399997</c:v>
                </c:pt>
                <c:pt idx="9">
                  <c:v>45.9572454212</c:v>
                </c:pt>
                <c:pt idx="10">
                  <c:v>31.268540000000002</c:v>
                </c:pt>
                <c:pt idx="11">
                  <c:v>19.696550733799999</c:v>
                </c:pt>
                <c:pt idx="12">
                  <c:v>42.9148424069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60592"/>
        <c:axId val="334360200"/>
      </c:lineChart>
      <c:catAx>
        <c:axId val="3343594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34359808"/>
        <c:crosses val="autoZero"/>
        <c:auto val="1"/>
        <c:lblAlgn val="ctr"/>
        <c:lblOffset val="100"/>
        <c:noMultiLvlLbl val="0"/>
      </c:catAx>
      <c:valAx>
        <c:axId val="334359808"/>
        <c:scaling>
          <c:orientation val="maxMin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359416"/>
        <c:crosses val="autoZero"/>
        <c:crossBetween val="between"/>
        <c:majorUnit val="50000"/>
        <c:dispUnits>
          <c:builtInUnit val="thousands"/>
        </c:dispUnits>
      </c:valAx>
      <c:valAx>
        <c:axId val="334360200"/>
        <c:scaling>
          <c:orientation val="maxMin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360592"/>
        <c:crosses val="max"/>
        <c:crossBetween val="between"/>
        <c:majorUnit val="20"/>
      </c:valAx>
      <c:catAx>
        <c:axId val="334360592"/>
        <c:scaling>
          <c:orientation val="minMax"/>
        </c:scaling>
        <c:delete val="1"/>
        <c:axPos val="t"/>
        <c:majorTickMark val="out"/>
        <c:minorTickMark val="none"/>
        <c:tickLblPos val="nextTo"/>
        <c:crossAx val="334360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'Data 2'!$C$84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2'!$D$84:$P$84</c:f>
              <c:numCache>
                <c:formatCode>#,##0.0</c:formatCode>
                <c:ptCount val="13"/>
                <c:pt idx="0">
                  <c:v>14921.9</c:v>
                </c:pt>
                <c:pt idx="1">
                  <c:v>35897.1</c:v>
                </c:pt>
                <c:pt idx="2">
                  <c:v>15424.3</c:v>
                </c:pt>
                <c:pt idx="3">
                  <c:v>17604.099999999999</c:v>
                </c:pt>
                <c:pt idx="4">
                  <c:v>9030.9</c:v>
                </c:pt>
                <c:pt idx="5">
                  <c:v>13899.2</c:v>
                </c:pt>
                <c:pt idx="6">
                  <c:v>19298.3</c:v>
                </c:pt>
                <c:pt idx="7">
                  <c:v>36464.5</c:v>
                </c:pt>
                <c:pt idx="8">
                  <c:v>18538.8</c:v>
                </c:pt>
                <c:pt idx="9">
                  <c:v>33434.800000000003</c:v>
                </c:pt>
                <c:pt idx="10">
                  <c:v>25308.3</c:v>
                </c:pt>
                <c:pt idx="11">
                  <c:v>29845.7</c:v>
                </c:pt>
                <c:pt idx="12">
                  <c:v>12672</c:v>
                </c:pt>
              </c:numCache>
            </c:numRef>
          </c:val>
        </c:ser>
        <c:ser>
          <c:idx val="18"/>
          <c:order val="1"/>
          <c:tx>
            <c:strRef>
              <c:f>'Data 2'!$C$85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2'!$D$85:$P$85</c:f>
              <c:numCache>
                <c:formatCode>#,##0.0</c:formatCode>
                <c:ptCount val="13"/>
                <c:pt idx="0">
                  <c:v>12578.5</c:v>
                </c:pt>
                <c:pt idx="1">
                  <c:v>86103.9</c:v>
                </c:pt>
                <c:pt idx="2">
                  <c:v>25298.7</c:v>
                </c:pt>
                <c:pt idx="3">
                  <c:v>20278.5</c:v>
                </c:pt>
                <c:pt idx="4">
                  <c:v>13355.9</c:v>
                </c:pt>
                <c:pt idx="5">
                  <c:v>20227.3</c:v>
                </c:pt>
                <c:pt idx="6">
                  <c:v>45604</c:v>
                </c:pt>
                <c:pt idx="7">
                  <c:v>72616.800000000003</c:v>
                </c:pt>
                <c:pt idx="8">
                  <c:v>25466.6</c:v>
                </c:pt>
                <c:pt idx="9">
                  <c:v>34817.699999999997</c:v>
                </c:pt>
                <c:pt idx="10">
                  <c:v>23702.3</c:v>
                </c:pt>
                <c:pt idx="11">
                  <c:v>24356.1</c:v>
                </c:pt>
                <c:pt idx="12">
                  <c:v>16812.400000000001</c:v>
                </c:pt>
              </c:numCache>
            </c:numRef>
          </c:val>
        </c:ser>
        <c:ser>
          <c:idx val="19"/>
          <c:order val="2"/>
          <c:tx>
            <c:strRef>
              <c:f>'Data 2'!$C$86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2'!$D$86:$P$86</c:f>
              <c:numCache>
                <c:formatCode>#,##0.0</c:formatCode>
                <c:ptCount val="13"/>
                <c:pt idx="0">
                  <c:v>0</c:v>
                </c:pt>
                <c:pt idx="1">
                  <c:v>16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74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'Data 2'!$C$87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2'!$D$87:$P$87</c:f>
              <c:numCache>
                <c:formatCode>#,##0.0</c:formatCode>
                <c:ptCount val="13"/>
                <c:pt idx="0">
                  <c:v>1623.5</c:v>
                </c:pt>
                <c:pt idx="1">
                  <c:v>4321.8999999999996</c:v>
                </c:pt>
                <c:pt idx="2">
                  <c:v>1196.5</c:v>
                </c:pt>
                <c:pt idx="3">
                  <c:v>1953.7</c:v>
                </c:pt>
                <c:pt idx="4">
                  <c:v>972.7</c:v>
                </c:pt>
                <c:pt idx="5">
                  <c:v>3473.9</c:v>
                </c:pt>
                <c:pt idx="6">
                  <c:v>3226</c:v>
                </c:pt>
                <c:pt idx="7">
                  <c:v>14393.3</c:v>
                </c:pt>
                <c:pt idx="8">
                  <c:v>6696</c:v>
                </c:pt>
                <c:pt idx="9">
                  <c:v>1704</c:v>
                </c:pt>
                <c:pt idx="10">
                  <c:v>21100.1</c:v>
                </c:pt>
                <c:pt idx="11">
                  <c:v>4947.8999999999996</c:v>
                </c:pt>
                <c:pt idx="12">
                  <c:v>952.5</c:v>
                </c:pt>
              </c:numCache>
            </c:numRef>
          </c:val>
        </c:ser>
        <c:ser>
          <c:idx val="21"/>
          <c:order val="4"/>
          <c:tx>
            <c:strRef>
              <c:f>'Data 2'!$C$88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2'!$D$88:$P$88</c:f>
              <c:numCache>
                <c:formatCode>#,##0.0</c:formatCode>
                <c:ptCount val="13"/>
                <c:pt idx="0">
                  <c:v>791</c:v>
                </c:pt>
                <c:pt idx="1">
                  <c:v>1499</c:v>
                </c:pt>
                <c:pt idx="2">
                  <c:v>694.8</c:v>
                </c:pt>
                <c:pt idx="3">
                  <c:v>1479</c:v>
                </c:pt>
                <c:pt idx="4">
                  <c:v>456.9</c:v>
                </c:pt>
                <c:pt idx="5">
                  <c:v>731.2</c:v>
                </c:pt>
                <c:pt idx="6">
                  <c:v>983.4</c:v>
                </c:pt>
                <c:pt idx="7">
                  <c:v>4195.1000000000004</c:v>
                </c:pt>
                <c:pt idx="8">
                  <c:v>686</c:v>
                </c:pt>
                <c:pt idx="9">
                  <c:v>1654.6</c:v>
                </c:pt>
                <c:pt idx="10">
                  <c:v>1712.3</c:v>
                </c:pt>
                <c:pt idx="11">
                  <c:v>1233.0999999999999</c:v>
                </c:pt>
                <c:pt idx="12">
                  <c:v>730.5</c:v>
                </c:pt>
              </c:numCache>
            </c:numRef>
          </c:val>
        </c:ser>
        <c:ser>
          <c:idx val="22"/>
          <c:order val="5"/>
          <c:tx>
            <c:strRef>
              <c:f>'Data 2'!$C$89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2'!$D$89:$P$89</c:f>
              <c:numCache>
                <c:formatCode>#,##0.0</c:formatCode>
                <c:ptCount val="13"/>
                <c:pt idx="0">
                  <c:v>6148.7</c:v>
                </c:pt>
                <c:pt idx="1">
                  <c:v>35181.699999999997</c:v>
                </c:pt>
                <c:pt idx="2">
                  <c:v>12560.8</c:v>
                </c:pt>
                <c:pt idx="3">
                  <c:v>9282.6</c:v>
                </c:pt>
                <c:pt idx="4">
                  <c:v>7586.6</c:v>
                </c:pt>
                <c:pt idx="5">
                  <c:v>6859.3</c:v>
                </c:pt>
                <c:pt idx="6">
                  <c:v>22432</c:v>
                </c:pt>
                <c:pt idx="7">
                  <c:v>32118.7</c:v>
                </c:pt>
                <c:pt idx="8">
                  <c:v>14339.3</c:v>
                </c:pt>
                <c:pt idx="9">
                  <c:v>32219.8</c:v>
                </c:pt>
                <c:pt idx="10">
                  <c:v>27908.3</c:v>
                </c:pt>
                <c:pt idx="11">
                  <c:v>16888.599999999999</c:v>
                </c:pt>
                <c:pt idx="12">
                  <c:v>23001.200000000001</c:v>
                </c:pt>
              </c:numCache>
            </c:numRef>
          </c:val>
        </c:ser>
        <c:ser>
          <c:idx val="23"/>
          <c:order val="6"/>
          <c:tx>
            <c:strRef>
              <c:f>'Data 2'!$C$90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2'!$D$90:$P$90</c:f>
              <c:numCache>
                <c:formatCode>#,##0.0</c:formatCode>
                <c:ptCount val="13"/>
                <c:pt idx="0">
                  <c:v>0</c:v>
                </c:pt>
                <c:pt idx="1">
                  <c:v>537</c:v>
                </c:pt>
                <c:pt idx="2">
                  <c:v>231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1236</c:v>
                </c:pt>
                <c:pt idx="8">
                  <c:v>277</c:v>
                </c:pt>
                <c:pt idx="9">
                  <c:v>258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4"/>
          <c:order val="7"/>
          <c:tx>
            <c:strRef>
              <c:f>'Data 2'!$C$91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2'!$D$91:$P$91</c:f>
              <c:numCache>
                <c:formatCode>#,##0.0</c:formatCode>
                <c:ptCount val="13"/>
                <c:pt idx="0">
                  <c:v>5041.6000000000004</c:v>
                </c:pt>
                <c:pt idx="1">
                  <c:v>13587.3</c:v>
                </c:pt>
                <c:pt idx="2">
                  <c:v>9853.2999999999993</c:v>
                </c:pt>
                <c:pt idx="3">
                  <c:v>10537.6</c:v>
                </c:pt>
                <c:pt idx="4">
                  <c:v>7497.3</c:v>
                </c:pt>
                <c:pt idx="5">
                  <c:v>9809.2999999999993</c:v>
                </c:pt>
                <c:pt idx="6">
                  <c:v>16186.5</c:v>
                </c:pt>
                <c:pt idx="7">
                  <c:v>39485.4</c:v>
                </c:pt>
                <c:pt idx="8">
                  <c:v>7767.7</c:v>
                </c:pt>
                <c:pt idx="9">
                  <c:v>14790.9</c:v>
                </c:pt>
                <c:pt idx="10">
                  <c:v>16090.2</c:v>
                </c:pt>
                <c:pt idx="11">
                  <c:v>8367.7000000000007</c:v>
                </c:pt>
                <c:pt idx="12">
                  <c:v>5631.5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4361376"/>
        <c:axId val="334361768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2'!$D$104:$P$104</c:f>
              <c:numCache>
                <c:formatCode>#,##0.0</c:formatCode>
                <c:ptCount val="13"/>
                <c:pt idx="0">
                  <c:v>52.772110097999999</c:v>
                </c:pt>
                <c:pt idx="1">
                  <c:v>57.933831365300001</c:v>
                </c:pt>
                <c:pt idx="2">
                  <c:v>57.393478933700003</c:v>
                </c:pt>
                <c:pt idx="3">
                  <c:v>54.654758855300003</c:v>
                </c:pt>
                <c:pt idx="4">
                  <c:v>54.685032249099997</c:v>
                </c:pt>
                <c:pt idx="5">
                  <c:v>61.513323042499998</c:v>
                </c:pt>
                <c:pt idx="6">
                  <c:v>71.000344286000001</c:v>
                </c:pt>
                <c:pt idx="7">
                  <c:v>75.213326381100003</c:v>
                </c:pt>
                <c:pt idx="8">
                  <c:v>60.115528511000001</c:v>
                </c:pt>
                <c:pt idx="9">
                  <c:v>64.730818692499994</c:v>
                </c:pt>
                <c:pt idx="10">
                  <c:v>53.523070068999999</c:v>
                </c:pt>
                <c:pt idx="11">
                  <c:v>51.365419521600003</c:v>
                </c:pt>
                <c:pt idx="12">
                  <c:v>61.214905660699998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362552"/>
        <c:axId val="334362160"/>
      </c:lineChart>
      <c:catAx>
        <c:axId val="33436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361768"/>
        <c:crosses val="autoZero"/>
        <c:auto val="1"/>
        <c:lblAlgn val="ctr"/>
        <c:lblOffset val="100"/>
        <c:noMultiLvlLbl val="0"/>
      </c:catAx>
      <c:valAx>
        <c:axId val="334361768"/>
        <c:scaling>
          <c:orientation val="minMax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361376"/>
        <c:crosses val="autoZero"/>
        <c:crossBetween val="between"/>
        <c:majorUnit val="50000"/>
        <c:dispUnits>
          <c:builtInUnit val="thousands"/>
        </c:dispUnits>
      </c:valAx>
      <c:valAx>
        <c:axId val="33436216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362552"/>
        <c:crosses val="max"/>
        <c:crossBetween val="between"/>
        <c:majorUnit val="20"/>
      </c:valAx>
      <c:catAx>
        <c:axId val="334362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4362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'Data 2'!$B$128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'Data 2'!$C$128:$O$128</c:f>
              <c:numCache>
                <c:formatCode>#,##0.0</c:formatCode>
                <c:ptCount val="13"/>
                <c:pt idx="0">
                  <c:v>0</c:v>
                </c:pt>
                <c:pt idx="1">
                  <c:v>294.2</c:v>
                </c:pt>
                <c:pt idx="2">
                  <c:v>516.70000000000005</c:v>
                </c:pt>
                <c:pt idx="3">
                  <c:v>0</c:v>
                </c:pt>
                <c:pt idx="4">
                  <c:v>0</c:v>
                </c:pt>
                <c:pt idx="5">
                  <c:v>8149.5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350.4</c:v>
                </c:pt>
                <c:pt idx="12">
                  <c:v>0</c:v>
                </c:pt>
              </c:numCache>
            </c:numRef>
          </c:val>
        </c:ser>
        <c:ser>
          <c:idx val="12"/>
          <c:order val="1"/>
          <c:tx>
            <c:strRef>
              <c:f>'Data 2'!$B$129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val>
            <c:numRef>
              <c:f>'Data 2'!$C$129:$O$129</c:f>
              <c:numCache>
                <c:formatCode>#,##0.0</c:formatCode>
                <c:ptCount val="13"/>
                <c:pt idx="0">
                  <c:v>1097.9000000000001</c:v>
                </c:pt>
                <c:pt idx="1">
                  <c:v>0</c:v>
                </c:pt>
                <c:pt idx="2">
                  <c:v>1537.9</c:v>
                </c:pt>
                <c:pt idx="3">
                  <c:v>2533.1</c:v>
                </c:pt>
                <c:pt idx="4">
                  <c:v>555.79999999999995</c:v>
                </c:pt>
                <c:pt idx="5">
                  <c:v>754.8</c:v>
                </c:pt>
                <c:pt idx="6">
                  <c:v>458.3</c:v>
                </c:pt>
                <c:pt idx="7">
                  <c:v>223.8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0</c:v>
                </c:pt>
                <c:pt idx="12">
                  <c:v>90</c:v>
                </c:pt>
              </c:numCache>
            </c:numRef>
          </c:val>
        </c:ser>
        <c:ser>
          <c:idx val="0"/>
          <c:order val="2"/>
          <c:tx>
            <c:strRef>
              <c:f>'Data 2'!$B$130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2'!$C$130:$O$130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257</c:v>
                </c:pt>
                <c:pt idx="3">
                  <c:v>0</c:v>
                </c:pt>
                <c:pt idx="4">
                  <c:v>0</c:v>
                </c:pt>
                <c:pt idx="5">
                  <c:v>3.5</c:v>
                </c:pt>
                <c:pt idx="6">
                  <c:v>0</c:v>
                </c:pt>
                <c:pt idx="7">
                  <c:v>2.4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154.4</c:v>
                </c:pt>
              </c:numCache>
            </c:numRef>
          </c:val>
        </c:ser>
        <c:ser>
          <c:idx val="3"/>
          <c:order val="3"/>
          <c:tx>
            <c:strRef>
              <c:f>'Data 2'!$B$131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2'!$C$131:$O$131</c:f>
              <c:numCache>
                <c:formatCode>#,##0.0</c:formatCode>
                <c:ptCount val="13"/>
                <c:pt idx="0">
                  <c:v>21404.400000000001</c:v>
                </c:pt>
                <c:pt idx="1">
                  <c:v>4310.8</c:v>
                </c:pt>
                <c:pt idx="2">
                  <c:v>809.6</c:v>
                </c:pt>
                <c:pt idx="3">
                  <c:v>2991.4</c:v>
                </c:pt>
                <c:pt idx="4">
                  <c:v>20748.5</c:v>
                </c:pt>
                <c:pt idx="5">
                  <c:v>31856.3</c:v>
                </c:pt>
                <c:pt idx="6">
                  <c:v>31829.7</c:v>
                </c:pt>
                <c:pt idx="7">
                  <c:v>30752.2</c:v>
                </c:pt>
                <c:pt idx="8">
                  <c:v>31097.5</c:v>
                </c:pt>
                <c:pt idx="9">
                  <c:v>30123.599999999999</c:v>
                </c:pt>
                <c:pt idx="10">
                  <c:v>16053.6</c:v>
                </c:pt>
                <c:pt idx="11">
                  <c:v>32084.5</c:v>
                </c:pt>
                <c:pt idx="12">
                  <c:v>34261.699999999997</c:v>
                </c:pt>
              </c:numCache>
            </c:numRef>
          </c:val>
        </c:ser>
        <c:ser>
          <c:idx val="4"/>
          <c:order val="4"/>
          <c:tx>
            <c:strRef>
              <c:f>'Data 2'!$B$132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'Data 2'!$C$132:$O$132</c:f>
              <c:numCache>
                <c:formatCode>#,##0.0</c:formatCode>
                <c:ptCount val="13"/>
                <c:pt idx="0">
                  <c:v>0</c:v>
                </c:pt>
                <c:pt idx="1">
                  <c:v>42.4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'Data 2'!$B$133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2'!$C$133:$O$133</c:f>
              <c:numCache>
                <c:formatCode>#,##0.0</c:formatCode>
                <c:ptCount val="13"/>
                <c:pt idx="0">
                  <c:v>137.4</c:v>
                </c:pt>
                <c:pt idx="1">
                  <c:v>0.6</c:v>
                </c:pt>
                <c:pt idx="2">
                  <c:v>9502.9</c:v>
                </c:pt>
                <c:pt idx="3">
                  <c:v>42.6</c:v>
                </c:pt>
                <c:pt idx="4">
                  <c:v>1071</c:v>
                </c:pt>
                <c:pt idx="5">
                  <c:v>1760.6</c:v>
                </c:pt>
                <c:pt idx="6">
                  <c:v>671.7</c:v>
                </c:pt>
                <c:pt idx="7">
                  <c:v>2324.3000000000002</c:v>
                </c:pt>
                <c:pt idx="8">
                  <c:v>268.5</c:v>
                </c:pt>
                <c:pt idx="9">
                  <c:v>373.8</c:v>
                </c:pt>
                <c:pt idx="10">
                  <c:v>185.3</c:v>
                </c:pt>
                <c:pt idx="11">
                  <c:v>425.7</c:v>
                </c:pt>
                <c:pt idx="12">
                  <c:v>11163.7</c:v>
                </c:pt>
              </c:numCache>
            </c:numRef>
          </c:val>
        </c:ser>
        <c:ser>
          <c:idx val="6"/>
          <c:order val="6"/>
          <c:tx>
            <c:strRef>
              <c:f>'Data 2'!$B$134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2'!$C$134:$O$134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408.7</c:v>
                </c:pt>
                <c:pt idx="3">
                  <c:v>0</c:v>
                </c:pt>
                <c:pt idx="4">
                  <c:v>8.1999999999999993</c:v>
                </c:pt>
                <c:pt idx="5">
                  <c:v>0</c:v>
                </c:pt>
                <c:pt idx="6">
                  <c:v>189.5</c:v>
                </c:pt>
                <c:pt idx="7">
                  <c:v>0</c:v>
                </c:pt>
                <c:pt idx="8">
                  <c:v>0</c:v>
                </c:pt>
                <c:pt idx="9">
                  <c:v>1416.6</c:v>
                </c:pt>
                <c:pt idx="10">
                  <c:v>1837.6</c:v>
                </c:pt>
                <c:pt idx="11">
                  <c:v>531.20000000000005</c:v>
                </c:pt>
                <c:pt idx="12">
                  <c:v>589.5</c:v>
                </c:pt>
              </c:numCache>
            </c:numRef>
          </c:val>
        </c:ser>
        <c:ser>
          <c:idx val="7"/>
          <c:order val="7"/>
          <c:tx>
            <c:strRef>
              <c:f>'Data 2'!$B$135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'Data 2'!$C$135:$O$135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117.5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122.2</c:v>
                </c:pt>
              </c:numCache>
            </c:numRef>
          </c:val>
        </c:ser>
        <c:ser>
          <c:idx val="8"/>
          <c:order val="8"/>
          <c:tx>
            <c:strRef>
              <c:f>'Data 2'!$B$136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'Data 2'!$C$136:$O$136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9"/>
          <c:tx>
            <c:strRef>
              <c:f>'Data 2'!$B$137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'Data 2'!$C$137:$O$137</c:f>
              <c:numCache>
                <c:formatCode>#,##0.0</c:formatCode>
                <c:ptCount val="13"/>
                <c:pt idx="0">
                  <c:v>518.79999999999995</c:v>
                </c:pt>
                <c:pt idx="1">
                  <c:v>0</c:v>
                </c:pt>
                <c:pt idx="2">
                  <c:v>1254.7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44.1</c:v>
                </c:pt>
              </c:numCache>
            </c:numRef>
          </c:val>
        </c:ser>
        <c:ser>
          <c:idx val="10"/>
          <c:order val="10"/>
          <c:tx>
            <c:strRef>
              <c:f>'Data 2'!$B$138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2'!$C$138:$O$138</c:f>
              <c:numCache>
                <c:formatCode>#,##0.0</c:formatCode>
                <c:ptCount val="13"/>
                <c:pt idx="0">
                  <c:v>108.8</c:v>
                </c:pt>
                <c:pt idx="1">
                  <c:v>0</c:v>
                </c:pt>
                <c:pt idx="2">
                  <c:v>102.9</c:v>
                </c:pt>
                <c:pt idx="3">
                  <c:v>65</c:v>
                </c:pt>
                <c:pt idx="4">
                  <c:v>183.2</c:v>
                </c:pt>
                <c:pt idx="5">
                  <c:v>177.8</c:v>
                </c:pt>
                <c:pt idx="6">
                  <c:v>613.5</c:v>
                </c:pt>
                <c:pt idx="7">
                  <c:v>1135.9000000000001</c:v>
                </c:pt>
                <c:pt idx="8">
                  <c:v>1121.8</c:v>
                </c:pt>
                <c:pt idx="9">
                  <c:v>1190.9000000000001</c:v>
                </c:pt>
                <c:pt idx="10">
                  <c:v>606.6</c:v>
                </c:pt>
                <c:pt idx="11">
                  <c:v>413.1</c:v>
                </c:pt>
                <c:pt idx="12">
                  <c:v>171.5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4949440"/>
        <c:axId val="334172128"/>
      </c:barChart>
      <c:lineChart>
        <c:grouping val="standard"/>
        <c:varyColors val="0"/>
        <c:ser>
          <c:idx val="1"/>
          <c:order val="11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2'!$C$149:$O$149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2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2'!$C$148:$O$148</c:f>
              <c:numCache>
                <c:formatCode>#,##0.0</c:formatCode>
                <c:ptCount val="13"/>
                <c:pt idx="0">
                  <c:v>34.613184598099998</c:v>
                </c:pt>
                <c:pt idx="1">
                  <c:v>38.1623566962</c:v>
                </c:pt>
                <c:pt idx="2">
                  <c:v>7.5200099254000001</c:v>
                </c:pt>
                <c:pt idx="3">
                  <c:v>24.361699898800001</c:v>
                </c:pt>
                <c:pt idx="4">
                  <c:v>37.7942734206</c:v>
                </c:pt>
                <c:pt idx="5">
                  <c:v>31.409996136099998</c:v>
                </c:pt>
                <c:pt idx="6">
                  <c:v>38.9460973204</c:v>
                </c:pt>
                <c:pt idx="7">
                  <c:v>34.010933952000002</c:v>
                </c:pt>
                <c:pt idx="8">
                  <c:v>33.175365521800003</c:v>
                </c:pt>
                <c:pt idx="9">
                  <c:v>35.092640581600001</c:v>
                </c:pt>
                <c:pt idx="10">
                  <c:v>29.133979907000001</c:v>
                </c:pt>
                <c:pt idx="11">
                  <c:v>29.7914500561</c:v>
                </c:pt>
                <c:pt idx="12">
                  <c:v>29.2085445232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172912"/>
        <c:axId val="334172520"/>
      </c:lineChart>
      <c:catAx>
        <c:axId val="3349494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34172128"/>
        <c:crosses val="autoZero"/>
        <c:auto val="1"/>
        <c:lblAlgn val="ctr"/>
        <c:lblOffset val="100"/>
        <c:noMultiLvlLbl val="0"/>
      </c:catAx>
      <c:valAx>
        <c:axId val="334172128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949440"/>
        <c:crosses val="autoZero"/>
        <c:crossBetween val="between"/>
        <c:majorUnit val="20000"/>
        <c:dispUnits>
          <c:builtInUnit val="thousands"/>
        </c:dispUnits>
      </c:valAx>
      <c:valAx>
        <c:axId val="334172520"/>
        <c:scaling>
          <c:orientation val="maxMin"/>
          <c:max val="1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72912"/>
        <c:crosses val="max"/>
        <c:crossBetween val="between"/>
        <c:majorUnit val="30"/>
      </c:valAx>
      <c:catAx>
        <c:axId val="3341729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34172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7533577533589E-2"/>
          <c:y val="0.81095074626515185"/>
          <c:w val="0.97022620001924742"/>
          <c:h val="0.18904925373484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2'!$B$118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2'!$C$118:$O$118</c:f>
              <c:numCache>
                <c:formatCode>#,##0.0</c:formatCode>
                <c:ptCount val="13"/>
                <c:pt idx="0">
                  <c:v>70</c:v>
                </c:pt>
                <c:pt idx="1">
                  <c:v>673.2</c:v>
                </c:pt>
                <c:pt idx="2">
                  <c:v>0</c:v>
                </c:pt>
                <c:pt idx="3">
                  <c:v>1372.5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374</c:v>
                </c:pt>
                <c:pt idx="8">
                  <c:v>0</c:v>
                </c:pt>
                <c:pt idx="9">
                  <c:v>0</c:v>
                </c:pt>
                <c:pt idx="10">
                  <c:v>1806.7</c:v>
                </c:pt>
                <c:pt idx="11">
                  <c:v>3485.4</c:v>
                </c:pt>
                <c:pt idx="12">
                  <c:v>0</c:v>
                </c:pt>
              </c:numCache>
            </c:numRef>
          </c:val>
        </c:ser>
        <c:ser>
          <c:idx val="4"/>
          <c:order val="1"/>
          <c:tx>
            <c:strRef>
              <c:f>'Data 2'!$B$119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2'!$C$119:$O$119</c:f>
              <c:numCache>
                <c:formatCode>#,##0.0</c:formatCode>
                <c:ptCount val="13"/>
                <c:pt idx="0">
                  <c:v>3116.9</c:v>
                </c:pt>
                <c:pt idx="1">
                  <c:v>5702.5</c:v>
                </c:pt>
                <c:pt idx="2">
                  <c:v>4906.7</c:v>
                </c:pt>
                <c:pt idx="3">
                  <c:v>12488.5</c:v>
                </c:pt>
                <c:pt idx="4">
                  <c:v>9962.2999999999993</c:v>
                </c:pt>
                <c:pt idx="5">
                  <c:v>10119.200000000001</c:v>
                </c:pt>
                <c:pt idx="6">
                  <c:v>8034.3</c:v>
                </c:pt>
                <c:pt idx="7">
                  <c:v>3967.2</c:v>
                </c:pt>
                <c:pt idx="8">
                  <c:v>4799.8</c:v>
                </c:pt>
                <c:pt idx="9">
                  <c:v>9167.2000000000007</c:v>
                </c:pt>
                <c:pt idx="10">
                  <c:v>43724.800000000003</c:v>
                </c:pt>
                <c:pt idx="11">
                  <c:v>16735.099999999999</c:v>
                </c:pt>
                <c:pt idx="12">
                  <c:v>12256.8</c:v>
                </c:pt>
              </c:numCache>
            </c:numRef>
          </c:val>
        </c:ser>
        <c:ser>
          <c:idx val="5"/>
          <c:order val="2"/>
          <c:tx>
            <c:strRef>
              <c:f>'Data 2'!$B$120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2'!$C$120:$O$120</c:f>
              <c:numCache>
                <c:formatCode>#,##0.0</c:formatCode>
                <c:ptCount val="13"/>
                <c:pt idx="0">
                  <c:v>762.7</c:v>
                </c:pt>
                <c:pt idx="1">
                  <c:v>1567.6</c:v>
                </c:pt>
                <c:pt idx="2">
                  <c:v>593.20000000000005</c:v>
                </c:pt>
                <c:pt idx="3">
                  <c:v>3675.7</c:v>
                </c:pt>
                <c:pt idx="4">
                  <c:v>123.8</c:v>
                </c:pt>
                <c:pt idx="5">
                  <c:v>1038.2</c:v>
                </c:pt>
                <c:pt idx="6">
                  <c:v>863.8</c:v>
                </c:pt>
                <c:pt idx="7">
                  <c:v>2746.1</c:v>
                </c:pt>
                <c:pt idx="8">
                  <c:v>3776.1</c:v>
                </c:pt>
                <c:pt idx="9">
                  <c:v>319.8</c:v>
                </c:pt>
                <c:pt idx="10">
                  <c:v>4108.1000000000004</c:v>
                </c:pt>
                <c:pt idx="11">
                  <c:v>3030.8</c:v>
                </c:pt>
                <c:pt idx="12">
                  <c:v>795.1</c:v>
                </c:pt>
              </c:numCache>
            </c:numRef>
          </c:val>
        </c:ser>
        <c:ser>
          <c:idx val="6"/>
          <c:order val="3"/>
          <c:tx>
            <c:strRef>
              <c:f>'Data 2'!$B$121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2'!$C$121:$O$121</c:f>
              <c:numCache>
                <c:formatCode>#,##0.0</c:formatCode>
                <c:ptCount val="13"/>
                <c:pt idx="0">
                  <c:v>846.6</c:v>
                </c:pt>
                <c:pt idx="1">
                  <c:v>28.4</c:v>
                </c:pt>
                <c:pt idx="2">
                  <c:v>844.1</c:v>
                </c:pt>
                <c:pt idx="3">
                  <c:v>1561.2</c:v>
                </c:pt>
                <c:pt idx="4">
                  <c:v>0</c:v>
                </c:pt>
                <c:pt idx="5">
                  <c:v>495.2</c:v>
                </c:pt>
                <c:pt idx="6">
                  <c:v>0</c:v>
                </c:pt>
                <c:pt idx="7">
                  <c:v>58.6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4"/>
          <c:tx>
            <c:strRef>
              <c:f>'Data 2'!$B$122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2'!$C$122:$O$122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'Data 2'!$B$123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2'!$C$123:$O$123</c:f>
              <c:numCache>
                <c:formatCode>#,##0.0</c:formatCode>
                <c:ptCount val="13"/>
                <c:pt idx="0">
                  <c:v>410</c:v>
                </c:pt>
                <c:pt idx="1">
                  <c:v>149.4</c:v>
                </c:pt>
                <c:pt idx="2">
                  <c:v>376.7</c:v>
                </c:pt>
                <c:pt idx="3">
                  <c:v>359.5</c:v>
                </c:pt>
                <c:pt idx="4">
                  <c:v>40</c:v>
                </c:pt>
                <c:pt idx="5">
                  <c:v>208.4</c:v>
                </c:pt>
                <c:pt idx="6">
                  <c:v>0</c:v>
                </c:pt>
                <c:pt idx="7">
                  <c:v>52.1</c:v>
                </c:pt>
                <c:pt idx="8">
                  <c:v>0</c:v>
                </c:pt>
                <c:pt idx="9">
                  <c:v>367.5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'Data 2'!$B$124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2'!$C$124:$O$124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973.2</c:v>
                </c:pt>
                <c:pt idx="3">
                  <c:v>1700.4</c:v>
                </c:pt>
                <c:pt idx="4">
                  <c:v>0</c:v>
                </c:pt>
                <c:pt idx="5">
                  <c:v>0</c:v>
                </c:pt>
                <c:pt idx="6">
                  <c:v>3635.7</c:v>
                </c:pt>
                <c:pt idx="7">
                  <c:v>0</c:v>
                </c:pt>
                <c:pt idx="8">
                  <c:v>5766.5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'Data 2'!$B$125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2'!$C$125:$O$125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8"/>
          <c:tx>
            <c:strRef>
              <c:f>'Data 2'!$B$126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2'!$C$126:$O$126</c:f>
              <c:numCache>
                <c:formatCode>#,##0.0</c:formatCode>
                <c:ptCount val="13"/>
                <c:pt idx="0">
                  <c:v>1489.3</c:v>
                </c:pt>
                <c:pt idx="1">
                  <c:v>940.1</c:v>
                </c:pt>
                <c:pt idx="2">
                  <c:v>7214.8</c:v>
                </c:pt>
                <c:pt idx="3">
                  <c:v>1397.9</c:v>
                </c:pt>
                <c:pt idx="4">
                  <c:v>759.3</c:v>
                </c:pt>
                <c:pt idx="5">
                  <c:v>2510.5</c:v>
                </c:pt>
                <c:pt idx="6">
                  <c:v>1650.6</c:v>
                </c:pt>
                <c:pt idx="7">
                  <c:v>774.9</c:v>
                </c:pt>
                <c:pt idx="8">
                  <c:v>1181.9000000000001</c:v>
                </c:pt>
                <c:pt idx="9">
                  <c:v>436</c:v>
                </c:pt>
                <c:pt idx="10">
                  <c:v>249</c:v>
                </c:pt>
                <c:pt idx="11">
                  <c:v>3717.6</c:v>
                </c:pt>
                <c:pt idx="12">
                  <c:v>330.9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4173696"/>
        <c:axId val="334174088"/>
      </c:barChart>
      <c:lineChart>
        <c:grouping val="standard"/>
        <c:varyColors val="0"/>
        <c:ser>
          <c:idx val="2"/>
          <c:order val="9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2'!$C$147:$O$147</c:f>
              <c:numCache>
                <c:formatCode>#,##0.0</c:formatCode>
                <c:ptCount val="13"/>
                <c:pt idx="0">
                  <c:v>118.2418215391</c:v>
                </c:pt>
                <c:pt idx="1">
                  <c:v>91.525396333399996</c:v>
                </c:pt>
                <c:pt idx="2">
                  <c:v>88.581907768400001</c:v>
                </c:pt>
                <c:pt idx="3">
                  <c:v>86.157873728799999</c:v>
                </c:pt>
                <c:pt idx="4">
                  <c:v>132.9255103166</c:v>
                </c:pt>
                <c:pt idx="5">
                  <c:v>162.3070364578</c:v>
                </c:pt>
                <c:pt idx="6">
                  <c:v>156.44702913059999</c:v>
                </c:pt>
                <c:pt idx="7">
                  <c:v>137.28795092429999</c:v>
                </c:pt>
                <c:pt idx="8">
                  <c:v>95.193314352300007</c:v>
                </c:pt>
                <c:pt idx="9">
                  <c:v>113.42185996790001</c:v>
                </c:pt>
                <c:pt idx="10">
                  <c:v>116.86911518860001</c:v>
                </c:pt>
                <c:pt idx="11">
                  <c:v>103.6372710789</c:v>
                </c:pt>
                <c:pt idx="12">
                  <c:v>144.02376109630001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174872"/>
        <c:axId val="334174480"/>
      </c:lineChart>
      <c:catAx>
        <c:axId val="33417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74088"/>
        <c:crosses val="autoZero"/>
        <c:auto val="1"/>
        <c:lblAlgn val="ctr"/>
        <c:lblOffset val="100"/>
        <c:noMultiLvlLbl val="0"/>
      </c:catAx>
      <c:valAx>
        <c:axId val="334174088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73696"/>
        <c:crosses val="autoZero"/>
        <c:crossBetween val="between"/>
        <c:majorUnit val="20000"/>
        <c:dispUnits>
          <c:builtInUnit val="thousands"/>
        </c:dispUnits>
      </c:valAx>
      <c:valAx>
        <c:axId val="334174480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74872"/>
        <c:crosses val="max"/>
        <c:crossBetween val="between"/>
        <c:majorUnit val="30"/>
      </c:valAx>
      <c:catAx>
        <c:axId val="334174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4174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'Data 2'!$B$164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2'!$C$164:$O$164</c:f>
              <c:numCache>
                <c:formatCode>#,##0.0</c:formatCode>
                <c:ptCount val="13"/>
                <c:pt idx="0">
                  <c:v>341</c:v>
                </c:pt>
                <c:pt idx="1">
                  <c:v>4305</c:v>
                </c:pt>
                <c:pt idx="2">
                  <c:v>0</c:v>
                </c:pt>
                <c:pt idx="3">
                  <c:v>0</c:v>
                </c:pt>
                <c:pt idx="4">
                  <c:v>3306.6</c:v>
                </c:pt>
                <c:pt idx="5">
                  <c:v>27914.400000000001</c:v>
                </c:pt>
                <c:pt idx="6">
                  <c:v>23926.9</c:v>
                </c:pt>
                <c:pt idx="7">
                  <c:v>3200.6</c:v>
                </c:pt>
                <c:pt idx="8">
                  <c:v>10696.2</c:v>
                </c:pt>
                <c:pt idx="9">
                  <c:v>4341.8999999999996</c:v>
                </c:pt>
                <c:pt idx="10">
                  <c:v>45246.3</c:v>
                </c:pt>
                <c:pt idx="11">
                  <c:v>55123</c:v>
                </c:pt>
                <c:pt idx="12">
                  <c:v>40054.5</c:v>
                </c:pt>
              </c:numCache>
            </c:numRef>
          </c:val>
        </c:ser>
        <c:ser>
          <c:idx val="5"/>
          <c:order val="2"/>
          <c:tx>
            <c:strRef>
              <c:f>'Data 2'!$B$165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2'!$C$165:$O$165</c:f>
              <c:numCache>
                <c:formatCode>#,##0.0</c:formatCode>
                <c:ptCount val="13"/>
                <c:pt idx="0">
                  <c:v>2659</c:v>
                </c:pt>
                <c:pt idx="1">
                  <c:v>11713</c:v>
                </c:pt>
                <c:pt idx="2">
                  <c:v>0</c:v>
                </c:pt>
                <c:pt idx="3">
                  <c:v>15430.5</c:v>
                </c:pt>
                <c:pt idx="4">
                  <c:v>27967.5</c:v>
                </c:pt>
                <c:pt idx="5">
                  <c:v>638167.19999999995</c:v>
                </c:pt>
                <c:pt idx="6">
                  <c:v>455734.5</c:v>
                </c:pt>
                <c:pt idx="7">
                  <c:v>67420.5</c:v>
                </c:pt>
                <c:pt idx="8">
                  <c:v>39454.699999999997</c:v>
                </c:pt>
                <c:pt idx="9">
                  <c:v>58215.4</c:v>
                </c:pt>
                <c:pt idx="10">
                  <c:v>142680.5</c:v>
                </c:pt>
                <c:pt idx="11">
                  <c:v>258682.2</c:v>
                </c:pt>
                <c:pt idx="12">
                  <c:v>170347.3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4175656"/>
        <c:axId val="334176048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2'!$B$163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2'!$C$163:$O$163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2'!$B$166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2'!$C$166:$O$166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2'!$B$167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2'!$C$167:$O$167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2'!$C$179:$O$179</c:f>
              <c:numCache>
                <c:formatCode>#,##0.0</c:formatCode>
                <c:ptCount val="13"/>
                <c:pt idx="0">
                  <c:v>3</c:v>
                </c:pt>
                <c:pt idx="1">
                  <c:v>12.8</c:v>
                </c:pt>
                <c:pt idx="2">
                  <c:v>0</c:v>
                </c:pt>
                <c:pt idx="3">
                  <c:v>23.340193253599999</c:v>
                </c:pt>
                <c:pt idx="4">
                  <c:v>21.599768498500001</c:v>
                </c:pt>
                <c:pt idx="5">
                  <c:v>20.4834082251</c:v>
                </c:pt>
                <c:pt idx="6">
                  <c:v>7.6688870712000003</c:v>
                </c:pt>
                <c:pt idx="7">
                  <c:v>8.8270115871999995</c:v>
                </c:pt>
                <c:pt idx="8">
                  <c:v>9.1079265776000007</c:v>
                </c:pt>
                <c:pt idx="9">
                  <c:v>20.767300458899999</c:v>
                </c:pt>
                <c:pt idx="10">
                  <c:v>23.806060237299999</c:v>
                </c:pt>
                <c:pt idx="11">
                  <c:v>17.740267306</c:v>
                </c:pt>
                <c:pt idx="12">
                  <c:v>13.0302566518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176832"/>
        <c:axId val="334176440"/>
      </c:lineChart>
      <c:catAx>
        <c:axId val="334175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76048"/>
        <c:crosses val="autoZero"/>
        <c:auto val="1"/>
        <c:lblAlgn val="ctr"/>
        <c:lblOffset val="100"/>
        <c:noMultiLvlLbl val="0"/>
      </c:catAx>
      <c:valAx>
        <c:axId val="334176048"/>
        <c:scaling>
          <c:orientation val="minMax"/>
          <c:max val="8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75656"/>
        <c:crosses val="autoZero"/>
        <c:crossBetween val="between"/>
        <c:majorUnit val="100000"/>
        <c:dispUnits>
          <c:builtInUnit val="thousands"/>
        </c:dispUnits>
      </c:valAx>
      <c:valAx>
        <c:axId val="334176440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4176832"/>
        <c:crosses val="max"/>
        <c:crossBetween val="between"/>
      </c:valAx>
      <c:catAx>
        <c:axId val="33417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334176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21165373721401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1'!$C$43:$C$44</c:f>
              <c:strCache>
                <c:ptCount val="2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1'!$C$45:$C$57</c:f>
              <c:numCache>
                <c:formatCode>0.0</c:formatCode>
                <c:ptCount val="13"/>
                <c:pt idx="0">
                  <c:v>40.143369175627242</c:v>
                </c:pt>
                <c:pt idx="1">
                  <c:v>46.087962962962969</c:v>
                </c:pt>
                <c:pt idx="2">
                  <c:v>37.298387096774199</c:v>
                </c:pt>
                <c:pt idx="3">
                  <c:v>36.04390681003585</c:v>
                </c:pt>
                <c:pt idx="4">
                  <c:v>38.946759259259267</c:v>
                </c:pt>
                <c:pt idx="5">
                  <c:v>39.807347670250891</c:v>
                </c:pt>
                <c:pt idx="6">
                  <c:v>33.518518518518519</c:v>
                </c:pt>
                <c:pt idx="7">
                  <c:v>37.141577060931901</c:v>
                </c:pt>
                <c:pt idx="8">
                  <c:v>34.65501792114695</c:v>
                </c:pt>
                <c:pt idx="9">
                  <c:v>48.387896825396837</c:v>
                </c:pt>
                <c:pt idx="10">
                  <c:v>44.055630327501127</c:v>
                </c:pt>
                <c:pt idx="11">
                  <c:v>51.574074074074069</c:v>
                </c:pt>
                <c:pt idx="12">
                  <c:v>59.36379928315413</c:v>
                </c:pt>
              </c:numCache>
            </c:numRef>
          </c:val>
        </c:ser>
        <c:ser>
          <c:idx val="1"/>
          <c:order val="1"/>
          <c:tx>
            <c:strRef>
              <c:f>'Data 1'!$D$43:$D$44</c:f>
              <c:strCache>
                <c:ptCount val="2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1'!$D$45:$D$57</c:f>
              <c:numCache>
                <c:formatCode>0.0</c:formatCode>
                <c:ptCount val="13"/>
                <c:pt idx="0">
                  <c:v>11.559139784946236</c:v>
                </c:pt>
                <c:pt idx="1">
                  <c:v>3.981481481481481</c:v>
                </c:pt>
                <c:pt idx="2">
                  <c:v>4.7827060931899634</c:v>
                </c:pt>
                <c:pt idx="3">
                  <c:v>10.360663082437277</c:v>
                </c:pt>
                <c:pt idx="4">
                  <c:v>7.4074074074074066</c:v>
                </c:pt>
                <c:pt idx="5">
                  <c:v>6.25</c:v>
                </c:pt>
                <c:pt idx="6">
                  <c:v>10.11574074074074</c:v>
                </c:pt>
                <c:pt idx="7">
                  <c:v>8.736559139784946</c:v>
                </c:pt>
                <c:pt idx="8">
                  <c:v>14.448924731182796</c:v>
                </c:pt>
                <c:pt idx="9">
                  <c:v>4.8363095238095237</c:v>
                </c:pt>
                <c:pt idx="10">
                  <c:v>12.113055181695827</c:v>
                </c:pt>
                <c:pt idx="11">
                  <c:v>16.296296296296294</c:v>
                </c:pt>
                <c:pt idx="12">
                  <c:v>13.732078853046591</c:v>
                </c:pt>
              </c:numCache>
            </c:numRef>
          </c:val>
        </c:ser>
        <c:ser>
          <c:idx val="2"/>
          <c:order val="2"/>
          <c:tx>
            <c:strRef>
              <c:f>'Data 1'!$E$43:$E$44</c:f>
              <c:strCache>
                <c:ptCount val="2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1'!$E$45:$E$57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1'!$F$43:$F$44</c:f>
              <c:strCache>
                <c:ptCount val="2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1'!$F$45:$F$57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0.13440860215053765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'Data 1'!$G$43:$G$44</c:f>
              <c:strCache>
                <c:ptCount val="2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1'!$G$45:$G$57</c:f>
              <c:numCache>
                <c:formatCode>0.0</c:formatCode>
                <c:ptCount val="13"/>
                <c:pt idx="0">
                  <c:v>12.186379928315411</c:v>
                </c:pt>
                <c:pt idx="1">
                  <c:v>13.032407407407407</c:v>
                </c:pt>
                <c:pt idx="2">
                  <c:v>17.6747311827957</c:v>
                </c:pt>
                <c:pt idx="3">
                  <c:v>17.517921146953402</c:v>
                </c:pt>
                <c:pt idx="4">
                  <c:v>19.201388888888893</c:v>
                </c:pt>
                <c:pt idx="5">
                  <c:v>10.483870967741936</c:v>
                </c:pt>
                <c:pt idx="6">
                  <c:v>17.546296296296298</c:v>
                </c:pt>
                <c:pt idx="7">
                  <c:v>15.770609318996415</c:v>
                </c:pt>
                <c:pt idx="8">
                  <c:v>11.312724014336919</c:v>
                </c:pt>
                <c:pt idx="9">
                  <c:v>7.9613095238095237</c:v>
                </c:pt>
                <c:pt idx="10">
                  <c:v>2.489905787348587</c:v>
                </c:pt>
                <c:pt idx="11">
                  <c:v>1.5277777777777777</c:v>
                </c:pt>
                <c:pt idx="12">
                  <c:v>2.1281362007168458</c:v>
                </c:pt>
              </c:numCache>
            </c:numRef>
          </c:val>
        </c:ser>
        <c:ser>
          <c:idx val="5"/>
          <c:order val="5"/>
          <c:tx>
            <c:strRef>
              <c:f>'Data 1'!$H$43:$H$44</c:f>
              <c:strCache>
                <c:ptCount val="2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1'!$H$45:$H$57</c:f>
              <c:numCache>
                <c:formatCode>0.0</c:formatCode>
                <c:ptCount val="13"/>
                <c:pt idx="0">
                  <c:v>20.228494623655912</c:v>
                </c:pt>
                <c:pt idx="1">
                  <c:v>25.462962962962965</c:v>
                </c:pt>
                <c:pt idx="2">
                  <c:v>28.59543010752688</c:v>
                </c:pt>
                <c:pt idx="3">
                  <c:v>17.708333333333336</c:v>
                </c:pt>
                <c:pt idx="4">
                  <c:v>17.187499999999996</c:v>
                </c:pt>
                <c:pt idx="5">
                  <c:v>25.963261648745522</c:v>
                </c:pt>
                <c:pt idx="6">
                  <c:v>26.087962962962962</c:v>
                </c:pt>
                <c:pt idx="7">
                  <c:v>19.153225806451612</c:v>
                </c:pt>
                <c:pt idx="8">
                  <c:v>18.637992831541222</c:v>
                </c:pt>
                <c:pt idx="9">
                  <c:v>25.992063492063487</c:v>
                </c:pt>
                <c:pt idx="10">
                  <c:v>8.1202332884701658</c:v>
                </c:pt>
                <c:pt idx="11">
                  <c:v>3.4722222222222223</c:v>
                </c:pt>
                <c:pt idx="12">
                  <c:v>7.2356630824372772</c:v>
                </c:pt>
              </c:numCache>
            </c:numRef>
          </c:val>
        </c:ser>
        <c:ser>
          <c:idx val="6"/>
          <c:order val="6"/>
          <c:tx>
            <c:strRef>
              <c:f>'Data 1'!$I$43:$I$44</c:f>
              <c:strCache>
                <c:ptCount val="2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1'!$I$45:$I$57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'Data 1'!$J$43:$J$44</c:f>
              <c:strCache>
                <c:ptCount val="2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1'!$J$45:$J$57</c:f>
              <c:numCache>
                <c:formatCode>0.0</c:formatCode>
                <c:ptCount val="13"/>
                <c:pt idx="0">
                  <c:v>15.882616487455195</c:v>
                </c:pt>
                <c:pt idx="1">
                  <c:v>11.435185185185185</c:v>
                </c:pt>
                <c:pt idx="2">
                  <c:v>11.514336917562725</c:v>
                </c:pt>
                <c:pt idx="3">
                  <c:v>18.369175627240143</c:v>
                </c:pt>
                <c:pt idx="4">
                  <c:v>17.256944444444443</c:v>
                </c:pt>
                <c:pt idx="5">
                  <c:v>17.495519713261647</c:v>
                </c:pt>
                <c:pt idx="6">
                  <c:v>12.731481481481485</c:v>
                </c:pt>
                <c:pt idx="7">
                  <c:v>19.198028673835125</c:v>
                </c:pt>
                <c:pt idx="8">
                  <c:v>20.945340501792113</c:v>
                </c:pt>
                <c:pt idx="9">
                  <c:v>12.822420634920634</c:v>
                </c:pt>
                <c:pt idx="10">
                  <c:v>33.221175414984295</c:v>
                </c:pt>
                <c:pt idx="11">
                  <c:v>27.129629629629637</c:v>
                </c:pt>
                <c:pt idx="12">
                  <c:v>17.540322580645157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650352"/>
        <c:axId val="329650744"/>
      </c:barChart>
      <c:catAx>
        <c:axId val="32965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9650744"/>
        <c:crosses val="autoZero"/>
        <c:auto val="1"/>
        <c:lblAlgn val="ctr"/>
        <c:lblOffset val="100"/>
        <c:noMultiLvlLbl val="0"/>
      </c:catAx>
      <c:valAx>
        <c:axId val="329650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965035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1'!$E$60:$E$61</c:f>
              <c:strCache>
                <c:ptCount val="2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1'!$E$62:$E$74</c:f>
              <c:numCache>
                <c:formatCode>0.00</c:formatCode>
                <c:ptCount val="13"/>
                <c:pt idx="0">
                  <c:v>47.6</c:v>
                </c:pt>
                <c:pt idx="1">
                  <c:v>50.77</c:v>
                </c:pt>
                <c:pt idx="2">
                  <c:v>49.13</c:v>
                </c:pt>
                <c:pt idx="3">
                  <c:v>48.03</c:v>
                </c:pt>
                <c:pt idx="4">
                  <c:v>49.519999999999996</c:v>
                </c:pt>
                <c:pt idx="5">
                  <c:v>57.589999999999996</c:v>
                </c:pt>
                <c:pt idx="6">
                  <c:v>60.56</c:v>
                </c:pt>
                <c:pt idx="7">
                  <c:v>60.14</c:v>
                </c:pt>
                <c:pt idx="8">
                  <c:v>51.77</c:v>
                </c:pt>
                <c:pt idx="9">
                  <c:v>55.760000000000005</c:v>
                </c:pt>
                <c:pt idx="10">
                  <c:v>41.75</c:v>
                </c:pt>
                <c:pt idx="11">
                  <c:v>43.51</c:v>
                </c:pt>
                <c:pt idx="12">
                  <c:v>55.4</c:v>
                </c:pt>
              </c:numCache>
            </c:numRef>
          </c:val>
        </c:ser>
        <c:ser>
          <c:idx val="1"/>
          <c:order val="1"/>
          <c:tx>
            <c:strRef>
              <c:f>'Data 1'!$F$60:$F$61</c:f>
              <c:strCache>
                <c:ptCount val="2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1'!$F$62:$F$74</c:f>
              <c:numCache>
                <c:formatCode>0.00</c:formatCode>
                <c:ptCount val="13"/>
                <c:pt idx="0">
                  <c:v>2.13</c:v>
                </c:pt>
                <c:pt idx="1">
                  <c:v>1.2499999999999998</c:v>
                </c:pt>
                <c:pt idx="2">
                  <c:v>1.6499999999999997</c:v>
                </c:pt>
                <c:pt idx="3">
                  <c:v>2.5000000000000004</c:v>
                </c:pt>
                <c:pt idx="4">
                  <c:v>2.2000000000000006</c:v>
                </c:pt>
                <c:pt idx="5">
                  <c:v>2.78</c:v>
                </c:pt>
                <c:pt idx="6">
                  <c:v>1.6799999999999997</c:v>
                </c:pt>
                <c:pt idx="7">
                  <c:v>2.25</c:v>
                </c:pt>
                <c:pt idx="8">
                  <c:v>1.9599999999999997</c:v>
                </c:pt>
                <c:pt idx="9">
                  <c:v>1.5699999999999998</c:v>
                </c:pt>
                <c:pt idx="10">
                  <c:v>4.21</c:v>
                </c:pt>
                <c:pt idx="11">
                  <c:v>3.68</c:v>
                </c:pt>
                <c:pt idx="12">
                  <c:v>2.88</c:v>
                </c:pt>
              </c:numCache>
            </c:numRef>
          </c:val>
        </c:ser>
        <c:ser>
          <c:idx val="2"/>
          <c:order val="2"/>
          <c:tx>
            <c:strRef>
              <c:f>'Data 1'!$G$60:$G$61</c:f>
              <c:strCache>
                <c:ptCount val="2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1'!$G$62:$G$74</c:f>
              <c:numCache>
                <c:formatCode>0.00</c:formatCode>
                <c:ptCount val="13"/>
                <c:pt idx="0">
                  <c:v>2.37</c:v>
                </c:pt>
                <c:pt idx="1">
                  <c:v>2.91</c:v>
                </c:pt>
                <c:pt idx="2">
                  <c:v>3.22</c:v>
                </c:pt>
                <c:pt idx="3">
                  <c:v>2.1800000000000002</c:v>
                </c:pt>
                <c:pt idx="4">
                  <c:v>2.42</c:v>
                </c:pt>
                <c:pt idx="5">
                  <c:v>2.34</c:v>
                </c:pt>
                <c:pt idx="6">
                  <c:v>2.4900000000000002</c:v>
                </c:pt>
                <c:pt idx="7">
                  <c:v>3.07</c:v>
                </c:pt>
                <c:pt idx="8">
                  <c:v>3.19</c:v>
                </c:pt>
                <c:pt idx="9">
                  <c:v>3.25</c:v>
                </c:pt>
                <c:pt idx="10">
                  <c:v>2.56</c:v>
                </c:pt>
                <c:pt idx="11">
                  <c:v>2.4300000000000002</c:v>
                </c:pt>
                <c:pt idx="12">
                  <c:v>2.37</c:v>
                </c:pt>
              </c:numCache>
            </c:numRef>
          </c:val>
        </c:ser>
        <c:ser>
          <c:idx val="4"/>
          <c:order val="3"/>
          <c:tx>
            <c:strRef>
              <c:f>'Data 1'!$H$60:$H$61</c:f>
              <c:strCache>
                <c:ptCount val="2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1'!$H$62:$H$74</c:f>
              <c:numCache>
                <c:formatCode>0.00</c:formatCode>
                <c:ptCount val="13"/>
                <c:pt idx="0">
                  <c:v>2.15</c:v>
                </c:pt>
                <c:pt idx="1">
                  <c:v>2</c:v>
                </c:pt>
                <c:pt idx="2">
                  <c:v>1.93</c:v>
                </c:pt>
                <c:pt idx="3">
                  <c:v>1.99</c:v>
                </c:pt>
                <c:pt idx="4">
                  <c:v>2.14</c:v>
                </c:pt>
                <c:pt idx="5">
                  <c:v>2.16</c:v>
                </c:pt>
                <c:pt idx="6">
                  <c:v>2.0699999999999998</c:v>
                </c:pt>
                <c:pt idx="7">
                  <c:v>1.85</c:v>
                </c:pt>
                <c:pt idx="8">
                  <c:v>1.36</c:v>
                </c:pt>
                <c:pt idx="9">
                  <c:v>1.46</c:v>
                </c:pt>
                <c:pt idx="10">
                  <c:v>1.41</c:v>
                </c:pt>
                <c:pt idx="11">
                  <c:v>1.56</c:v>
                </c:pt>
                <c:pt idx="12">
                  <c:v>1.53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1072656"/>
        <c:axId val="331073048"/>
      </c:barChart>
      <c:catAx>
        <c:axId val="33107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1073048"/>
        <c:crosses val="autoZero"/>
        <c:auto val="1"/>
        <c:lblAlgn val="ctr"/>
        <c:lblOffset val="100"/>
        <c:noMultiLvlLbl val="0"/>
      </c:catAx>
      <c:valAx>
        <c:axId val="331073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1072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4066480953684471"/>
                  <c:y val="-0.38896674964506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5977961432506887"/>
                  <c:y val="6.35811033073658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1'!$E$77:$H$77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'Data 1'!$E$78:$H$78</c:f>
              <c:numCache>
                <c:formatCode>0.00</c:formatCode>
                <c:ptCount val="4"/>
                <c:pt idx="0">
                  <c:v>55.4</c:v>
                </c:pt>
                <c:pt idx="1">
                  <c:v>2.37</c:v>
                </c:pt>
                <c:pt idx="2">
                  <c:v>1.53</c:v>
                </c:pt>
                <c:pt idx="3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1'!$B$82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1'!$C$82:$O$82</c:f>
              <c:numCache>
                <c:formatCode>#,##0.00</c:formatCode>
                <c:ptCount val="13"/>
                <c:pt idx="0">
                  <c:v>1.45</c:v>
                </c:pt>
                <c:pt idx="1">
                  <c:v>0.69</c:v>
                </c:pt>
                <c:pt idx="2">
                  <c:v>1.1399999999999999</c:v>
                </c:pt>
                <c:pt idx="3">
                  <c:v>1.86</c:v>
                </c:pt>
                <c:pt idx="4">
                  <c:v>1.55</c:v>
                </c:pt>
                <c:pt idx="5">
                  <c:v>1.1399999999999999</c:v>
                </c:pt>
                <c:pt idx="6">
                  <c:v>0.78</c:v>
                </c:pt>
                <c:pt idx="7">
                  <c:v>1.08</c:v>
                </c:pt>
                <c:pt idx="8">
                  <c:v>1.08</c:v>
                </c:pt>
                <c:pt idx="9">
                  <c:v>0.88</c:v>
                </c:pt>
                <c:pt idx="10">
                  <c:v>2.92</c:v>
                </c:pt>
                <c:pt idx="11">
                  <c:v>2.61</c:v>
                </c:pt>
                <c:pt idx="12">
                  <c:v>2.12</c:v>
                </c:pt>
              </c:numCache>
            </c:numRef>
          </c:val>
          <c:extLst/>
        </c:ser>
        <c:ser>
          <c:idx val="6"/>
          <c:order val="1"/>
          <c:tx>
            <c:strRef>
              <c:f>'Data 1'!$B$83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1'!$C$83:$O$83</c:f>
              <c:numCache>
                <c:formatCode>#,##0.00</c:formatCode>
                <c:ptCount val="13"/>
                <c:pt idx="0">
                  <c:v>0.03</c:v>
                </c:pt>
                <c:pt idx="1">
                  <c:v>0.02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0.12</c:v>
                </c:pt>
                <c:pt idx="6">
                  <c:v>0.08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0.17</c:v>
                </c:pt>
                <c:pt idx="11">
                  <c:v>0.09</c:v>
                </c:pt>
                <c:pt idx="12">
                  <c:v>0.11</c:v>
                </c:pt>
              </c:numCache>
            </c:numRef>
          </c:val>
          <c:extLst/>
        </c:ser>
        <c:ser>
          <c:idx val="2"/>
          <c:order val="2"/>
          <c:tx>
            <c:strRef>
              <c:f>'Data 1'!$B$84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1'!$C$84:$O$84</c:f>
              <c:numCache>
                <c:formatCode>#,##0.00</c:formatCode>
                <c:ptCount val="13"/>
                <c:pt idx="0">
                  <c:v>0</c:v>
                </c:pt>
                <c:pt idx="1">
                  <c:v>0.01</c:v>
                </c:pt>
                <c:pt idx="2">
                  <c:v>0</c:v>
                </c:pt>
                <c:pt idx="3">
                  <c:v>0.02</c:v>
                </c:pt>
                <c:pt idx="4">
                  <c:v>0.03</c:v>
                </c:pt>
                <c:pt idx="5">
                  <c:v>0.66</c:v>
                </c:pt>
                <c:pt idx="6">
                  <c:v>0.17</c:v>
                </c:pt>
                <c:pt idx="7">
                  <c:v>0.03</c:v>
                </c:pt>
                <c:pt idx="8">
                  <c:v>0.02</c:v>
                </c:pt>
                <c:pt idx="9">
                  <c:v>0.06</c:v>
                </c:pt>
                <c:pt idx="10">
                  <c:v>0.2</c:v>
                </c:pt>
                <c:pt idx="11">
                  <c:v>0.27</c:v>
                </c:pt>
                <c:pt idx="12">
                  <c:v>0.13</c:v>
                </c:pt>
              </c:numCache>
            </c:numRef>
          </c:val>
          <c:extLst/>
        </c:ser>
        <c:ser>
          <c:idx val="1"/>
          <c:order val="3"/>
          <c:tx>
            <c:strRef>
              <c:f>'Data 1'!$B$85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1'!$C$85:$O$85</c:f>
              <c:numCache>
                <c:formatCode>#,##0.00</c:formatCode>
                <c:ptCount val="13"/>
                <c:pt idx="0">
                  <c:v>0.65</c:v>
                </c:pt>
                <c:pt idx="1">
                  <c:v>0.5</c:v>
                </c:pt>
                <c:pt idx="2">
                  <c:v>0.43</c:v>
                </c:pt>
                <c:pt idx="3">
                  <c:v>0.46</c:v>
                </c:pt>
                <c:pt idx="4">
                  <c:v>0.47</c:v>
                </c:pt>
                <c:pt idx="5">
                  <c:v>0.82</c:v>
                </c:pt>
                <c:pt idx="6">
                  <c:v>0.6</c:v>
                </c:pt>
                <c:pt idx="7">
                  <c:v>0.94</c:v>
                </c:pt>
                <c:pt idx="8">
                  <c:v>0.7</c:v>
                </c:pt>
                <c:pt idx="9">
                  <c:v>0.49</c:v>
                </c:pt>
                <c:pt idx="10">
                  <c:v>0.89</c:v>
                </c:pt>
                <c:pt idx="11">
                  <c:v>0.68</c:v>
                </c:pt>
                <c:pt idx="12">
                  <c:v>0.52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1'!$B$86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1'!$C$86:$O$86</c:f>
              <c:numCache>
                <c:formatCode>#,##0.00</c:formatCode>
                <c:ptCount val="13"/>
                <c:pt idx="0">
                  <c:v>0.15000000000000002</c:v>
                </c:pt>
                <c:pt idx="1">
                  <c:v>0.18000000000000002</c:v>
                </c:pt>
                <c:pt idx="2">
                  <c:v>0.18</c:v>
                </c:pt>
                <c:pt idx="3">
                  <c:v>0.25</c:v>
                </c:pt>
                <c:pt idx="4">
                  <c:v>0.24000000000000002</c:v>
                </c:pt>
                <c:pt idx="5">
                  <c:v>0.27</c:v>
                </c:pt>
                <c:pt idx="6">
                  <c:v>0.2</c:v>
                </c:pt>
                <c:pt idx="7">
                  <c:v>0.38</c:v>
                </c:pt>
                <c:pt idx="8">
                  <c:v>0.33999999999999997</c:v>
                </c:pt>
                <c:pt idx="9">
                  <c:v>0.17</c:v>
                </c:pt>
                <c:pt idx="10">
                  <c:v>0.15</c:v>
                </c:pt>
                <c:pt idx="11">
                  <c:v>0.17</c:v>
                </c:pt>
                <c:pt idx="12">
                  <c:v>0.11</c:v>
                </c:pt>
              </c:numCache>
            </c:numRef>
          </c:val>
          <c:extLst/>
        </c:ser>
        <c:ser>
          <c:idx val="5"/>
          <c:order val="5"/>
          <c:tx>
            <c:strRef>
              <c:f>'Data 1'!$B$87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1'!$C$87:$O$87</c:f>
              <c:numCache>
                <c:formatCode>#,##0.00</c:formatCode>
                <c:ptCount val="13"/>
                <c:pt idx="0">
                  <c:v>-0.1</c:v>
                </c:pt>
                <c:pt idx="1">
                  <c:v>-0.1</c:v>
                </c:pt>
                <c:pt idx="2">
                  <c:v>-0.1</c:v>
                </c:pt>
                <c:pt idx="3">
                  <c:v>-9.0000000000000011E-2</c:v>
                </c:pt>
                <c:pt idx="4">
                  <c:v>-9.0000000000000011E-2</c:v>
                </c:pt>
                <c:pt idx="5">
                  <c:v>-0.17</c:v>
                </c:pt>
                <c:pt idx="6">
                  <c:v>-0.09</c:v>
                </c:pt>
                <c:pt idx="7">
                  <c:v>-0.15000000000000002</c:v>
                </c:pt>
                <c:pt idx="8">
                  <c:v>-0.16</c:v>
                </c:pt>
                <c:pt idx="9">
                  <c:v>-1.9999999999999997E-2</c:v>
                </c:pt>
                <c:pt idx="10">
                  <c:v>-0.04</c:v>
                </c:pt>
                <c:pt idx="11">
                  <c:v>-7.0000000000000007E-2</c:v>
                </c:pt>
                <c:pt idx="12">
                  <c:v>-0.05</c:v>
                </c:pt>
              </c:numCache>
            </c:numRef>
          </c:val>
          <c:extLst/>
        </c:ser>
        <c:ser>
          <c:idx val="7"/>
          <c:order val="6"/>
          <c:tx>
            <c:strRef>
              <c:f>'Data 1'!$B$88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1'!$C$88:$O$88</c:f>
              <c:numCache>
                <c:formatCode>0.00</c:formatCode>
                <c:ptCount val="13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  <c:pt idx="3">
                  <c:v>-0.05</c:v>
                </c:pt>
                <c:pt idx="4">
                  <c:v>-0.05</c:v>
                </c:pt>
                <c:pt idx="5">
                  <c:v>-0.06</c:v>
                </c:pt>
                <c:pt idx="6">
                  <c:v>-0.06</c:v>
                </c:pt>
                <c:pt idx="7">
                  <c:v>-0.08</c:v>
                </c:pt>
                <c:pt idx="8">
                  <c:v>-7.0000000000000007E-2</c:v>
                </c:pt>
                <c:pt idx="9">
                  <c:v>-0.06</c:v>
                </c:pt>
                <c:pt idx="10">
                  <c:v>-0.08</c:v>
                </c:pt>
                <c:pt idx="11">
                  <c:v>-7.0000000000000007E-2</c:v>
                </c:pt>
                <c:pt idx="12">
                  <c:v>-0.06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2375032"/>
        <c:axId val="332375424"/>
      </c:barChart>
      <c:catAx>
        <c:axId val="33237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237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375424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237503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'Data 1'!$C$127:$C$128</c:f>
              <c:strCache>
                <c:ptCount val="2"/>
                <c:pt idx="0">
                  <c:v>2018</c:v>
                </c:pt>
                <c:pt idx="1">
                  <c:v>Mayo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1'!$C$129:$C$133</c:f>
              <c:numCache>
                <c:formatCode>#,##0.00</c:formatCode>
                <c:ptCount val="5"/>
                <c:pt idx="0">
                  <c:v>1097.7547</c:v>
                </c:pt>
                <c:pt idx="1">
                  <c:v>196.769023</c:v>
                </c:pt>
                <c:pt idx="2">
                  <c:v>310.27690000000001</c:v>
                </c:pt>
                <c:pt idx="3">
                  <c:v>71.840599999999995</c:v>
                </c:pt>
                <c:pt idx="4">
                  <c:v>59.979900000000001</c:v>
                </c:pt>
              </c:numCache>
            </c:numRef>
          </c:val>
        </c:ser>
        <c:ser>
          <c:idx val="0"/>
          <c:order val="1"/>
          <c:tx>
            <c:strRef>
              <c:f>'Data 1'!$D$127:$D$128</c:f>
              <c:strCache>
                <c:ptCount val="2"/>
                <c:pt idx="0">
                  <c:v>2017</c:v>
                </c:pt>
                <c:pt idx="1">
                  <c:v>Mayo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1'!$D$129:$D$133</c:f>
              <c:numCache>
                <c:formatCode>#,##0.00</c:formatCode>
                <c:ptCount val="5"/>
                <c:pt idx="0">
                  <c:v>1038.6560999999999</c:v>
                </c:pt>
                <c:pt idx="1">
                  <c:v>191.90902500000001</c:v>
                </c:pt>
                <c:pt idx="2">
                  <c:v>315.96159999999998</c:v>
                </c:pt>
                <c:pt idx="3">
                  <c:v>65.169399999999996</c:v>
                </c:pt>
                <c:pt idx="4">
                  <c:v>29.116199999999999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376208"/>
        <c:axId val="332376600"/>
      </c:barChart>
      <c:catAx>
        <c:axId val="33237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2376600"/>
        <c:crosses val="autoZero"/>
        <c:auto val="1"/>
        <c:lblAlgn val="ctr"/>
        <c:lblOffset val="100"/>
        <c:noMultiLvlLbl val="0"/>
      </c:catAx>
      <c:valAx>
        <c:axId val="33237660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2376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'Data 1'!$C$140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1'!$D$140:$P$140</c:f>
              <c:numCache>
                <c:formatCode>#,##0.00</c:formatCode>
                <c:ptCount val="13"/>
                <c:pt idx="0">
                  <c:v>384999.4</c:v>
                </c:pt>
                <c:pt idx="1">
                  <c:v>176734.4</c:v>
                </c:pt>
                <c:pt idx="2">
                  <c:v>221645.5</c:v>
                </c:pt>
                <c:pt idx="3">
                  <c:v>424631</c:v>
                </c:pt>
                <c:pt idx="4">
                  <c:v>419522.2</c:v>
                </c:pt>
                <c:pt idx="5">
                  <c:v>195163.5</c:v>
                </c:pt>
                <c:pt idx="6">
                  <c:v>99779.8</c:v>
                </c:pt>
                <c:pt idx="7">
                  <c:v>195559</c:v>
                </c:pt>
                <c:pt idx="8">
                  <c:v>323414.2</c:v>
                </c:pt>
                <c:pt idx="9">
                  <c:v>176086.6</c:v>
                </c:pt>
                <c:pt idx="10">
                  <c:v>469679.3</c:v>
                </c:pt>
                <c:pt idx="11">
                  <c:v>637382</c:v>
                </c:pt>
                <c:pt idx="12">
                  <c:v>356322</c:v>
                </c:pt>
              </c:numCache>
            </c:numRef>
          </c:val>
        </c:ser>
        <c:ser>
          <c:idx val="1"/>
          <c:order val="1"/>
          <c:tx>
            <c:strRef>
              <c:f>'Data 1'!$C$141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1'!$D$141:$P$141</c:f>
              <c:numCache>
                <c:formatCode>#,##0.00</c:formatCode>
                <c:ptCount val="13"/>
                <c:pt idx="0">
                  <c:v>642959.4</c:v>
                </c:pt>
                <c:pt idx="1">
                  <c:v>535700.19999999995</c:v>
                </c:pt>
                <c:pt idx="2">
                  <c:v>612390.30000000005</c:v>
                </c:pt>
                <c:pt idx="3">
                  <c:v>842008.2</c:v>
                </c:pt>
                <c:pt idx="4">
                  <c:v>659557.1</c:v>
                </c:pt>
                <c:pt idx="5">
                  <c:v>613794.4</c:v>
                </c:pt>
                <c:pt idx="6">
                  <c:v>428275.6</c:v>
                </c:pt>
                <c:pt idx="7">
                  <c:v>499810.1</c:v>
                </c:pt>
                <c:pt idx="8">
                  <c:v>535924.4</c:v>
                </c:pt>
                <c:pt idx="9">
                  <c:v>587965.4</c:v>
                </c:pt>
                <c:pt idx="10">
                  <c:v>766935.8</c:v>
                </c:pt>
                <c:pt idx="11">
                  <c:v>653437.19999999995</c:v>
                </c:pt>
                <c:pt idx="12">
                  <c:v>688216.9</c:v>
                </c:pt>
              </c:numCache>
            </c:numRef>
          </c:val>
        </c:ser>
        <c:ser>
          <c:idx val="6"/>
          <c:order val="2"/>
          <c:tx>
            <c:strRef>
              <c:f>'Data 1'!$C$143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1'!$D$143:$P$143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1709.9</c:v>
                </c:pt>
                <c:pt idx="3">
                  <c:v>227.4</c:v>
                </c:pt>
                <c:pt idx="4">
                  <c:v>2247.5</c:v>
                </c:pt>
                <c:pt idx="5">
                  <c:v>2877.8</c:v>
                </c:pt>
                <c:pt idx="6">
                  <c:v>370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1000</c:v>
                </c:pt>
                <c:pt idx="12">
                  <c:v>5321</c:v>
                </c:pt>
              </c:numCache>
            </c:numRef>
          </c:val>
        </c:ser>
        <c:ser>
          <c:idx val="0"/>
          <c:order val="3"/>
          <c:tx>
            <c:strRef>
              <c:f>'Data 1'!$C$139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1'!$D$139:$P$139</c:f>
              <c:numCache>
                <c:formatCode>#,##0.00</c:formatCode>
                <c:ptCount val="13"/>
                <c:pt idx="0">
                  <c:v>538</c:v>
                </c:pt>
                <c:pt idx="1">
                  <c:v>240</c:v>
                </c:pt>
                <c:pt idx="2">
                  <c:v>245</c:v>
                </c:pt>
                <c:pt idx="3">
                  <c:v>714.3</c:v>
                </c:pt>
                <c:pt idx="4">
                  <c:v>1903.2</c:v>
                </c:pt>
                <c:pt idx="5">
                  <c:v>1865.1</c:v>
                </c:pt>
                <c:pt idx="6">
                  <c:v>1458.4</c:v>
                </c:pt>
                <c:pt idx="7">
                  <c:v>237.7</c:v>
                </c:pt>
                <c:pt idx="8">
                  <c:v>0</c:v>
                </c:pt>
                <c:pt idx="9">
                  <c:v>0</c:v>
                </c:pt>
                <c:pt idx="10">
                  <c:v>790</c:v>
                </c:pt>
                <c:pt idx="11">
                  <c:v>0</c:v>
                </c:pt>
                <c:pt idx="12">
                  <c:v>6699</c:v>
                </c:pt>
              </c:numCache>
            </c:numRef>
          </c:val>
        </c:ser>
        <c:ser>
          <c:idx val="2"/>
          <c:order val="4"/>
          <c:tx>
            <c:strRef>
              <c:f>'Data 1'!$C$142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1'!$D$142:$P$142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1096.8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075400"/>
        <c:axId val="331075008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1'!$D$157:$P$157</c:f>
              <c:numCache>
                <c:formatCode>#,##0.00</c:formatCode>
                <c:ptCount val="13"/>
                <c:pt idx="0">
                  <c:v>73.815872961400004</c:v>
                </c:pt>
                <c:pt idx="1">
                  <c:v>69.048564800799994</c:v>
                </c:pt>
                <c:pt idx="2">
                  <c:v>78.254490438700003</c:v>
                </c:pt>
                <c:pt idx="3">
                  <c:v>77.994650132399997</c:v>
                </c:pt>
                <c:pt idx="4">
                  <c:v>76.517602623599998</c:v>
                </c:pt>
                <c:pt idx="5">
                  <c:v>81.795735348899996</c:v>
                </c:pt>
                <c:pt idx="6">
                  <c:v>84.904646773500005</c:v>
                </c:pt>
                <c:pt idx="7">
                  <c:v>84.624577850600005</c:v>
                </c:pt>
                <c:pt idx="8">
                  <c:v>74.514763412199997</c:v>
                </c:pt>
                <c:pt idx="9">
                  <c:v>78.626601016699993</c:v>
                </c:pt>
                <c:pt idx="10">
                  <c:v>93.5007353158</c:v>
                </c:pt>
                <c:pt idx="11">
                  <c:v>83.062835728099998</c:v>
                </c:pt>
                <c:pt idx="12">
                  <c:v>92.308901434600003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074224"/>
        <c:axId val="331074616"/>
      </c:lineChart>
      <c:catAx>
        <c:axId val="331075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075008"/>
        <c:crosses val="autoZero"/>
        <c:auto val="1"/>
        <c:lblAlgn val="ctr"/>
        <c:lblOffset val="100"/>
        <c:noMultiLvlLbl val="1"/>
      </c:catAx>
      <c:valAx>
        <c:axId val="3310750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075400"/>
        <c:crosses val="autoZero"/>
        <c:crossBetween val="between"/>
        <c:dispUnits>
          <c:builtInUnit val="thousands"/>
        </c:dispUnits>
      </c:valAx>
      <c:valAx>
        <c:axId val="33107461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074224"/>
        <c:crosses val="max"/>
        <c:crossBetween val="between"/>
      </c:valAx>
      <c:catAx>
        <c:axId val="331074224"/>
        <c:scaling>
          <c:orientation val="minMax"/>
        </c:scaling>
        <c:delete val="1"/>
        <c:axPos val="b"/>
        <c:majorTickMark val="out"/>
        <c:minorTickMark val="none"/>
        <c:tickLblPos val="nextTo"/>
        <c:crossAx val="331074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1'!$C$147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'Data 1'!$D$147:$P$147</c:f>
              <c:numCache>
                <c:formatCode>#,##0.00</c:formatCode>
                <c:ptCount val="13"/>
                <c:pt idx="0">
                  <c:v>6575</c:v>
                </c:pt>
                <c:pt idx="1">
                  <c:v>8771</c:v>
                </c:pt>
                <c:pt idx="2">
                  <c:v>66423</c:v>
                </c:pt>
                <c:pt idx="3">
                  <c:v>75870.399999999994</c:v>
                </c:pt>
                <c:pt idx="4">
                  <c:v>802.5</c:v>
                </c:pt>
                <c:pt idx="5">
                  <c:v>7913</c:v>
                </c:pt>
                <c:pt idx="6">
                  <c:v>9798</c:v>
                </c:pt>
                <c:pt idx="7">
                  <c:v>40570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'Data 1'!$C$148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1'!$D$148:$P$148</c:f>
              <c:numCache>
                <c:formatCode>#,##0.00</c:formatCode>
                <c:ptCount val="13"/>
                <c:pt idx="0">
                  <c:v>0</c:v>
                </c:pt>
                <c:pt idx="1">
                  <c:v>12552</c:v>
                </c:pt>
                <c:pt idx="2">
                  <c:v>75034.899999999994</c:v>
                </c:pt>
                <c:pt idx="3">
                  <c:v>123130.8</c:v>
                </c:pt>
                <c:pt idx="4">
                  <c:v>67762.600000000006</c:v>
                </c:pt>
                <c:pt idx="5">
                  <c:v>45184</c:v>
                </c:pt>
                <c:pt idx="6">
                  <c:v>18106.5</c:v>
                </c:pt>
                <c:pt idx="7">
                  <c:v>3247</c:v>
                </c:pt>
                <c:pt idx="8">
                  <c:v>1230</c:v>
                </c:pt>
                <c:pt idx="9">
                  <c:v>16736</c:v>
                </c:pt>
                <c:pt idx="10">
                  <c:v>0</c:v>
                </c:pt>
                <c:pt idx="11">
                  <c:v>0</c:v>
                </c:pt>
                <c:pt idx="12">
                  <c:v>27663.3</c:v>
                </c:pt>
              </c:numCache>
            </c:numRef>
          </c:val>
        </c:ser>
        <c:ser>
          <c:idx val="6"/>
          <c:order val="2"/>
          <c:tx>
            <c:strRef>
              <c:f>'Data 1'!$C$152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'Data 1'!$D$152:$P$152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910.1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74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3"/>
          <c:order val="4"/>
          <c:tx>
            <c:strRef>
              <c:f>'Data 1'!$C$149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1'!$D$149:$P$149</c:f>
              <c:numCache>
                <c:formatCode>#,##0.00</c:formatCode>
                <c:ptCount val="13"/>
                <c:pt idx="0">
                  <c:v>2859</c:v>
                </c:pt>
                <c:pt idx="1">
                  <c:v>1652.9</c:v>
                </c:pt>
                <c:pt idx="2">
                  <c:v>19943.3</c:v>
                </c:pt>
                <c:pt idx="3">
                  <c:v>1278.3</c:v>
                </c:pt>
                <c:pt idx="4">
                  <c:v>9561.7000000000007</c:v>
                </c:pt>
                <c:pt idx="5">
                  <c:v>2732.2</c:v>
                </c:pt>
                <c:pt idx="6">
                  <c:v>568.29999999999995</c:v>
                </c:pt>
                <c:pt idx="7">
                  <c:v>1377.6</c:v>
                </c:pt>
                <c:pt idx="8">
                  <c:v>0</c:v>
                </c:pt>
                <c:pt idx="9">
                  <c:v>1262.8</c:v>
                </c:pt>
                <c:pt idx="10">
                  <c:v>2064.3000000000002</c:v>
                </c:pt>
                <c:pt idx="11">
                  <c:v>855.2</c:v>
                </c:pt>
                <c:pt idx="12">
                  <c:v>18.7</c:v>
                </c:pt>
              </c:numCache>
            </c:numRef>
          </c:val>
        </c:ser>
        <c:ser>
          <c:idx val="11"/>
          <c:order val="5"/>
          <c:tx>
            <c:strRef>
              <c:f>'Data 1'!$C$145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'Data 1'!$D$145:$P$145</c:f>
              <c:numCache>
                <c:formatCode>#,##0.00</c:formatCode>
                <c:ptCount val="13"/>
                <c:pt idx="0">
                  <c:v>0</c:v>
                </c:pt>
                <c:pt idx="1">
                  <c:v>70</c:v>
                </c:pt>
                <c:pt idx="2">
                  <c:v>36</c:v>
                </c:pt>
                <c:pt idx="3">
                  <c:v>0</c:v>
                </c:pt>
                <c:pt idx="4">
                  <c:v>4762.5</c:v>
                </c:pt>
                <c:pt idx="5">
                  <c:v>54.3</c:v>
                </c:pt>
                <c:pt idx="6">
                  <c:v>428.4</c:v>
                </c:pt>
                <c:pt idx="7">
                  <c:v>0</c:v>
                </c:pt>
                <c:pt idx="8">
                  <c:v>0</c:v>
                </c:pt>
                <c:pt idx="9">
                  <c:v>563.70000000000005</c:v>
                </c:pt>
                <c:pt idx="10">
                  <c:v>0</c:v>
                </c:pt>
                <c:pt idx="11">
                  <c:v>637</c:v>
                </c:pt>
                <c:pt idx="12">
                  <c:v>1645.3</c:v>
                </c:pt>
              </c:numCache>
            </c:numRef>
          </c:val>
        </c:ser>
        <c:ser>
          <c:idx val="13"/>
          <c:order val="6"/>
          <c:tx>
            <c:v>Nuclear</c:v>
          </c:tx>
          <c:spPr>
            <a:solidFill>
              <a:srgbClr val="464394"/>
            </a:solidFill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10"/>
          <c:order val="7"/>
          <c:tx>
            <c:strRef>
              <c:f>'Data 1'!$C$153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</c:spPr>
          <c:invertIfNegative val="0"/>
          <c:val>
            <c:numRef>
              <c:f>'Data 1'!$D$153:$P$153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288.39999999999998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8"/>
          <c:tx>
            <c:strRef>
              <c:f>'Data 1'!$C$150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'Data 1'!$D$150:$P$150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1820.4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25.9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</c:numCache>
            </c:numRef>
          </c:val>
        </c:ser>
        <c:ser>
          <c:idx val="5"/>
          <c:order val="9"/>
          <c:tx>
            <c:strRef>
              <c:f>'Data 1'!$C$151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'Data 1'!$D$151:$P$151</c:f>
              <c:numCache>
                <c:formatCode>#,##0.00</c:formatCode>
                <c:ptCount val="13"/>
                <c:pt idx="0">
                  <c:v>725.3</c:v>
                </c:pt>
                <c:pt idx="1">
                  <c:v>608.70000000000005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784</c:v>
                </c:pt>
                <c:pt idx="6">
                  <c:v>944</c:v>
                </c:pt>
                <c:pt idx="7">
                  <c:v>0</c:v>
                </c:pt>
                <c:pt idx="8">
                  <c:v>0</c:v>
                </c:pt>
                <c:pt idx="9">
                  <c:v>0.7</c:v>
                </c:pt>
                <c:pt idx="10">
                  <c:v>0</c:v>
                </c:pt>
                <c:pt idx="11">
                  <c:v>0</c:v>
                </c:pt>
                <c:pt idx="12">
                  <c:v>221.4</c:v>
                </c:pt>
              </c:numCache>
            </c:numRef>
          </c:val>
        </c:ser>
        <c:ser>
          <c:idx val="0"/>
          <c:order val="10"/>
          <c:tx>
            <c:strRef>
              <c:f>'Data 1'!$C$146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'Data 1'!$D$146:$P$146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2822.9</c:v>
                </c:pt>
                <c:pt idx="3">
                  <c:v>5090.1000000000004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200</c:v>
                </c:pt>
                <c:pt idx="11">
                  <c:v>3504.5</c:v>
                </c:pt>
                <c:pt idx="12">
                  <c:v>11565.1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2377776"/>
        <c:axId val="331075792"/>
      </c:barChart>
      <c:lineChart>
        <c:grouping val="standard"/>
        <c:varyColors val="0"/>
        <c:ser>
          <c:idx val="7"/>
          <c:order val="11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  <c:smooth val="0"/>
        </c:ser>
        <c:ser>
          <c:idx val="9"/>
          <c:order val="12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1'!$D$158:$P$158</c:f>
              <c:numCache>
                <c:formatCode>#,##0.00</c:formatCode>
                <c:ptCount val="13"/>
                <c:pt idx="0">
                  <c:v>47.541595385500003</c:v>
                </c:pt>
                <c:pt idx="1">
                  <c:v>55.270262020899999</c:v>
                </c:pt>
                <c:pt idx="2">
                  <c:v>48.6004134963</c:v>
                </c:pt>
                <c:pt idx="3">
                  <c:v>49.077318314899998</c:v>
                </c:pt>
                <c:pt idx="4">
                  <c:v>48.041428748900003</c:v>
                </c:pt>
                <c:pt idx="5">
                  <c:v>55.133704327899999</c:v>
                </c:pt>
                <c:pt idx="6">
                  <c:v>59.679777987800001</c:v>
                </c:pt>
                <c:pt idx="7">
                  <c:v>74.139002447199999</c:v>
                </c:pt>
                <c:pt idx="8">
                  <c:v>62.761666666700002</c:v>
                </c:pt>
                <c:pt idx="9">
                  <c:v>56.593756556300001</c:v>
                </c:pt>
                <c:pt idx="10">
                  <c:v>51.773647484900003</c:v>
                </c:pt>
                <c:pt idx="11">
                  <c:v>52.901807192699998</c:v>
                </c:pt>
                <c:pt idx="12">
                  <c:v>52.979316580800003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74352"/>
        <c:axId val="332378168"/>
      </c:lineChart>
      <c:valAx>
        <c:axId val="33107579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32377776"/>
        <c:crosses val="autoZero"/>
        <c:crossBetween val="between"/>
        <c:majorUnit val="30000"/>
        <c:dispUnits>
          <c:builtInUnit val="thousands"/>
        </c:dispUnits>
      </c:valAx>
      <c:catAx>
        <c:axId val="332377776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331075792"/>
        <c:crossesAt val="0"/>
        <c:auto val="1"/>
        <c:lblAlgn val="ctr"/>
        <c:lblOffset val="100"/>
        <c:noMultiLvlLbl val="0"/>
      </c:catAx>
      <c:valAx>
        <c:axId val="332378168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33174352"/>
        <c:crosses val="max"/>
        <c:crossBetween val="between"/>
      </c:valAx>
      <c:catAx>
        <c:axId val="3331743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32378168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3433954257008252E-3"/>
          <c:y val="0.78434509708607614"/>
          <c:w val="0.9569560193290847"/>
          <c:h val="0.2156547332590652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2'!$B$6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2'!$C$6:$O$6</c:f>
              <c:numCache>
                <c:formatCode>#,##0</c:formatCode>
                <c:ptCount val="13"/>
                <c:pt idx="0">
                  <c:v>657.63440860219998</c:v>
                </c:pt>
                <c:pt idx="1">
                  <c:v>680.75416666670003</c:v>
                </c:pt>
                <c:pt idx="2">
                  <c:v>681.72177419349998</c:v>
                </c:pt>
                <c:pt idx="3">
                  <c:v>685.08333333329995</c:v>
                </c:pt>
                <c:pt idx="4">
                  <c:v>666.50138888890001</c:v>
                </c:pt>
                <c:pt idx="5">
                  <c:v>686.99597315439996</c:v>
                </c:pt>
                <c:pt idx="6">
                  <c:v>674.33472222219996</c:v>
                </c:pt>
                <c:pt idx="7">
                  <c:v>695.75403225809998</c:v>
                </c:pt>
                <c:pt idx="8">
                  <c:v>703.82795698919995</c:v>
                </c:pt>
                <c:pt idx="9">
                  <c:v>654.95089285710003</c:v>
                </c:pt>
                <c:pt idx="10">
                  <c:v>647.68775235529995</c:v>
                </c:pt>
                <c:pt idx="11">
                  <c:v>622.90138888889999</c:v>
                </c:pt>
                <c:pt idx="12">
                  <c:v>591.48118279569997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175136"/>
        <c:axId val="333175528"/>
      </c:barChart>
      <c:lineChart>
        <c:grouping val="standard"/>
        <c:varyColors val="0"/>
        <c:ser>
          <c:idx val="2"/>
          <c:order val="1"/>
          <c:tx>
            <c:strRef>
              <c:f>'Data 2'!$B$8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'M9'!$O$4:$AA$4</c:f>
              <c:strCache>
                <c:ptCount val="13"/>
                <c:pt idx="0">
                  <c:v>J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2'!$C$8:$O$8</c:f>
              <c:numCache>
                <c:formatCode>0.0</c:formatCode>
                <c:ptCount val="13"/>
                <c:pt idx="0">
                  <c:v>14.2514912811</c:v>
                </c:pt>
                <c:pt idx="1">
                  <c:v>11.9237809565</c:v>
                </c:pt>
                <c:pt idx="2">
                  <c:v>10.3340536748</c:v>
                </c:pt>
                <c:pt idx="3">
                  <c:v>10.640429382000001</c:v>
                </c:pt>
                <c:pt idx="4">
                  <c:v>10.716390382</c:v>
                </c:pt>
                <c:pt idx="5">
                  <c:v>17.145887023699999</c:v>
                </c:pt>
                <c:pt idx="6">
                  <c:v>13.6975213023</c:v>
                </c:pt>
                <c:pt idx="7">
                  <c:v>21.612955502799998</c:v>
                </c:pt>
                <c:pt idx="8">
                  <c:v>15.876601324499999</c:v>
                </c:pt>
                <c:pt idx="9">
                  <c:v>11.467495272700001</c:v>
                </c:pt>
                <c:pt idx="10">
                  <c:v>20.438702328200002</c:v>
                </c:pt>
                <c:pt idx="11">
                  <c:v>14.863517378299999</c:v>
                </c:pt>
                <c:pt idx="12">
                  <c:v>11.7691759607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76312"/>
        <c:axId val="333175920"/>
      </c:lineChart>
      <c:catAx>
        <c:axId val="33317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3175528"/>
        <c:crosses val="autoZero"/>
        <c:auto val="1"/>
        <c:lblAlgn val="ctr"/>
        <c:lblOffset val="100"/>
        <c:noMultiLvlLbl val="1"/>
      </c:catAx>
      <c:valAx>
        <c:axId val="33317552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3175136"/>
        <c:crosses val="autoZero"/>
        <c:crossBetween val="between"/>
        <c:majorUnit val="200"/>
      </c:valAx>
      <c:valAx>
        <c:axId val="333175920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3176312"/>
        <c:crosses val="max"/>
        <c:crossBetween val="between"/>
        <c:majorUnit val="10"/>
      </c:valAx>
      <c:catAx>
        <c:axId val="333176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3175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0.20693</cdr:x>
      <cdr:y>0.93688</cdr:y>
    </cdr:from>
    <cdr:to>
      <cdr:x>0.29736</cdr:x>
      <cdr:y>0.99782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460500" y="2737820"/>
          <a:ext cx="638257" cy="178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0.78219</cdr:x>
      <cdr:y>0.93003</cdr:y>
    </cdr:from>
    <cdr:to>
      <cdr:x>0.862</cdr:x>
      <cdr:y>0.99519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18846" y="2717800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30478</xdr:rowOff>
    </xdr:from>
    <xdr:to>
      <xdr:col>6</xdr:col>
      <xdr:colOff>762000</xdr:colOff>
      <xdr:row>3</xdr:row>
      <xdr:rowOff>38099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 flipV="1">
          <a:off x="205740" y="487678"/>
          <a:ext cx="6938010" cy="762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0.61021</cdr:x>
      <cdr:y>0.11707</cdr:y>
    </cdr:from>
    <cdr:to>
      <cdr:x>0.61146</cdr:x>
      <cdr:y>0.80618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 flipV="1">
          <a:off x="4670557" y="290167"/>
          <a:ext cx="9530" cy="17080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0.74342</cdr:x>
      <cdr:y>0.89144</cdr:y>
    </cdr:from>
    <cdr:to>
      <cdr:x>0.81705</cdr:x>
      <cdr:y>0.96489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690172" y="2209508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0.29835</cdr:x>
      <cdr:y>0.89725</cdr:y>
    </cdr:from>
    <cdr:to>
      <cdr:x>0.37197</cdr:x>
      <cdr:y>0.9707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2283600" y="2223908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0.60989</cdr:x>
      <cdr:y>0.06253</cdr:y>
    </cdr:from>
    <cdr:to>
      <cdr:x>0.61149</cdr:x>
      <cdr:y>0.76775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667820" y="154750"/>
          <a:ext cx="12268" cy="17452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0.60993</cdr:x>
      <cdr:y>0.13348</cdr:y>
    </cdr:from>
    <cdr:to>
      <cdr:x>0.61083</cdr:x>
      <cdr:y>0.82119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595853" y="309229"/>
          <a:ext cx="6782" cy="15931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0.73278</cdr:x>
      <cdr:y>0.88755</cdr:y>
    </cdr:from>
    <cdr:to>
      <cdr:x>0.80758</cdr:x>
      <cdr:y>0.96614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21539" y="2056130"/>
          <a:ext cx="563625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0.30717</cdr:x>
      <cdr:y>0.89376</cdr:y>
    </cdr:from>
    <cdr:to>
      <cdr:x>0.38197</cdr:x>
      <cdr:y>0.97235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314567" y="2070517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0.60791</cdr:x>
      <cdr:y>0.03318</cdr:y>
    </cdr:from>
    <cdr:to>
      <cdr:x>0.60965</cdr:x>
      <cdr:y>0.8673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581253" y="56626"/>
          <a:ext cx="13113" cy="14235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0.61242</cdr:x>
      <cdr:y>0.11643</cdr:y>
    </cdr:from>
    <cdr:to>
      <cdr:x>0.61261</cdr:x>
      <cdr:y>0.81585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4614646" y="272630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0.79564</cdr:x>
      <cdr:y>0.89441</cdr:y>
    </cdr:from>
    <cdr:to>
      <cdr:x>0.87045</cdr:x>
      <cdr:y>0.97219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995241" y="209424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0.30811</cdr:x>
      <cdr:y>0.88428</cdr:y>
    </cdr:from>
    <cdr:to>
      <cdr:x>0.3829</cdr:x>
      <cdr:y>0.96206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321619" y="2070546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0.60903</cdr:x>
      <cdr:y>0.02642</cdr:y>
    </cdr:from>
    <cdr:to>
      <cdr:x>0.61013</cdr:x>
      <cdr:y>0.85353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589647" y="45951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0.61102</cdr:x>
      <cdr:y>0.09501</cdr:y>
    </cdr:from>
    <cdr:to>
      <cdr:x>0.6116</cdr:x>
      <cdr:y>0.81054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604148" y="245383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0.61287</cdr:x>
      <cdr:y>0.17628</cdr:y>
    </cdr:from>
    <cdr:to>
      <cdr:x>0.61355</cdr:x>
      <cdr:y>0.85945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618074" y="472119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0.77388</cdr:x>
      <cdr:y>0.92954</cdr:y>
    </cdr:from>
    <cdr:to>
      <cdr:x>0.84868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31350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0.31168</cdr:x>
      <cdr:y>0.92955</cdr:y>
    </cdr:from>
    <cdr:to>
      <cdr:x>0.38647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348555" y="2489503"/>
          <a:ext cx="563558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0.60898</cdr:x>
      <cdr:y>0.09077</cdr:y>
    </cdr:from>
    <cdr:to>
      <cdr:x>0.61072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588807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0.60907</cdr:x>
      <cdr:y>0.10022</cdr:y>
    </cdr:from>
    <cdr:to>
      <cdr:x>0.60944</cdr:x>
      <cdr:y>0.84678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589504" y="258832"/>
          <a:ext cx="2769" cy="192819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0.74843</cdr:x>
      <cdr:y>0.92954</cdr:y>
    </cdr:from>
    <cdr:to>
      <cdr:x>0.82323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639613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0.31151</cdr:x>
      <cdr:y>0.92955</cdr:y>
    </cdr:from>
    <cdr:to>
      <cdr:x>0.3863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347318" y="240081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0.84472</cdr:x>
      <cdr:y>0.21165</cdr:y>
    </cdr:from>
    <cdr:to>
      <cdr:x>0.97422</cdr:x>
      <cdr:y>0.27265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5872" y="508012"/>
          <a:ext cx="747494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0.41383</cdr:x>
      <cdr:y>0.74455</cdr:y>
    </cdr:from>
    <cdr:to>
      <cdr:x>0.54333</cdr:x>
      <cdr:y>0.80555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8690" y="1787144"/>
          <a:ext cx="747493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0.60559</cdr:x>
      <cdr:y>0.09275</cdr:y>
    </cdr:from>
    <cdr:to>
      <cdr:x>0.60723</cdr:x>
      <cdr:y>0.75272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505536" y="276479"/>
          <a:ext cx="12201" cy="19673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0.61013</cdr:x>
      <cdr:y>0.08906</cdr:y>
    </cdr:from>
    <cdr:to>
      <cdr:x>0.61135</cdr:x>
      <cdr:y>0.87582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539320" y="230018"/>
          <a:ext cx="9077" cy="20320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0.89405</cdr:x>
      <cdr:y>0.92397</cdr:y>
    </cdr:from>
    <cdr:to>
      <cdr:x>0.96977</cdr:x>
      <cdr:y>0.99443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654286" y="2441512"/>
          <a:ext cx="563577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0.43638</cdr:x>
      <cdr:y>0.92955</cdr:y>
    </cdr:from>
    <cdr:to>
      <cdr:x>0.51209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47887" y="2456231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0.60541</cdr:x>
      <cdr:y>0.10515</cdr:y>
    </cdr:from>
    <cdr:to>
      <cdr:x>0.61032</cdr:x>
      <cdr:y>0.88197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560860" y="396833"/>
          <a:ext cx="36989" cy="293169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0.77045</cdr:x>
      <cdr:y>0.9277</cdr:y>
    </cdr:from>
    <cdr:to>
      <cdr:x>0.84529</cdr:x>
      <cdr:y>0.97593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04172" y="3501128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0.23084</cdr:x>
      <cdr:y>0.94161</cdr:y>
    </cdr:from>
    <cdr:to>
      <cdr:x>0.30567</cdr:x>
      <cdr:y>0.98985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739042" y="3553607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0.62105</cdr:x>
      <cdr:y>0.20185</cdr:y>
    </cdr:from>
    <cdr:to>
      <cdr:x>0.6224</cdr:x>
      <cdr:y>0.87577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4383409" y="619098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0.0072</cdr:x>
      <cdr:y>0.05383</cdr:y>
    </cdr:from>
    <cdr:to>
      <cdr:x>0.04375</cdr:x>
      <cdr:y>0.12476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50800" y="165100"/>
          <a:ext cx="258019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0.26766</cdr:x>
      <cdr:y>0.91408</cdr:y>
    </cdr:from>
    <cdr:to>
      <cdr:x>0.34747</cdr:x>
      <cdr:y>0.97616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889125" y="2803525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0.79937</cdr:x>
      <cdr:y>0.91408</cdr:y>
    </cdr:from>
    <cdr:to>
      <cdr:x>0.87918</cdr:x>
      <cdr:y>0.97616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641978" y="280351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0.78786</cdr:x>
      <cdr:y>0.90773</cdr:y>
    </cdr:from>
    <cdr:to>
      <cdr:x>0.86767</cdr:x>
      <cdr:y>0.97123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60724" y="272179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0.62375</cdr:x>
      <cdr:y>0.16519</cdr:y>
    </cdr:from>
    <cdr:to>
      <cdr:x>0.62393</cdr:x>
      <cdr:y>0.8507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4402456" y="495307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0.34458</cdr:x>
      <cdr:y>0.90004</cdr:y>
    </cdr:from>
    <cdr:to>
      <cdr:x>0.42439</cdr:x>
      <cdr:y>0.96354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432019" y="2698753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4314825</xdr:colOff>
      <xdr:row>10</xdr:row>
      <xdr:rowOff>0</xdr:rowOff>
    </xdr:from>
    <xdr:to>
      <xdr:col>4</xdr:col>
      <xdr:colOff>4314825</xdr:colOff>
      <xdr:row>21</xdr:row>
      <xdr:rowOff>114300</xdr:rowOff>
    </xdr:to>
    <xdr:cxnSp macro="">
      <xdr:nvCxnSpPr>
        <xdr:cNvPr id="3" name="Conector recto 2"/>
        <xdr:cNvCxnSpPr/>
      </xdr:nvCxnSpPr>
      <xdr:spPr bwMode="auto">
        <a:xfrm flipV="1">
          <a:off x="6172200" y="1666875"/>
          <a:ext cx="0" cy="18954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5X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E4" sqref="E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47"/>
      <c r="D2" s="147"/>
      <c r="E2" s="148" t="s">
        <v>36</v>
      </c>
    </row>
    <row r="3" spans="2:8" ht="15" customHeight="1">
      <c r="C3" s="147"/>
      <c r="D3" s="147"/>
      <c r="E3" s="144" t="str">
        <f>'M1'!L3</f>
        <v>Mayo 2018</v>
      </c>
    </row>
    <row r="4" spans="2:8" s="2" customFormat="1" ht="20.25" customHeight="1">
      <c r="B4" s="3"/>
      <c r="C4" s="149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50"/>
      <c r="D7" s="11"/>
      <c r="E7" s="11"/>
    </row>
    <row r="8" spans="2:8" s="2" customFormat="1" ht="12.6" customHeight="1">
      <c r="B8" s="3"/>
      <c r="C8" s="151"/>
      <c r="D8" s="152" t="s">
        <v>140</v>
      </c>
      <c r="E8" s="153" t="s">
        <v>48</v>
      </c>
      <c r="F8" s="154"/>
      <c r="G8" s="92"/>
    </row>
    <row r="9" spans="2:8" s="2" customFormat="1" ht="12.6" customHeight="1">
      <c r="B9" s="3"/>
      <c r="C9" s="151"/>
      <c r="D9" s="152" t="s">
        <v>140</v>
      </c>
      <c r="E9" s="153" t="s">
        <v>141</v>
      </c>
      <c r="F9" s="154"/>
      <c r="G9" s="92"/>
    </row>
    <row r="10" spans="2:8" s="2" customFormat="1" ht="12.6" customHeight="1">
      <c r="B10" s="3"/>
      <c r="C10" s="151"/>
      <c r="D10" s="152" t="s">
        <v>140</v>
      </c>
      <c r="E10" s="153" t="s">
        <v>142</v>
      </c>
      <c r="F10" s="154"/>
      <c r="H10" s="155"/>
    </row>
    <row r="11" spans="2:8" s="2" customFormat="1" ht="12.6" customHeight="1">
      <c r="B11" s="3"/>
      <c r="C11" s="151"/>
      <c r="D11" s="152" t="s">
        <v>140</v>
      </c>
      <c r="E11" s="153" t="s">
        <v>143</v>
      </c>
      <c r="F11" s="154"/>
      <c r="H11" s="155"/>
    </row>
    <row r="12" spans="2:8" s="2" customFormat="1" ht="12.6" customHeight="1">
      <c r="B12" s="3"/>
      <c r="C12" s="151"/>
      <c r="D12" s="152" t="s">
        <v>140</v>
      </c>
      <c r="E12" s="153" t="s">
        <v>32</v>
      </c>
      <c r="F12" s="154"/>
    </row>
    <row r="13" spans="2:8" s="2" customFormat="1" ht="12.6" customHeight="1">
      <c r="B13" s="3"/>
      <c r="C13" s="151"/>
      <c r="D13" s="152" t="s">
        <v>140</v>
      </c>
      <c r="E13" s="153" t="s">
        <v>144</v>
      </c>
      <c r="F13" s="154"/>
    </row>
    <row r="14" spans="2:8" s="2" customFormat="1" ht="12.6" customHeight="1">
      <c r="B14" s="3"/>
      <c r="C14" s="151"/>
      <c r="D14" s="152" t="s">
        <v>140</v>
      </c>
      <c r="E14" s="153" t="s">
        <v>61</v>
      </c>
      <c r="F14" s="154"/>
    </row>
    <row r="15" spans="2:8" s="2" customFormat="1" ht="12.6" customHeight="1">
      <c r="B15" s="3"/>
      <c r="C15" s="151"/>
      <c r="D15" s="152" t="s">
        <v>140</v>
      </c>
      <c r="E15" s="153" t="s">
        <v>43</v>
      </c>
      <c r="F15" s="154"/>
    </row>
    <row r="16" spans="2:8" s="2" customFormat="1" ht="12.6" customHeight="1">
      <c r="B16" s="3"/>
      <c r="C16" s="151"/>
      <c r="D16" s="152" t="s">
        <v>140</v>
      </c>
      <c r="E16" s="153" t="s">
        <v>14</v>
      </c>
      <c r="F16" s="154"/>
    </row>
    <row r="17" spans="2:6" s="2" customFormat="1" ht="12.6" customHeight="1">
      <c r="B17" s="3"/>
      <c r="C17" s="151"/>
      <c r="D17" s="152" t="s">
        <v>140</v>
      </c>
      <c r="E17" s="153" t="s">
        <v>87</v>
      </c>
      <c r="F17" s="154"/>
    </row>
    <row r="18" spans="2:6" s="2" customFormat="1" ht="12.6" customHeight="1">
      <c r="B18" s="3"/>
      <c r="C18" s="151"/>
      <c r="D18" s="152" t="s">
        <v>140</v>
      </c>
      <c r="E18" s="153" t="s">
        <v>3</v>
      </c>
      <c r="F18" s="154"/>
    </row>
    <row r="19" spans="2:6" s="2" customFormat="1" ht="12.6" customHeight="1">
      <c r="B19" s="3"/>
      <c r="C19" s="151"/>
      <c r="D19" s="152" t="s">
        <v>140</v>
      </c>
      <c r="E19" s="153" t="s">
        <v>88</v>
      </c>
      <c r="F19" s="154"/>
    </row>
    <row r="20" spans="2:6" s="2" customFormat="1" ht="12.6" customHeight="1">
      <c r="B20" s="3"/>
      <c r="C20" s="151"/>
      <c r="D20" s="152" t="s">
        <v>140</v>
      </c>
      <c r="E20" s="153" t="s">
        <v>28</v>
      </c>
      <c r="F20" s="154"/>
    </row>
    <row r="21" spans="2:6" s="2" customFormat="1" ht="12.6" customHeight="1">
      <c r="B21" s="3"/>
      <c r="C21" s="151"/>
      <c r="D21" s="156" t="s">
        <v>140</v>
      </c>
      <c r="E21" s="153" t="s">
        <v>27</v>
      </c>
      <c r="F21" s="154"/>
    </row>
    <row r="22" spans="2:6" s="2" customFormat="1" ht="8.25" customHeight="1">
      <c r="B22" s="3"/>
      <c r="C22" s="151"/>
      <c r="D22" s="156"/>
      <c r="E22" s="157"/>
      <c r="F22" s="154"/>
    </row>
    <row r="23" spans="2:6" ht="11.25" customHeight="1"/>
    <row r="24" spans="2:6">
      <c r="C24" s="158" t="s">
        <v>145</v>
      </c>
      <c r="E24" s="2"/>
    </row>
    <row r="27" spans="2:6">
      <c r="E27" s="159"/>
    </row>
    <row r="28" spans="2:6">
      <c r="E28" s="159"/>
    </row>
    <row r="29" spans="2:6">
      <c r="E29" s="159"/>
    </row>
    <row r="30" spans="2:6">
      <c r="E30" s="7"/>
    </row>
    <row r="31" spans="2:6">
      <c r="E31" s="160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S27" sqref="S27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">
        <v>192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193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3"/>
      <c r="F10" s="35"/>
      <c r="G10" s="35"/>
    </row>
    <row r="11" spans="1:37" s="34" customFormat="1">
      <c r="B11" s="193"/>
      <c r="F11" s="35"/>
      <c r="G11" s="35"/>
    </row>
    <row r="12" spans="1:37">
      <c r="B12" s="19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P26" sqref="P26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7" t="s">
        <v>36</v>
      </c>
    </row>
    <row r="2" spans="1:37">
      <c r="L2" s="88" t="s">
        <v>192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193" t="s">
        <v>87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86</v>
      </c>
      <c r="F9" s="35"/>
      <c r="G9" s="35"/>
    </row>
    <row r="10" spans="1:37">
      <c r="B10" s="193"/>
      <c r="F10" s="35"/>
      <c r="G10" s="35"/>
    </row>
    <row r="11" spans="1:37" s="34" customFormat="1">
      <c r="B11" s="193"/>
      <c r="F11" s="35"/>
      <c r="G11" s="35"/>
    </row>
    <row r="12" spans="1:37">
      <c r="B12" s="19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Q24" sqref="Q24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3"/>
      <c r="F10" s="35"/>
      <c r="G10" s="35"/>
    </row>
    <row r="11" spans="1:38" s="34" customFormat="1" ht="12.75" customHeight="1">
      <c r="B11" s="193"/>
      <c r="F11" s="35"/>
      <c r="G11" s="35"/>
    </row>
    <row r="12" spans="1:38" ht="12.75" customHeight="1">
      <c r="B12" s="19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B7" sqref="B7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88</v>
      </c>
      <c r="F7" s="35"/>
      <c r="G7" s="35"/>
      <c r="H7" s="36"/>
      <c r="I7" s="36"/>
      <c r="J7" s="36"/>
      <c r="K7" s="36"/>
      <c r="L7" s="36"/>
      <c r="M7" s="36"/>
      <c r="P7" s="186" t="s">
        <v>7</v>
      </c>
      <c r="Q7" s="186" t="s">
        <v>9</v>
      </c>
      <c r="R7" s="186" t="s">
        <v>9</v>
      </c>
      <c r="S7" s="186" t="s">
        <v>8</v>
      </c>
      <c r="T7" s="186" t="s">
        <v>10</v>
      </c>
      <c r="U7" s="186" t="s">
        <v>11</v>
      </c>
      <c r="V7" s="186" t="s">
        <v>12</v>
      </c>
      <c r="W7" s="186" t="s">
        <v>13</v>
      </c>
      <c r="X7" s="186" t="s">
        <v>5</v>
      </c>
      <c r="Y7" s="186" t="s">
        <v>6</v>
      </c>
      <c r="Z7" s="186" t="s">
        <v>7</v>
      </c>
      <c r="AA7" s="186" t="s">
        <v>8</v>
      </c>
      <c r="AB7" s="186" t="s">
        <v>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3"/>
      <c r="F10" s="35"/>
      <c r="G10" s="35"/>
    </row>
    <row r="11" spans="1:38" s="34" customFormat="1" ht="12.75" customHeight="1">
      <c r="B11" s="193"/>
      <c r="F11" s="35"/>
      <c r="G11" s="35"/>
    </row>
    <row r="12" spans="1:38" ht="12.75" customHeight="1">
      <c r="B12" s="19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9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topLeftCell="A6" zoomScaleNormal="100" workbookViewId="0">
      <selection activeCell="N26" sqref="N26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193" t="s">
        <v>28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86</v>
      </c>
      <c r="F9" s="35"/>
      <c r="G9" s="35"/>
    </row>
    <row r="10" spans="1:38" ht="12.75" customHeight="1">
      <c r="B10" s="193"/>
      <c r="F10" s="35"/>
      <c r="G10" s="35"/>
    </row>
    <row r="11" spans="1:38" s="34" customFormat="1" ht="12.75" customHeight="1">
      <c r="B11" s="193"/>
      <c r="F11" s="35"/>
      <c r="G11" s="35"/>
    </row>
    <row r="12" spans="1:38" ht="12.75" customHeight="1">
      <c r="B12" s="19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K50" s="30">
        <f ca="1">A47:K50</f>
        <v>0</v>
      </c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Q35" sqref="Q35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7" t="s">
        <v>36</v>
      </c>
    </row>
    <row r="2" spans="1:37">
      <c r="L2" s="88" t="s">
        <v>192</v>
      </c>
    </row>
    <row r="4" spans="1:37">
      <c r="A4" s="33"/>
      <c r="B4" s="21" t="s">
        <v>35</v>
      </c>
      <c r="C4" s="33"/>
      <c r="O4" s="77" t="s">
        <v>7</v>
      </c>
      <c r="P4" s="77" t="s">
        <v>9</v>
      </c>
      <c r="Q4" s="77" t="s">
        <v>9</v>
      </c>
      <c r="R4" s="77" t="s">
        <v>8</v>
      </c>
      <c r="S4" s="77" t="s">
        <v>10</v>
      </c>
      <c r="T4" s="77" t="s">
        <v>11</v>
      </c>
      <c r="U4" s="77" t="s">
        <v>12</v>
      </c>
      <c r="V4" s="77" t="s">
        <v>13</v>
      </c>
      <c r="W4" s="77" t="s">
        <v>5</v>
      </c>
      <c r="X4" s="77" t="s">
        <v>6</v>
      </c>
      <c r="Y4" s="77" t="s">
        <v>7</v>
      </c>
      <c r="Z4" s="77" t="s">
        <v>8</v>
      </c>
      <c r="AA4" s="77" t="s">
        <v>7</v>
      </c>
    </row>
    <row r="5" spans="1:37" s="34" customFormat="1"/>
    <row r="6" spans="1:37" s="34" customFormat="1"/>
    <row r="7" spans="1:37" ht="12.75" customHeight="1">
      <c r="B7" s="193" t="s">
        <v>27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3"/>
      <c r="F10" s="35"/>
      <c r="G10" s="35"/>
    </row>
    <row r="11" spans="1:37" s="34" customFormat="1">
      <c r="B11" s="193"/>
      <c r="F11" s="35"/>
      <c r="G11" s="35"/>
    </row>
    <row r="12" spans="1:37">
      <c r="B12" s="19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0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AF165"/>
  <sheetViews>
    <sheetView showGridLines="0" showRowColHeaders="0" zoomScaleNormal="100" workbookViewId="0">
      <selection activeCell="O165" sqref="O165"/>
    </sheetView>
  </sheetViews>
  <sheetFormatPr baseColWidth="10" defaultRowHeight="12.75"/>
  <cols>
    <col min="1" max="1" width="2.85546875" style="107" customWidth="1"/>
    <col min="2" max="2" width="27.5703125" style="107" customWidth="1"/>
    <col min="3" max="16" width="11.42578125" style="107"/>
    <col min="17" max="17" width="15" style="107" customWidth="1"/>
    <col min="18" max="16384" width="11.42578125" style="107"/>
  </cols>
  <sheetData>
    <row r="2" spans="1:5">
      <c r="B2" s="169" t="s">
        <v>132</v>
      </c>
      <c r="C2" s="170"/>
      <c r="D2" s="170"/>
      <c r="E2" s="170"/>
    </row>
    <row r="3" spans="1:5">
      <c r="B3" s="101" t="s">
        <v>42</v>
      </c>
      <c r="C3" s="101" t="s">
        <v>45</v>
      </c>
      <c r="D3" s="101"/>
      <c r="E3" s="101" t="s">
        <v>15</v>
      </c>
    </row>
    <row r="4" spans="1:5">
      <c r="A4" s="175"/>
      <c r="B4" s="101"/>
      <c r="C4" s="101" t="s">
        <v>46</v>
      </c>
      <c r="D4" s="101" t="s">
        <v>47</v>
      </c>
      <c r="E4" s="101"/>
    </row>
    <row r="5" spans="1:5">
      <c r="A5" s="175">
        <v>1</v>
      </c>
      <c r="B5" s="101" t="s">
        <v>159</v>
      </c>
      <c r="C5" s="101">
        <v>49.65</v>
      </c>
      <c r="D5" s="101">
        <v>32.6</v>
      </c>
      <c r="E5" s="162">
        <v>39.8930505911</v>
      </c>
    </row>
    <row r="6" spans="1:5">
      <c r="A6" s="175">
        <v>2</v>
      </c>
      <c r="B6" s="101" t="s">
        <v>160</v>
      </c>
      <c r="C6" s="101">
        <v>51.73</v>
      </c>
      <c r="D6" s="101">
        <v>32.4</v>
      </c>
      <c r="E6" s="162">
        <v>45.754876111500003</v>
      </c>
    </row>
    <row r="7" spans="1:5">
      <c r="A7" s="175">
        <v>3</v>
      </c>
      <c r="B7" s="101" t="s">
        <v>161</v>
      </c>
      <c r="C7" s="101">
        <v>52.69</v>
      </c>
      <c r="D7" s="101">
        <v>33.869999999999997</v>
      </c>
      <c r="E7" s="162">
        <v>43.116010488800001</v>
      </c>
    </row>
    <row r="8" spans="1:5">
      <c r="A8" s="175">
        <v>4</v>
      </c>
      <c r="B8" s="101" t="s">
        <v>162</v>
      </c>
      <c r="C8" s="101">
        <v>50.64</v>
      </c>
      <c r="D8" s="101">
        <v>32</v>
      </c>
      <c r="E8" s="162">
        <v>42.397018236500003</v>
      </c>
    </row>
    <row r="9" spans="1:5">
      <c r="A9" s="175">
        <v>5</v>
      </c>
      <c r="B9" s="101" t="s">
        <v>163</v>
      </c>
      <c r="C9" s="101">
        <v>51.15</v>
      </c>
      <c r="D9" s="101">
        <v>37.729999999999997</v>
      </c>
      <c r="E9" s="162">
        <v>45.577358870499999</v>
      </c>
    </row>
    <row r="10" spans="1:5">
      <c r="A10" s="175">
        <v>6</v>
      </c>
      <c r="B10" s="101" t="s">
        <v>164</v>
      </c>
      <c r="C10" s="101">
        <v>53.89</v>
      </c>
      <c r="D10" s="101">
        <v>42.68</v>
      </c>
      <c r="E10" s="162">
        <v>47.754886136300001</v>
      </c>
    </row>
    <row r="11" spans="1:5">
      <c r="A11" s="175">
        <v>7</v>
      </c>
      <c r="B11" s="101" t="s">
        <v>165</v>
      </c>
      <c r="C11" s="101">
        <v>58.05</v>
      </c>
      <c r="D11" s="101">
        <v>54.6</v>
      </c>
      <c r="E11" s="162">
        <v>56.548715727400001</v>
      </c>
    </row>
    <row r="12" spans="1:5">
      <c r="A12" s="175">
        <v>8</v>
      </c>
      <c r="B12" s="101" t="s">
        <v>166</v>
      </c>
      <c r="C12" s="101">
        <v>59.64</v>
      </c>
      <c r="D12" s="101">
        <v>53.04</v>
      </c>
      <c r="E12" s="162">
        <v>56.8144959073</v>
      </c>
    </row>
    <row r="13" spans="1:5">
      <c r="A13" s="175">
        <v>9</v>
      </c>
      <c r="B13" s="101" t="s">
        <v>167</v>
      </c>
      <c r="C13" s="101">
        <v>58.75</v>
      </c>
      <c r="D13" s="101">
        <v>48.26</v>
      </c>
      <c r="E13" s="162">
        <v>55.871149742900002</v>
      </c>
    </row>
    <row r="14" spans="1:5">
      <c r="A14" s="175">
        <v>10</v>
      </c>
      <c r="B14" s="101" t="s">
        <v>168</v>
      </c>
      <c r="C14" s="101">
        <v>62.3</v>
      </c>
      <c r="D14" s="101">
        <v>38.799999999999997</v>
      </c>
      <c r="E14" s="162">
        <v>53.308470931700001</v>
      </c>
    </row>
    <row r="15" spans="1:5">
      <c r="A15" s="175">
        <v>11</v>
      </c>
      <c r="B15" s="101" t="s">
        <v>169</v>
      </c>
      <c r="C15" s="101">
        <v>62.19</v>
      </c>
      <c r="D15" s="101">
        <v>56.95</v>
      </c>
      <c r="E15" s="162">
        <v>58.668970010000002</v>
      </c>
    </row>
    <row r="16" spans="1:5">
      <c r="A16" s="175">
        <v>12</v>
      </c>
      <c r="B16" s="101" t="s">
        <v>170</v>
      </c>
      <c r="C16" s="101">
        <v>59.13</v>
      </c>
      <c r="D16" s="101">
        <v>26.09</v>
      </c>
      <c r="E16" s="162">
        <v>42.322184441200001</v>
      </c>
    </row>
    <row r="17" spans="1:5">
      <c r="A17" s="175">
        <v>13</v>
      </c>
      <c r="B17" s="101" t="s">
        <v>171</v>
      </c>
      <c r="C17" s="101">
        <v>56.18</v>
      </c>
      <c r="D17" s="101">
        <v>15</v>
      </c>
      <c r="E17" s="162">
        <v>33.773196582399997</v>
      </c>
    </row>
    <row r="18" spans="1:5">
      <c r="A18" s="175">
        <v>14</v>
      </c>
      <c r="B18" s="101" t="s">
        <v>172</v>
      </c>
      <c r="C18" s="101">
        <v>58.01</v>
      </c>
      <c r="D18" s="101">
        <v>44.15</v>
      </c>
      <c r="E18" s="162">
        <v>52.722388506599998</v>
      </c>
    </row>
    <row r="19" spans="1:5">
      <c r="A19" s="175">
        <v>15</v>
      </c>
      <c r="B19" s="101" t="s">
        <v>173</v>
      </c>
      <c r="C19" s="101">
        <v>58.6</v>
      </c>
      <c r="D19" s="101">
        <v>36.6</v>
      </c>
      <c r="E19" s="162">
        <v>50.287527285000003</v>
      </c>
    </row>
    <row r="20" spans="1:5">
      <c r="A20" s="175">
        <v>16</v>
      </c>
      <c r="B20" s="101" t="s">
        <v>174</v>
      </c>
      <c r="C20" s="101">
        <v>57.67</v>
      </c>
      <c r="D20" s="101">
        <v>36.869999999999997</v>
      </c>
      <c r="E20" s="162">
        <v>52.0618362819</v>
      </c>
    </row>
    <row r="21" spans="1:5">
      <c r="A21" s="175">
        <v>17</v>
      </c>
      <c r="B21" s="101" t="s">
        <v>175</v>
      </c>
      <c r="C21" s="101">
        <v>58.45</v>
      </c>
      <c r="D21" s="101">
        <v>44.44</v>
      </c>
      <c r="E21" s="162">
        <v>54.430280287000002</v>
      </c>
    </row>
    <row r="22" spans="1:5">
      <c r="A22" s="175">
        <v>18</v>
      </c>
      <c r="B22" s="101" t="s">
        <v>176</v>
      </c>
      <c r="C22" s="101">
        <v>60.1</v>
      </c>
      <c r="D22" s="101">
        <v>49.1</v>
      </c>
      <c r="E22" s="162">
        <v>57.589829859699996</v>
      </c>
    </row>
    <row r="23" spans="1:5">
      <c r="A23" s="175">
        <v>19</v>
      </c>
      <c r="B23" s="101" t="s">
        <v>177</v>
      </c>
      <c r="C23" s="101">
        <v>61.98</v>
      </c>
      <c r="D23" s="101">
        <v>58.47</v>
      </c>
      <c r="E23" s="162">
        <v>60.444290825400003</v>
      </c>
    </row>
    <row r="24" spans="1:5">
      <c r="A24" s="175">
        <v>20</v>
      </c>
      <c r="B24" s="101" t="s">
        <v>178</v>
      </c>
      <c r="C24" s="101">
        <v>63.01</v>
      </c>
      <c r="D24" s="101">
        <v>54.98</v>
      </c>
      <c r="E24" s="162">
        <v>59.293869230299997</v>
      </c>
    </row>
    <row r="25" spans="1:5">
      <c r="A25" s="175">
        <v>21</v>
      </c>
      <c r="B25" s="101" t="s">
        <v>179</v>
      </c>
      <c r="C25" s="101">
        <v>66</v>
      </c>
      <c r="D25" s="101">
        <v>59.45</v>
      </c>
      <c r="E25" s="162">
        <v>62.939625127399999</v>
      </c>
    </row>
    <row r="26" spans="1:5">
      <c r="A26" s="175">
        <v>22</v>
      </c>
      <c r="B26" s="101" t="s">
        <v>180</v>
      </c>
      <c r="C26" s="101">
        <v>65.099999999999994</v>
      </c>
      <c r="D26" s="101">
        <v>62.26</v>
      </c>
      <c r="E26" s="162">
        <v>63.353529334500003</v>
      </c>
    </row>
    <row r="27" spans="1:5">
      <c r="A27" s="175">
        <v>23</v>
      </c>
      <c r="B27" s="101" t="s">
        <v>181</v>
      </c>
      <c r="C27" s="101">
        <v>66.64</v>
      </c>
      <c r="D27" s="101">
        <v>63.5</v>
      </c>
      <c r="E27" s="162">
        <v>64.984479651200004</v>
      </c>
    </row>
    <row r="28" spans="1:5">
      <c r="A28" s="175">
        <v>24</v>
      </c>
      <c r="B28" s="101" t="s">
        <v>182</v>
      </c>
      <c r="C28" s="101">
        <v>66.45</v>
      </c>
      <c r="D28" s="101">
        <v>60.34</v>
      </c>
      <c r="E28" s="162">
        <v>64.065767150200003</v>
      </c>
    </row>
    <row r="29" spans="1:5">
      <c r="A29" s="175">
        <v>25</v>
      </c>
      <c r="B29" s="101" t="s">
        <v>183</v>
      </c>
      <c r="C29" s="101">
        <v>67.05</v>
      </c>
      <c r="D29" s="101">
        <v>62.03</v>
      </c>
      <c r="E29" s="162">
        <v>64.772731143399994</v>
      </c>
    </row>
    <row r="30" spans="1:5">
      <c r="A30" s="175">
        <v>26</v>
      </c>
      <c r="B30" s="101" t="s">
        <v>184</v>
      </c>
      <c r="C30" s="101">
        <v>66.290000000000006</v>
      </c>
      <c r="D30" s="101">
        <v>51.2</v>
      </c>
      <c r="E30" s="162">
        <v>61.126706717899999</v>
      </c>
    </row>
    <row r="31" spans="1:5">
      <c r="A31" s="175">
        <v>27</v>
      </c>
      <c r="B31" s="101" t="s">
        <v>185</v>
      </c>
      <c r="C31" s="101">
        <v>64.97</v>
      </c>
      <c r="D31" s="101">
        <v>50.22</v>
      </c>
      <c r="E31" s="162">
        <v>60.146529499899998</v>
      </c>
    </row>
    <row r="32" spans="1:5">
      <c r="A32" s="175">
        <v>28</v>
      </c>
      <c r="B32" s="101" t="s">
        <v>186</v>
      </c>
      <c r="C32" s="101">
        <v>67.13</v>
      </c>
      <c r="D32" s="101">
        <v>50.22</v>
      </c>
      <c r="E32" s="162">
        <v>62.798787838999999</v>
      </c>
    </row>
    <row r="33" spans="1:10">
      <c r="A33" s="175">
        <v>29</v>
      </c>
      <c r="B33" s="101" t="s">
        <v>187</v>
      </c>
      <c r="C33" s="101">
        <v>66.5</v>
      </c>
      <c r="D33" s="101">
        <v>63.29</v>
      </c>
      <c r="E33" s="162">
        <v>65.4948386696</v>
      </c>
    </row>
    <row r="34" spans="1:10">
      <c r="A34" s="175">
        <v>30</v>
      </c>
      <c r="B34" s="101" t="s">
        <v>188</v>
      </c>
      <c r="C34" s="101">
        <v>67.67</v>
      </c>
      <c r="D34" s="101">
        <v>59.41</v>
      </c>
      <c r="E34" s="162">
        <v>65.386720997699996</v>
      </c>
    </row>
    <row r="35" spans="1:10">
      <c r="A35" s="175">
        <v>31</v>
      </c>
      <c r="B35" s="101" t="s">
        <v>189</v>
      </c>
      <c r="C35" s="101">
        <v>67</v>
      </c>
      <c r="D35" s="101">
        <v>54.95</v>
      </c>
      <c r="E35" s="162">
        <v>62.952396813500002</v>
      </c>
    </row>
    <row r="36" spans="1:10">
      <c r="A36" s="175"/>
      <c r="B36" s="101" t="s">
        <v>190</v>
      </c>
      <c r="C36" s="101" t="s">
        <v>191</v>
      </c>
      <c r="D36" s="101" t="s">
        <v>191</v>
      </c>
      <c r="E36" s="162">
        <v>55.063742593500002</v>
      </c>
    </row>
    <row r="37" spans="1:10">
      <c r="A37" s="175"/>
      <c r="B37" s="101"/>
      <c r="C37" s="101"/>
      <c r="D37" s="101"/>
      <c r="E37" s="162"/>
    </row>
    <row r="38" spans="1:10">
      <c r="A38" s="175"/>
      <c r="B38" s="101"/>
      <c r="C38" s="101"/>
      <c r="D38" s="101"/>
      <c r="E38" s="162"/>
    </row>
    <row r="39" spans="1:10">
      <c r="A39" s="175"/>
      <c r="B39" s="101"/>
      <c r="C39" s="101"/>
      <c r="D39" s="101" t="s">
        <v>146</v>
      </c>
      <c r="E39" s="162">
        <v>54.92</v>
      </c>
      <c r="F39" s="187">
        <v>47.11</v>
      </c>
      <c r="G39" s="188">
        <f>(E39/F39-1)</f>
        <v>0.16578221184461905</v>
      </c>
    </row>
    <row r="40" spans="1:10">
      <c r="B40" s="101"/>
      <c r="C40" s="101"/>
      <c r="D40" s="101"/>
      <c r="E40" s="101"/>
    </row>
    <row r="41" spans="1:10">
      <c r="B41" s="124"/>
    </row>
    <row r="42" spans="1:10">
      <c r="A42" s="175"/>
      <c r="B42" s="164" t="s">
        <v>133</v>
      </c>
    </row>
    <row r="43" spans="1:10">
      <c r="A43" s="175"/>
      <c r="B43" s="16"/>
      <c r="C43" s="196" t="s">
        <v>22</v>
      </c>
      <c r="D43" s="196" t="s">
        <v>49</v>
      </c>
      <c r="E43" s="196" t="s">
        <v>50</v>
      </c>
      <c r="F43" s="196" t="s">
        <v>51</v>
      </c>
      <c r="G43" s="196" t="s">
        <v>26</v>
      </c>
      <c r="H43" s="196" t="s">
        <v>52</v>
      </c>
      <c r="I43" s="196" t="s">
        <v>53</v>
      </c>
      <c r="J43" s="196" t="s">
        <v>54</v>
      </c>
    </row>
    <row r="44" spans="1:10">
      <c r="A44" s="175"/>
      <c r="B44" s="17"/>
      <c r="C44" s="197"/>
      <c r="D44" s="197"/>
      <c r="E44" s="197"/>
      <c r="F44" s="197"/>
      <c r="G44" s="197"/>
      <c r="H44" s="197"/>
      <c r="I44" s="197"/>
      <c r="J44" s="197"/>
    </row>
    <row r="45" spans="1:10">
      <c r="A45" s="175" t="s">
        <v>7</v>
      </c>
      <c r="B45" s="18" t="s">
        <v>193</v>
      </c>
      <c r="C45" s="54">
        <v>40.143369175627242</v>
      </c>
      <c r="D45" s="54">
        <v>11.559139784946236</v>
      </c>
      <c r="E45" s="54">
        <v>0</v>
      </c>
      <c r="F45" s="54">
        <v>0</v>
      </c>
      <c r="G45" s="54">
        <v>12.186379928315411</v>
      </c>
      <c r="H45" s="54">
        <v>20.228494623655912</v>
      </c>
      <c r="I45" s="55">
        <v>0</v>
      </c>
      <c r="J45" s="59">
        <v>15.882616487455195</v>
      </c>
    </row>
    <row r="46" spans="1:10">
      <c r="A46" s="175" t="s">
        <v>9</v>
      </c>
      <c r="B46" s="18" t="s">
        <v>194</v>
      </c>
      <c r="C46" s="54">
        <v>46.087962962962969</v>
      </c>
      <c r="D46" s="54">
        <v>3.981481481481481</v>
      </c>
      <c r="E46" s="54">
        <v>0</v>
      </c>
      <c r="F46" s="54">
        <v>0</v>
      </c>
      <c r="G46" s="54">
        <v>13.032407407407407</v>
      </c>
      <c r="H46" s="54">
        <v>25.462962962962965</v>
      </c>
      <c r="I46" s="55">
        <v>0</v>
      </c>
      <c r="J46" s="59">
        <v>11.435185185185185</v>
      </c>
    </row>
    <row r="47" spans="1:10">
      <c r="A47" s="175" t="s">
        <v>9</v>
      </c>
      <c r="B47" s="18" t="s">
        <v>195</v>
      </c>
      <c r="C47" s="54">
        <v>37.298387096774199</v>
      </c>
      <c r="D47" s="54">
        <v>4.7827060931899634</v>
      </c>
      <c r="E47" s="54">
        <v>0</v>
      </c>
      <c r="F47" s="54">
        <v>0.13440860215053765</v>
      </c>
      <c r="G47" s="54">
        <v>17.6747311827957</v>
      </c>
      <c r="H47" s="54">
        <v>28.59543010752688</v>
      </c>
      <c r="I47" s="55">
        <v>0</v>
      </c>
      <c r="J47" s="59">
        <v>11.514336917562725</v>
      </c>
    </row>
    <row r="48" spans="1:10">
      <c r="A48" s="175" t="s">
        <v>8</v>
      </c>
      <c r="B48" s="18" t="s">
        <v>196</v>
      </c>
      <c r="C48" s="54">
        <v>36.04390681003585</v>
      </c>
      <c r="D48" s="54">
        <v>10.360663082437277</v>
      </c>
      <c r="E48" s="54">
        <v>0</v>
      </c>
      <c r="F48" s="54">
        <v>0</v>
      </c>
      <c r="G48" s="54">
        <v>17.517921146953402</v>
      </c>
      <c r="H48" s="54">
        <v>17.708333333333336</v>
      </c>
      <c r="I48" s="55">
        <v>0</v>
      </c>
      <c r="J48" s="59">
        <v>18.369175627240143</v>
      </c>
    </row>
    <row r="49" spans="1:14">
      <c r="A49" s="175" t="s">
        <v>10</v>
      </c>
      <c r="B49" s="18" t="s">
        <v>197</v>
      </c>
      <c r="C49" s="54">
        <v>38.946759259259267</v>
      </c>
      <c r="D49" s="54">
        <v>7.4074074074074066</v>
      </c>
      <c r="E49" s="54">
        <v>0</v>
      </c>
      <c r="F49" s="54">
        <v>0</v>
      </c>
      <c r="G49" s="54">
        <v>19.201388888888893</v>
      </c>
      <c r="H49" s="54">
        <v>17.187499999999996</v>
      </c>
      <c r="I49" s="55">
        <v>0</v>
      </c>
      <c r="J49" s="59">
        <v>17.256944444444443</v>
      </c>
    </row>
    <row r="50" spans="1:14">
      <c r="A50" s="175" t="s">
        <v>11</v>
      </c>
      <c r="B50" s="18" t="s">
        <v>198</v>
      </c>
      <c r="C50" s="54">
        <v>39.807347670250891</v>
      </c>
      <c r="D50" s="54">
        <v>6.25</v>
      </c>
      <c r="E50" s="54">
        <v>0</v>
      </c>
      <c r="F50" s="54">
        <v>0</v>
      </c>
      <c r="G50" s="54">
        <v>10.483870967741936</v>
      </c>
      <c r="H50" s="54">
        <v>25.963261648745522</v>
      </c>
      <c r="I50" s="55">
        <v>0</v>
      </c>
      <c r="J50" s="59">
        <v>17.495519713261647</v>
      </c>
    </row>
    <row r="51" spans="1:14">
      <c r="A51" s="175" t="s">
        <v>12</v>
      </c>
      <c r="B51" s="18" t="s">
        <v>199</v>
      </c>
      <c r="C51" s="54">
        <v>33.518518518518519</v>
      </c>
      <c r="D51" s="54">
        <v>10.11574074074074</v>
      </c>
      <c r="E51" s="54">
        <v>0</v>
      </c>
      <c r="F51" s="54">
        <v>0</v>
      </c>
      <c r="G51" s="54">
        <v>17.546296296296298</v>
      </c>
      <c r="H51" s="54">
        <v>26.087962962962962</v>
      </c>
      <c r="I51" s="55">
        <v>0</v>
      </c>
      <c r="J51" s="59">
        <v>12.731481481481485</v>
      </c>
    </row>
    <row r="52" spans="1:14">
      <c r="A52" s="175" t="s">
        <v>13</v>
      </c>
      <c r="B52" s="18" t="s">
        <v>200</v>
      </c>
      <c r="C52" s="54">
        <v>37.141577060931901</v>
      </c>
      <c r="D52" s="54">
        <v>8.736559139784946</v>
      </c>
      <c r="E52" s="54">
        <v>0</v>
      </c>
      <c r="F52" s="54">
        <v>0</v>
      </c>
      <c r="G52" s="54">
        <v>15.770609318996415</v>
      </c>
      <c r="H52" s="54">
        <v>19.153225806451612</v>
      </c>
      <c r="I52" s="55">
        <v>0</v>
      </c>
      <c r="J52" s="59">
        <v>19.198028673835125</v>
      </c>
    </row>
    <row r="53" spans="1:14">
      <c r="A53" s="175" t="s">
        <v>5</v>
      </c>
      <c r="B53" s="18" t="s">
        <v>201</v>
      </c>
      <c r="C53" s="54">
        <v>34.65501792114695</v>
      </c>
      <c r="D53" s="54">
        <v>14.448924731182796</v>
      </c>
      <c r="E53" s="54">
        <v>0</v>
      </c>
      <c r="F53" s="54">
        <v>0</v>
      </c>
      <c r="G53" s="54">
        <v>11.312724014336919</v>
      </c>
      <c r="H53" s="54">
        <v>18.637992831541222</v>
      </c>
      <c r="I53" s="55">
        <v>0</v>
      </c>
      <c r="J53" s="59">
        <v>20.945340501792113</v>
      </c>
    </row>
    <row r="54" spans="1:14">
      <c r="A54" s="175" t="s">
        <v>6</v>
      </c>
      <c r="B54" s="18" t="s">
        <v>202</v>
      </c>
      <c r="C54" s="54">
        <v>48.387896825396837</v>
      </c>
      <c r="D54" s="54">
        <v>4.8363095238095237</v>
      </c>
      <c r="E54" s="54">
        <v>0</v>
      </c>
      <c r="F54" s="54">
        <v>0</v>
      </c>
      <c r="G54" s="54">
        <v>7.9613095238095237</v>
      </c>
      <c r="H54" s="54">
        <v>25.992063492063487</v>
      </c>
      <c r="I54" s="55">
        <v>0</v>
      </c>
      <c r="J54" s="59">
        <v>12.822420634920634</v>
      </c>
    </row>
    <row r="55" spans="1:14">
      <c r="A55" s="175" t="s">
        <v>7</v>
      </c>
      <c r="B55" s="18" t="s">
        <v>203</v>
      </c>
      <c r="C55" s="54">
        <v>44.055630327501127</v>
      </c>
      <c r="D55" s="54">
        <v>12.113055181695827</v>
      </c>
      <c r="E55" s="54">
        <v>0</v>
      </c>
      <c r="F55" s="54">
        <v>0</v>
      </c>
      <c r="G55" s="54">
        <v>2.489905787348587</v>
      </c>
      <c r="H55" s="54">
        <v>8.1202332884701658</v>
      </c>
      <c r="I55" s="55">
        <v>0</v>
      </c>
      <c r="J55" s="59">
        <v>33.221175414984295</v>
      </c>
    </row>
    <row r="56" spans="1:14">
      <c r="A56" s="175" t="s">
        <v>8</v>
      </c>
      <c r="B56" s="18" t="s">
        <v>204</v>
      </c>
      <c r="C56" s="54">
        <v>51.574074074074069</v>
      </c>
      <c r="D56" s="54">
        <v>16.296296296296294</v>
      </c>
      <c r="E56" s="54">
        <v>0</v>
      </c>
      <c r="F56" s="54">
        <v>0</v>
      </c>
      <c r="G56" s="54">
        <v>1.5277777777777777</v>
      </c>
      <c r="H56" s="54">
        <v>3.4722222222222223</v>
      </c>
      <c r="I56" s="55">
        <v>0</v>
      </c>
      <c r="J56" s="59">
        <v>27.129629629629637</v>
      </c>
    </row>
    <row r="57" spans="1:14">
      <c r="A57" s="175" t="s">
        <v>7</v>
      </c>
      <c r="B57" s="56" t="s">
        <v>205</v>
      </c>
      <c r="C57" s="57">
        <v>59.36379928315413</v>
      </c>
      <c r="D57" s="57">
        <v>13.732078853046591</v>
      </c>
      <c r="E57" s="57">
        <v>0</v>
      </c>
      <c r="F57" s="57">
        <v>0</v>
      </c>
      <c r="G57" s="57">
        <v>2.1281362007168458</v>
      </c>
      <c r="H57" s="57">
        <v>7.2356630824372772</v>
      </c>
      <c r="I57" s="58">
        <v>0</v>
      </c>
      <c r="J57" s="60">
        <v>17.540322580645157</v>
      </c>
    </row>
    <row r="59" spans="1:14">
      <c r="B59" s="164" t="s">
        <v>134</v>
      </c>
    </row>
    <row r="60" spans="1:14">
      <c r="B60" s="16"/>
      <c r="C60" s="198" t="s">
        <v>1</v>
      </c>
      <c r="D60" s="198" t="s">
        <v>2</v>
      </c>
      <c r="E60" s="198" t="s">
        <v>156</v>
      </c>
      <c r="F60" s="198" t="s">
        <v>19</v>
      </c>
      <c r="G60" s="198" t="s">
        <v>20</v>
      </c>
      <c r="H60" s="198" t="s">
        <v>29</v>
      </c>
      <c r="I60" s="198" t="s">
        <v>30</v>
      </c>
      <c r="J60" s="198" t="s">
        <v>34</v>
      </c>
      <c r="K60" s="125"/>
      <c r="L60" s="125"/>
    </row>
    <row r="61" spans="1:14">
      <c r="B61" s="17"/>
      <c r="C61" s="199"/>
      <c r="D61" s="199"/>
      <c r="E61" s="199"/>
      <c r="F61" s="199"/>
      <c r="G61" s="199"/>
      <c r="H61" s="199"/>
      <c r="I61" s="199"/>
      <c r="J61" s="199"/>
      <c r="K61" s="125"/>
      <c r="L61" s="125"/>
    </row>
    <row r="62" spans="1:14">
      <c r="B62" s="18" t="str">
        <f>MID('Data 1'!R83,6,3)&amp; "-" &amp;MID('Data 1'!R83,3,2)</f>
        <v>May-17</v>
      </c>
      <c r="C62" s="163">
        <f>VLOOKUP("Mercado Diario",'Data 1'!Q86:AE102,2,FALSE)</f>
        <v>47.6</v>
      </c>
      <c r="D62" s="163">
        <f>VLOOKUP("Mercado Intradiario",'Data 1'!Q86:AE102,2,FALSE)</f>
        <v>0</v>
      </c>
      <c r="E62" s="163">
        <f t="shared" ref="E62:E74" si="0">SUM(C62:D62)</f>
        <v>47.6</v>
      </c>
      <c r="F62" s="163">
        <f>'Data 1'!C89</f>
        <v>2.13</v>
      </c>
      <c r="G62" s="163">
        <f>VLOOKUP("Pago capacidad",'Data 1'!Q86:AE102,2,FALSE)</f>
        <v>2.37</v>
      </c>
      <c r="H62" s="163">
        <f>VLOOKUP("Servicio interrumpibilidad",'Data 1'!Q86:AE102,2,FALSE)</f>
        <v>2.15</v>
      </c>
      <c r="I62" s="163">
        <f t="shared" ref="I62:I74" si="1">SUM(E62:H62)</f>
        <v>54.25</v>
      </c>
      <c r="J62" s="85">
        <f>VLOOKUP("Energía final MWh",'Data 1'!Q84:AE102,2,FALSE)/1000</f>
        <v>20171.667076999998</v>
      </c>
      <c r="K62" s="189">
        <f>E62+F62+G62+H62-VLOOKUP("Coste medio final (€/MWh)",'Data 1'!Q86:AE102,2,FALSE)</f>
        <v>0</v>
      </c>
      <c r="L62" s="63"/>
      <c r="M62" s="190"/>
      <c r="N62" s="137"/>
    </row>
    <row r="63" spans="1:14">
      <c r="B63" s="18" t="str">
        <f>MID('Data 1'!S83,6,3)&amp; "-" &amp;MID('Data 1'!S83,3,2)</f>
        <v>Jun-17</v>
      </c>
      <c r="C63" s="163">
        <f>VLOOKUP("Mercado Diario",'Data 1'!Q86:AE102,3,FALSE)</f>
        <v>50.77</v>
      </c>
      <c r="D63" s="163">
        <f>VLOOKUP("Mercado Intradiario",'Data 1'!Q86:AE102,3,FALSE)</f>
        <v>0</v>
      </c>
      <c r="E63" s="163">
        <f t="shared" si="0"/>
        <v>50.77</v>
      </c>
      <c r="F63" s="163">
        <f>'Data 1'!D89</f>
        <v>1.2499999999999998</v>
      </c>
      <c r="G63" s="163">
        <f>VLOOKUP("Pago capacidad",'Data 1'!Q86:AE102,3,FALSE)</f>
        <v>2.91</v>
      </c>
      <c r="H63" s="163">
        <f>VLOOKUP("Servicio interrumpibilidad",'Data 1'!Q86:AE102,3,FALSE)</f>
        <v>2</v>
      </c>
      <c r="I63" s="163">
        <f t="shared" si="1"/>
        <v>56.930000000000007</v>
      </c>
      <c r="J63" s="85">
        <f>VLOOKUP("Energía final MWh",'Data 1'!Q84:AE102,3,FALSE)/1000</f>
        <v>21667.694546999999</v>
      </c>
      <c r="K63" s="189">
        <f>E63+F63+G63+H63-VLOOKUP("Coste medio final (€/MWh)",'Data 1'!Q86:AE102,3,FALSE)</f>
        <v>0</v>
      </c>
      <c r="L63" s="63" t="str">
        <f>MID('Data 1'!S83,6,LEN('Data 1'!S83))&amp; " " &amp;MID('Data 1'!S83,1,4)</f>
        <v>Junio 2017</v>
      </c>
      <c r="M63" s="190"/>
      <c r="N63" s="137"/>
    </row>
    <row r="64" spans="1:14">
      <c r="B64" s="18" t="str">
        <f>MID('Data 1'!T83,6,3)&amp; "-" &amp;MID('Data 1'!T83,3,2)</f>
        <v>Jul-17</v>
      </c>
      <c r="C64" s="163">
        <f>VLOOKUP("Mercado Diario",'Data 1'!Q86:AE102,4,FALSE)</f>
        <v>49.14</v>
      </c>
      <c r="D64" s="163">
        <f>VLOOKUP("Mercado Intradiario",'Data 1'!Q86:AE102,4,FALSE)</f>
        <v>-0.01</v>
      </c>
      <c r="E64" s="163">
        <f t="shared" si="0"/>
        <v>49.13</v>
      </c>
      <c r="F64" s="163">
        <f>'Data 1'!E89</f>
        <v>1.6499999999999997</v>
      </c>
      <c r="G64" s="163">
        <f>VLOOKUP("Pago capacidad",'Data 1'!Q86:AE102,4,FALSE)</f>
        <v>3.22</v>
      </c>
      <c r="H64" s="163">
        <f>VLOOKUP("Servicio interrumpibilidad",'Data 1'!Q86:AE102,4,FALSE)</f>
        <v>1.93</v>
      </c>
      <c r="I64" s="163">
        <f t="shared" si="1"/>
        <v>55.93</v>
      </c>
      <c r="J64" s="85">
        <f>VLOOKUP("Energía final MWh",'Data 1'!Q84:AE102,4,FALSE)/1000</f>
        <v>22396.019155000002</v>
      </c>
      <c r="K64" s="189">
        <f>E64+F64+G64+H64-VLOOKUP("Coste medio final (€/MWh)",'Data 1'!Q86:AE102,4,FALSE)</f>
        <v>0</v>
      </c>
      <c r="L64" s="63"/>
      <c r="M64" s="190"/>
      <c r="N64" s="137"/>
    </row>
    <row r="65" spans="2:32">
      <c r="B65" s="18" t="str">
        <f>MID('Data 1'!U83,6,3)&amp; "-" &amp;MID('Data 1'!U83,3,2)</f>
        <v>Ago-17</v>
      </c>
      <c r="C65" s="163">
        <f>VLOOKUP("Mercado Diario",'Data 1'!Q86:AE102,5,FALSE)</f>
        <v>48.04</v>
      </c>
      <c r="D65" s="163">
        <f>VLOOKUP("Mercado Intradiario",'Data 1'!Q86:AE102,5,FALSE)</f>
        <v>-0.01</v>
      </c>
      <c r="E65" s="163">
        <f t="shared" si="0"/>
        <v>48.03</v>
      </c>
      <c r="F65" s="163">
        <f>'Data 1'!F89</f>
        <v>2.5000000000000004</v>
      </c>
      <c r="G65" s="163">
        <f>VLOOKUP("Pago capacidad",'Data 1'!Q86:AE102,5,FALSE)</f>
        <v>2.1800000000000002</v>
      </c>
      <c r="H65" s="163">
        <f>VLOOKUP("Servicio interrumpibilidad",'Data 1'!Q86:AE102,5,FALSE)</f>
        <v>1.99</v>
      </c>
      <c r="I65" s="163">
        <f t="shared" si="1"/>
        <v>54.7</v>
      </c>
      <c r="J65" s="85">
        <f>VLOOKUP("Energía final MWh",'Data 1'!Q84:AE102,5,FALSE)/1000</f>
        <v>21754.733244999999</v>
      </c>
      <c r="K65" s="189">
        <f>E65+F65+G65+H65-VLOOKUP("Coste medio final (€/MWh)",'Data 1'!Q86:AE102,5,FALSE)</f>
        <v>0</v>
      </c>
      <c r="L65" s="63"/>
      <c r="M65" s="190"/>
      <c r="N65" s="137"/>
    </row>
    <row r="66" spans="2:32">
      <c r="B66" s="18" t="str">
        <f>MID('Data 1'!V83,6,3)&amp; "-" &amp;MID('Data 1'!V83,3,2)</f>
        <v>Sep-17</v>
      </c>
      <c r="C66" s="163">
        <f>VLOOKUP("Mercado Diario",'Data 1'!Q86:AE102,6,FALSE)</f>
        <v>49.55</v>
      </c>
      <c r="D66" s="163">
        <f>VLOOKUP("Mercado Intradiario",'Data 1'!Q86:AE102,6,FALSE)</f>
        <v>-0.03</v>
      </c>
      <c r="E66" s="163">
        <f t="shared" si="0"/>
        <v>49.519999999999996</v>
      </c>
      <c r="F66" s="163">
        <f>'Data 1'!G89</f>
        <v>2.2000000000000006</v>
      </c>
      <c r="G66" s="163">
        <f>VLOOKUP("Pago capacidad",'Data 1'!Q86:AE102,6,FALSE)</f>
        <v>2.42</v>
      </c>
      <c r="H66" s="163">
        <f>VLOOKUP("Servicio interrumpibilidad",'Data 1'!Q86:AE102,6,FALSE)</f>
        <v>2.14</v>
      </c>
      <c r="I66" s="163">
        <f t="shared" si="1"/>
        <v>56.28</v>
      </c>
      <c r="J66" s="85">
        <f>VLOOKUP("Energía final MWh",'Data 1'!Q84:AE102,6,FALSE)/1000</f>
        <v>20129.590419</v>
      </c>
      <c r="K66" s="189">
        <f>E66+F66+G66+H66-VLOOKUP("Coste medio final (€/MWh)",'Data 1'!Q86:AE102,6,FALSE)</f>
        <v>0</v>
      </c>
      <c r="L66" s="63"/>
      <c r="M66" s="190"/>
      <c r="N66" s="137"/>
    </row>
    <row r="67" spans="2:32">
      <c r="B67" s="18" t="str">
        <f>MID('Data 1'!W83,6,3)&amp; "-" &amp;MID('Data 1'!W83,3,2)</f>
        <v>Oct-17</v>
      </c>
      <c r="C67" s="163">
        <f>VLOOKUP("Mercado Diario",'Data 1'!Q86:AE102,7,FALSE)</f>
        <v>57.62</v>
      </c>
      <c r="D67" s="163">
        <f>VLOOKUP("Mercado Intradiario",'Data 1'!Q86:AE102,7,FALSE)</f>
        <v>-0.03</v>
      </c>
      <c r="E67" s="163">
        <f t="shared" si="0"/>
        <v>57.589999999999996</v>
      </c>
      <c r="F67" s="163">
        <f>'Data 1'!H89</f>
        <v>2.78</v>
      </c>
      <c r="G67" s="163">
        <f>VLOOKUP("Pago capacidad",'Data 1'!Q86:AE102,7,FALSE)</f>
        <v>2.34</v>
      </c>
      <c r="H67" s="163">
        <f>VLOOKUP("Servicio interrumpibilidad",'Data 1'!Q86:AE102,7,FALSE)</f>
        <v>2.16</v>
      </c>
      <c r="I67" s="163">
        <f t="shared" si="1"/>
        <v>64.86999999999999</v>
      </c>
      <c r="J67" s="85">
        <f>VLOOKUP("Energía final MWh",'Data 1'!Q84:AE102,7,FALSE)/1000</f>
        <v>20087.682897999999</v>
      </c>
      <c r="K67" s="189">
        <f>E67+F67+G67+H67-VLOOKUP("Coste medio final (€/MWh)",'Data 1'!Q86:AE102,7,FALSE)</f>
        <v>0</v>
      </c>
      <c r="L67" s="63"/>
      <c r="M67" s="190"/>
      <c r="N67" s="137"/>
    </row>
    <row r="68" spans="2:32">
      <c r="B68" s="18" t="str">
        <f>MID('Data 1'!X83,6,3)&amp; "-" &amp;MID('Data 1'!X83,3,2)</f>
        <v>Nov-17</v>
      </c>
      <c r="C68" s="163">
        <f>VLOOKUP("Mercado Diario",'Data 1'!Q86:AE102,8,FALSE)</f>
        <v>60.54</v>
      </c>
      <c r="D68" s="163">
        <f>VLOOKUP("Mercado Intradiario",'Data 1'!Q86:AE102,8,FALSE)</f>
        <v>0.02</v>
      </c>
      <c r="E68" s="163">
        <f t="shared" si="0"/>
        <v>60.56</v>
      </c>
      <c r="F68" s="163">
        <f>'Data 1'!I89</f>
        <v>1.6799999999999997</v>
      </c>
      <c r="G68" s="163">
        <f>VLOOKUP("Pago capacidad",'Data 1'!Q86:AE102,8,FALSE)</f>
        <v>2.4900000000000002</v>
      </c>
      <c r="H68" s="163">
        <f>VLOOKUP("Servicio interrumpibilidad",'Data 1'!Q86:AE102,8,FALSE)</f>
        <v>2.0699999999999998</v>
      </c>
      <c r="I68" s="163">
        <f t="shared" si="1"/>
        <v>66.8</v>
      </c>
      <c r="J68" s="85">
        <f>VLOOKUP("Energía final MWh",'Data 1'!Q84:AE102,8,FALSE)/1000</f>
        <v>20870.638943999998</v>
      </c>
      <c r="K68" s="189">
        <f>E68+F68+G68+H68-VLOOKUP("Coste medio final (€/MWh)",'Data 1'!Q86:AE102,8,FALSE)</f>
        <v>0</v>
      </c>
      <c r="L68" s="63"/>
      <c r="M68" s="190"/>
      <c r="N68" s="137"/>
    </row>
    <row r="69" spans="2:32">
      <c r="B69" s="18" t="str">
        <f>MID('Data 1'!Y83,6,3)&amp; "-" &amp;MID('Data 1'!Y83,3,2)</f>
        <v>Dic-17</v>
      </c>
      <c r="C69" s="163">
        <f>VLOOKUP("Mercado Diario",'Data 1'!Q86:AE102,9,FALSE)</f>
        <v>60.14</v>
      </c>
      <c r="D69" s="163">
        <f>VLOOKUP("Mercado Intradiario",'Data 1'!Q86:AE102,9,FALSE)</f>
        <v>0</v>
      </c>
      <c r="E69" s="163">
        <f t="shared" si="0"/>
        <v>60.14</v>
      </c>
      <c r="F69" s="163">
        <f>'Data 1'!J89</f>
        <v>2.25</v>
      </c>
      <c r="G69" s="163">
        <f>VLOOKUP("Pago capacidad",'Data 1'!Q86:AE102,9,FALSE)</f>
        <v>3.07</v>
      </c>
      <c r="H69" s="163">
        <f>VLOOKUP("Servicio interrumpibilidad",'Data 1'!Q86:AE102,9,FALSE)</f>
        <v>1.85</v>
      </c>
      <c r="I69" s="163">
        <f t="shared" si="1"/>
        <v>67.309999999999988</v>
      </c>
      <c r="J69" s="85">
        <f>VLOOKUP("Energía final MWh",'Data 1'!Q84:AE102,9,FALSE)/1000</f>
        <v>22134.643344</v>
      </c>
      <c r="K69" s="189">
        <f>E69+F69+G69+H69-VLOOKUP("Coste medio final (€/MWh)",'Data 1'!Q86:AE102,9,FALSE)</f>
        <v>0</v>
      </c>
      <c r="L69" s="63"/>
      <c r="M69" s="190"/>
      <c r="N69" s="137"/>
    </row>
    <row r="70" spans="2:32">
      <c r="B70" s="18" t="str">
        <f>MID('Data 1'!Z83,6,3)&amp; "-" &amp;MID('Data 1'!Z83,3,2)</f>
        <v>Ene-18</v>
      </c>
      <c r="C70" s="163">
        <f>VLOOKUP("Mercado Diario",'Data 1'!Q86:AE102,10,FALSE)</f>
        <v>51.78</v>
      </c>
      <c r="D70" s="163">
        <f>VLOOKUP("Mercado Intradiario",'Data 1'!Q86:AE102,10,FALSE)</f>
        <v>-0.01</v>
      </c>
      <c r="E70" s="163">
        <f t="shared" si="0"/>
        <v>51.77</v>
      </c>
      <c r="F70" s="163">
        <f>'Data 1'!K89</f>
        <v>1.9599999999999997</v>
      </c>
      <c r="G70" s="163">
        <f>VLOOKUP("Pago capacidad",'Data 1'!Q86:AE102,10,FALSE)</f>
        <v>3.19</v>
      </c>
      <c r="H70" s="163">
        <f>VLOOKUP("Servicio interrumpibilidad",'Data 1'!Q86:AE102,10,FALSE)</f>
        <v>1.36</v>
      </c>
      <c r="I70" s="163">
        <f t="shared" si="1"/>
        <v>58.28</v>
      </c>
      <c r="J70" s="85">
        <f>VLOOKUP("Energía final MWh",'Data 1'!Q84:AE102,10,FALSE)/1000</f>
        <v>22547.512504000002</v>
      </c>
      <c r="K70" s="189">
        <f>E70+F70+G70+H70-VLOOKUP("Coste medio final (€/MWh)",'Data 1'!Q86:AE102,10,FALSE)</f>
        <v>0</v>
      </c>
      <c r="L70" s="63"/>
      <c r="M70" s="190"/>
      <c r="N70" s="137"/>
    </row>
    <row r="71" spans="2:32">
      <c r="B71" s="18" t="str">
        <f>MID('Data 1'!AA83,6,3)&amp; "-" &amp;MID('Data 1'!AA83,3,2)</f>
        <v>Feb-18</v>
      </c>
      <c r="C71" s="163">
        <f>VLOOKUP("Mercado Diario",'Data 1'!Q86:AE102,11,FALSE)</f>
        <v>55.77</v>
      </c>
      <c r="D71" s="163">
        <f>VLOOKUP("Mercado Intradiario",'Data 1'!Q86:AE102,11,FALSE)</f>
        <v>-0.01</v>
      </c>
      <c r="E71" s="163">
        <f t="shared" si="0"/>
        <v>55.760000000000005</v>
      </c>
      <c r="F71" s="163">
        <f>'Data 1'!L89</f>
        <v>1.5699999999999998</v>
      </c>
      <c r="G71" s="163">
        <f>VLOOKUP("Pago capacidad",'Data 1'!Q86:AE102,11,FALSE)</f>
        <v>3.25</v>
      </c>
      <c r="H71" s="163">
        <f>VLOOKUP("Servicio interrumpibilidad",'Data 1'!Q86:AE102,11,FALSE)</f>
        <v>1.46</v>
      </c>
      <c r="I71" s="163">
        <f t="shared" si="1"/>
        <v>62.040000000000006</v>
      </c>
      <c r="J71" s="85">
        <f>VLOOKUP("Energía final MWh",'Data 1'!Q84:AE102,11,FALSE)/1000</f>
        <v>21222.583081999997</v>
      </c>
      <c r="K71" s="189">
        <f>E71+F71+G71+H71-VLOOKUP("Coste medio final (€/MWh)",'Data 1'!Q86:AE102,11,FALSE)</f>
        <v>0</v>
      </c>
      <c r="L71" s="63"/>
      <c r="M71" s="190"/>
      <c r="N71" s="137"/>
    </row>
    <row r="72" spans="2:32">
      <c r="B72" s="18" t="str">
        <f>MID('Data 1'!AB83,6,3)&amp; "-" &amp;MID('Data 1'!AB83,3,2)</f>
        <v>Mar-18</v>
      </c>
      <c r="C72" s="163">
        <f>VLOOKUP("Mercado Diario",'Data 1'!Q86:AE102,12,FALSE)</f>
        <v>41.76</v>
      </c>
      <c r="D72" s="163">
        <f>VLOOKUP("Mercado Intradiario",'Data 1'!Q86:AE102,12,FALSE)</f>
        <v>-0.01</v>
      </c>
      <c r="E72" s="163">
        <f t="shared" si="0"/>
        <v>41.75</v>
      </c>
      <c r="F72" s="163">
        <f>'Data 1'!M89</f>
        <v>4.21</v>
      </c>
      <c r="G72" s="163">
        <f>VLOOKUP("Pago capacidad",'Data 1'!Q86:AE102,12,FALSE)</f>
        <v>2.56</v>
      </c>
      <c r="H72" s="163">
        <f>VLOOKUP("Servicio interrumpibilidad",'Data 1'!Q86:AE102,12,FALSE)</f>
        <v>1.41</v>
      </c>
      <c r="I72" s="163">
        <f t="shared" si="1"/>
        <v>49.93</v>
      </c>
      <c r="J72" s="85">
        <f>VLOOKUP("Energía final MWh",'Data 1'!Q84:AE102,12,FALSE)/1000</f>
        <v>21999.535199999998</v>
      </c>
      <c r="K72" s="189">
        <f>E72+F72+G72+H72-VLOOKUP("Coste medio final (€/MWh)",'Data 1'!Q86:AE102,12,FALSE)</f>
        <v>0</v>
      </c>
      <c r="L72" s="63"/>
      <c r="M72" s="190"/>
      <c r="N72" s="137"/>
    </row>
    <row r="73" spans="2:32">
      <c r="B73" s="18" t="str">
        <f>MID('Data 1'!AC83,6,3)&amp; "-" &amp;MID('Data 1'!AC83,3,2)</f>
        <v>Abr-18</v>
      </c>
      <c r="C73" s="163">
        <f>VLOOKUP("Mercado Diario",'Data 1'!Q86:AE102,13,FALSE)</f>
        <v>43.53</v>
      </c>
      <c r="D73" s="163">
        <f>VLOOKUP("Mercado Intradiario",'Data 1'!Q86:AE102,13,FALSE)</f>
        <v>-0.02</v>
      </c>
      <c r="E73" s="163">
        <f t="shared" si="0"/>
        <v>43.51</v>
      </c>
      <c r="F73" s="163">
        <f>'Data 1'!N89</f>
        <v>3.68</v>
      </c>
      <c r="G73" s="163">
        <f>VLOOKUP("Pago capacidad",'Data 1'!Q86:AE102,13,FALSE)</f>
        <v>2.4300000000000002</v>
      </c>
      <c r="H73" s="163">
        <f>VLOOKUP("Servicio interrumpibilidad",'Data 1'!Q86:AE102,13,FALSE)</f>
        <v>1.56</v>
      </c>
      <c r="I73" s="163">
        <f t="shared" si="1"/>
        <v>51.18</v>
      </c>
      <c r="J73" s="85">
        <f>VLOOKUP("Energía final MWh",'Data 1'!Q84:AE102,13,FALSE)/1000</f>
        <v>19770.672578000002</v>
      </c>
      <c r="K73" s="189">
        <f>E73+F73+G73+H73-VLOOKUP("Coste medio final (€/MWh)",'Data 1'!Q86:AE102,13,FALSE)</f>
        <v>0</v>
      </c>
      <c r="L73" s="190"/>
      <c r="M73" s="190"/>
      <c r="N73" s="137"/>
    </row>
    <row r="74" spans="2:32">
      <c r="B74" s="56" t="str">
        <f>MID('Data 1'!AD83,6,3)&amp; "-" &amp;MID('Data 1'!AD83,3,2)</f>
        <v>May-18</v>
      </c>
      <c r="C74" s="178">
        <f>VLOOKUP("Mercado Diario",'Data 1'!Q86:AE102,14,FALSE)</f>
        <v>55.41</v>
      </c>
      <c r="D74" s="178">
        <f>VLOOKUP("Mercado Intradiario",'Data 1'!Q86:AE102,14,FALSE)</f>
        <v>-0.01</v>
      </c>
      <c r="E74" s="178">
        <f t="shared" si="0"/>
        <v>55.4</v>
      </c>
      <c r="F74" s="178">
        <f>'Data 1'!O89</f>
        <v>2.88</v>
      </c>
      <c r="G74" s="178">
        <f>VLOOKUP("Pago capacidad",'Data 1'!Q86:AE102,14,FALSE)</f>
        <v>2.37</v>
      </c>
      <c r="H74" s="178">
        <f>VLOOKUP("Servicio interrumpibilidad",'Data 1'!Q86:AE102,14,FALSE)</f>
        <v>1.53</v>
      </c>
      <c r="I74" s="178">
        <f t="shared" si="1"/>
        <v>62.18</v>
      </c>
      <c r="J74" s="179">
        <f>VLOOKUP("Energía final MWh",'Data 1'!Q84:AE102,14,FALSE)/1000</f>
        <v>20013.739109999999</v>
      </c>
      <c r="K74" s="189">
        <f>E74+F74+G74+H74-VLOOKUP("Coste medio final (€/MWh)",'Data 1'!Q86:AE102,14,FALSE)</f>
        <v>0</v>
      </c>
      <c r="L74" s="191">
        <f>(I74/I73-1)*100</f>
        <v>21.492770613520907</v>
      </c>
      <c r="M74" s="191">
        <f>(I74/I62-1)*100</f>
        <v>14.617511520737336</v>
      </c>
      <c r="N74" s="137"/>
    </row>
    <row r="75" spans="2:32">
      <c r="B75" s="125"/>
      <c r="C75" s="125"/>
      <c r="L75" s="125"/>
    </row>
    <row r="76" spans="2:32">
      <c r="B76" s="164" t="s">
        <v>55</v>
      </c>
    </row>
    <row r="77" spans="2:32" ht="45">
      <c r="B77" s="105"/>
      <c r="C77" s="105" t="s">
        <v>1</v>
      </c>
      <c r="D77" s="105" t="s">
        <v>2</v>
      </c>
      <c r="E77" s="105" t="s">
        <v>56</v>
      </c>
      <c r="F77" s="105" t="s">
        <v>38</v>
      </c>
      <c r="G77" s="105" t="s">
        <v>39</v>
      </c>
      <c r="H77" s="105" t="s">
        <v>19</v>
      </c>
      <c r="I77" s="105" t="s">
        <v>37</v>
      </c>
      <c r="J77" s="105" t="s">
        <v>24</v>
      </c>
      <c r="K77" s="105" t="s">
        <v>44</v>
      </c>
      <c r="L77" s="105" t="s">
        <v>0</v>
      </c>
    </row>
    <row r="78" spans="2:32">
      <c r="B78" s="102" t="s">
        <v>40</v>
      </c>
      <c r="C78" s="161">
        <f>VLOOKUP("Mercado Diario",'Data 1'!Q86:AE102,14,FALSE)</f>
        <v>55.41</v>
      </c>
      <c r="D78" s="161">
        <f>VLOOKUP("Mercado Intradiario",'Data 1'!Q86:AE102,14,FALSE)</f>
        <v>-0.01</v>
      </c>
      <c r="E78" s="161">
        <f>SUM(C78:D78)</f>
        <v>55.4</v>
      </c>
      <c r="F78" s="161">
        <f>VLOOKUP("Pago capacidad",'Data 1'!Q86:AE102,14,FALSE)</f>
        <v>2.37</v>
      </c>
      <c r="G78" s="161">
        <f>VLOOKUP("Servicio interrumpibilidad",'Data 1'!Q86:AE102,14,FALSE)</f>
        <v>1.53</v>
      </c>
      <c r="H78" s="161">
        <f>SUM(I78,J78:K78)</f>
        <v>2.88</v>
      </c>
      <c r="I78" s="161">
        <f>VLOOKUP("Restricciones PBF",'Data 1'!Q86:AE102,14,FALSE)</f>
        <v>2.12</v>
      </c>
      <c r="J78" s="161">
        <f>VLOOKUP("Banda secundaria",'Data 1'!Q86:AE102,14,FALSE)</f>
        <v>0.52</v>
      </c>
      <c r="K78" s="161">
        <f>'Data 1'!O83+'Data 1'!O86+'Data 1'!O87+'Data 1'!O88+O84</f>
        <v>0.24</v>
      </c>
      <c r="L78" s="161">
        <f>'Data 1'!AD102</f>
        <v>62.18</v>
      </c>
      <c r="M78" s="189">
        <f>L78-SUM(E78:H78)</f>
        <v>0</v>
      </c>
    </row>
    <row r="80" spans="2:32">
      <c r="B80" s="106" t="s">
        <v>21</v>
      </c>
      <c r="C80" s="126"/>
      <c r="D80" s="126"/>
      <c r="E80" s="126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5"/>
      <c r="Q80" s="125"/>
      <c r="R80" s="125" t="s">
        <v>7</v>
      </c>
      <c r="S80" s="125" t="s">
        <v>9</v>
      </c>
      <c r="T80" s="125" t="s">
        <v>9</v>
      </c>
      <c r="U80" s="125" t="s">
        <v>8</v>
      </c>
      <c r="V80" s="125" t="s">
        <v>10</v>
      </c>
      <c r="W80" s="125" t="s">
        <v>11</v>
      </c>
      <c r="X80" s="125" t="s">
        <v>12</v>
      </c>
      <c r="Y80" s="125" t="s">
        <v>13</v>
      </c>
      <c r="Z80" s="125" t="s">
        <v>5</v>
      </c>
      <c r="AA80" s="125" t="s">
        <v>6</v>
      </c>
      <c r="AB80" s="125" t="s">
        <v>7</v>
      </c>
      <c r="AC80" s="125" t="s">
        <v>8</v>
      </c>
      <c r="AD80" s="125" t="s">
        <v>7</v>
      </c>
      <c r="AE80" s="125"/>
      <c r="AF80" s="125"/>
    </row>
    <row r="81" spans="2:32">
      <c r="B81" s="108"/>
      <c r="C81" s="128" t="str">
        <f t="shared" ref="C81:O81" si="2">MID(R83,6,1)</f>
        <v>M</v>
      </c>
      <c r="D81" s="128" t="str">
        <f t="shared" si="2"/>
        <v>J</v>
      </c>
      <c r="E81" s="128" t="str">
        <f t="shared" si="2"/>
        <v>J</v>
      </c>
      <c r="F81" s="128" t="str">
        <f t="shared" si="2"/>
        <v>A</v>
      </c>
      <c r="G81" s="128" t="str">
        <f t="shared" si="2"/>
        <v>S</v>
      </c>
      <c r="H81" s="128" t="str">
        <f t="shared" si="2"/>
        <v>O</v>
      </c>
      <c r="I81" s="128" t="str">
        <f t="shared" si="2"/>
        <v>N</v>
      </c>
      <c r="J81" s="128" t="str">
        <f t="shared" si="2"/>
        <v>D</v>
      </c>
      <c r="K81" s="128" t="str">
        <f t="shared" si="2"/>
        <v>E</v>
      </c>
      <c r="L81" s="128" t="str">
        <f t="shared" si="2"/>
        <v>F</v>
      </c>
      <c r="M81" s="128" t="str">
        <f t="shared" si="2"/>
        <v>M</v>
      </c>
      <c r="N81" s="128" t="str">
        <f t="shared" si="2"/>
        <v>A</v>
      </c>
      <c r="O81" s="128" t="str">
        <f t="shared" si="2"/>
        <v>M</v>
      </c>
      <c r="P81" s="125"/>
      <c r="Q81" s="109" t="s">
        <v>31</v>
      </c>
      <c r="R81" s="109" t="s">
        <v>99</v>
      </c>
      <c r="S81" s="109" t="s">
        <v>99</v>
      </c>
      <c r="T81" s="109" t="s">
        <v>99</v>
      </c>
      <c r="U81" s="109" t="s">
        <v>99</v>
      </c>
      <c r="V81" s="109" t="s">
        <v>99</v>
      </c>
      <c r="W81" s="109" t="s">
        <v>99</v>
      </c>
      <c r="X81" s="109" t="s">
        <v>99</v>
      </c>
      <c r="Y81" s="109" t="s">
        <v>99</v>
      </c>
      <c r="Z81" s="109" t="s">
        <v>99</v>
      </c>
      <c r="AA81" s="109" t="s">
        <v>99</v>
      </c>
      <c r="AB81" s="109" t="s">
        <v>99</v>
      </c>
      <c r="AC81" s="109" t="s">
        <v>99</v>
      </c>
      <c r="AD81" s="109" t="s">
        <v>99</v>
      </c>
      <c r="AE81" s="129"/>
      <c r="AF81" s="125"/>
    </row>
    <row r="82" spans="2:32">
      <c r="B82" s="109" t="s">
        <v>23</v>
      </c>
      <c r="C82" s="130">
        <f>VLOOKUP("Restricciones PBF",$Q$86:$AE$102,2,FALSE)</f>
        <v>1.45</v>
      </c>
      <c r="D82" s="130">
        <f>VLOOKUP("Restricciones PBF",$Q$86:$AE$102,3,FALSE)</f>
        <v>0.69</v>
      </c>
      <c r="E82" s="130">
        <f>VLOOKUP("Restricciones PBF",$Q$86:$AE$102,4,FALSE)</f>
        <v>1.1399999999999999</v>
      </c>
      <c r="F82" s="130">
        <f>VLOOKUP("Restricciones PBF",$Q$86:$AE$102,5,FALSE)</f>
        <v>1.86</v>
      </c>
      <c r="G82" s="130">
        <f>VLOOKUP("Restricciones PBF",$Q$86:$AE$102,6,FALSE)</f>
        <v>1.55</v>
      </c>
      <c r="H82" s="130">
        <f>VLOOKUP("Restricciones PBF",$Q$86:$AE$102,7,FALSE)</f>
        <v>1.1399999999999999</v>
      </c>
      <c r="I82" s="130">
        <f>VLOOKUP("Restricciones PBF",$Q$86:$AE$102,8,FALSE)</f>
        <v>0.78</v>
      </c>
      <c r="J82" s="130">
        <f>VLOOKUP("Restricciones PBF",$Q$86:$AE$102,9,FALSE)</f>
        <v>1.08</v>
      </c>
      <c r="K82" s="130">
        <f>VLOOKUP("Restricciones PBF",$Q$86:$AE$102,10,FALSE)</f>
        <v>1.08</v>
      </c>
      <c r="L82" s="130">
        <f>VLOOKUP("Restricciones PBF",$Q$86:$AE$102,11,FALSE)</f>
        <v>0.88</v>
      </c>
      <c r="M82" s="130">
        <f>VLOOKUP("Restricciones PBF",$Q$86:$AE$102,12,FALSE)</f>
        <v>2.92</v>
      </c>
      <c r="N82" s="130">
        <f>VLOOKUP("Restricciones PBF",$Q$86:$AE$102,13,FALSE)</f>
        <v>2.61</v>
      </c>
      <c r="O82" s="130">
        <f>VLOOKUP("Restricciones PBF",$Q$86:$AE$102,14,FALSE)</f>
        <v>2.12</v>
      </c>
      <c r="P82" s="125"/>
      <c r="Q82" s="109" t="s">
        <v>100</v>
      </c>
      <c r="R82" s="109">
        <v>201705</v>
      </c>
      <c r="S82" s="109">
        <v>201706</v>
      </c>
      <c r="T82" s="109">
        <v>201707</v>
      </c>
      <c r="U82" s="109">
        <v>201708</v>
      </c>
      <c r="V82" s="109">
        <v>201709</v>
      </c>
      <c r="W82" s="109">
        <v>201710</v>
      </c>
      <c r="X82" s="109">
        <v>201711</v>
      </c>
      <c r="Y82" s="109">
        <v>201712</v>
      </c>
      <c r="Z82" s="109">
        <v>201801</v>
      </c>
      <c r="AA82" s="109">
        <v>201802</v>
      </c>
      <c r="AB82" s="109">
        <v>201803</v>
      </c>
      <c r="AC82" s="109">
        <v>201804</v>
      </c>
      <c r="AD82" s="109">
        <v>201805</v>
      </c>
      <c r="AE82" s="129"/>
      <c r="AF82" s="125"/>
    </row>
    <row r="83" spans="2:32">
      <c r="B83" s="109" t="s">
        <v>28</v>
      </c>
      <c r="C83" s="130">
        <f>VLOOKUP("Restricciones TR",$Q$86:$AE$102,2,FALSE)</f>
        <v>0.03</v>
      </c>
      <c r="D83" s="130">
        <f>VLOOKUP("Restricciones TR",$Q$86:$AE$102,3,FALSE)</f>
        <v>0.02</v>
      </c>
      <c r="E83" s="130">
        <f>VLOOKUP("Restricciones TR",$Q$86:$AE$102,4,FALSE)</f>
        <v>0.05</v>
      </c>
      <c r="F83" s="130">
        <f>VLOOKUP("Restricciones TR",$Q$86:$AE$102,5,FALSE)</f>
        <v>0.05</v>
      </c>
      <c r="G83" s="130">
        <f>VLOOKUP("Restricciones TR",$Q$86:$AE$102,6,FALSE)</f>
        <v>0.05</v>
      </c>
      <c r="H83" s="130">
        <f>VLOOKUP("Restricciones TR",$Q$86:$AE$102,7,FALSE)</f>
        <v>0.12</v>
      </c>
      <c r="I83" s="130">
        <f>VLOOKUP("Restricciones TR",$Q$86:$AE$102,8,FALSE)</f>
        <v>0.08</v>
      </c>
      <c r="J83" s="130">
        <f>VLOOKUP("Restricciones TR",$Q$86:$AE$102,9,FALSE)</f>
        <v>0.05</v>
      </c>
      <c r="K83" s="130">
        <f>VLOOKUP("Restricciones TR",$Q$86:$AE$102,10,FALSE)</f>
        <v>0.05</v>
      </c>
      <c r="L83" s="130">
        <f>VLOOKUP("Restricciones TR",$Q$86:$AE$102,11,FALSE)</f>
        <v>0.05</v>
      </c>
      <c r="M83" s="130">
        <f>VLOOKUP("Restricciones TR",$Q$86:$AE$102,12,FALSE)</f>
        <v>0.17</v>
      </c>
      <c r="N83" s="130">
        <f>VLOOKUP("Restricciones TR",$Q$86:$AE$102,13,FALSE)</f>
        <v>0.09</v>
      </c>
      <c r="O83" s="130">
        <f>VLOOKUP("Restricciones TR",$Q$86:$AE$102,14,FALSE)</f>
        <v>0.11</v>
      </c>
      <c r="P83" s="125"/>
      <c r="Q83" s="109" t="s">
        <v>101</v>
      </c>
      <c r="R83" s="109" t="s">
        <v>206</v>
      </c>
      <c r="S83" s="109" t="s">
        <v>207</v>
      </c>
      <c r="T83" s="109" t="s">
        <v>208</v>
      </c>
      <c r="U83" s="109" t="s">
        <v>209</v>
      </c>
      <c r="V83" s="109" t="s">
        <v>210</v>
      </c>
      <c r="W83" s="109" t="s">
        <v>211</v>
      </c>
      <c r="X83" s="109" t="s">
        <v>212</v>
      </c>
      <c r="Y83" s="109" t="s">
        <v>213</v>
      </c>
      <c r="Z83" s="109" t="s">
        <v>214</v>
      </c>
      <c r="AA83" s="109" t="s">
        <v>215</v>
      </c>
      <c r="AB83" s="109" t="s">
        <v>216</v>
      </c>
      <c r="AC83" s="109" t="s">
        <v>217</v>
      </c>
      <c r="AD83" s="109" t="s">
        <v>218</v>
      </c>
      <c r="AE83" s="129"/>
      <c r="AF83" s="125"/>
    </row>
    <row r="84" spans="2:32">
      <c r="B84" s="109" t="s">
        <v>27</v>
      </c>
      <c r="C84" s="130">
        <f>VLOOKUP("Reserva subir",$Q$86:$AE$102,2,FALSE)</f>
        <v>0</v>
      </c>
      <c r="D84" s="130">
        <f>VLOOKUP("Reserva subir",$Q$86:$AE$102,3,FALSE)</f>
        <v>0.01</v>
      </c>
      <c r="E84" s="130">
        <f>VLOOKUP("Reserva subir",$Q$86:$AE$102,4,FALSE)</f>
        <v>0</v>
      </c>
      <c r="F84" s="130">
        <f>VLOOKUP("Reserva subir",$Q$86:$AE$102,5,FALSE)</f>
        <v>0.02</v>
      </c>
      <c r="G84" s="130">
        <f>VLOOKUP("Reserva subir",$Q$86:$AE$102,6,FALSE)</f>
        <v>0.03</v>
      </c>
      <c r="H84" s="130">
        <f>VLOOKUP("Reserva subir",$Q$86:$AE$102,7,FALSE)</f>
        <v>0.66</v>
      </c>
      <c r="I84" s="130">
        <f>VLOOKUP("Reserva subir",$Q$86:$AE$102,8,FALSE)</f>
        <v>0.17</v>
      </c>
      <c r="J84" s="130">
        <f>VLOOKUP("Reserva subir",$Q$86:$AE$102,9,FALSE)</f>
        <v>0.03</v>
      </c>
      <c r="K84" s="130">
        <f>VLOOKUP("Reserva subir",$Q$86:$AE$102,10,FALSE)</f>
        <v>0.02</v>
      </c>
      <c r="L84" s="130">
        <f>VLOOKUP("Reserva subir",$Q$86:$AE$102,11,FALSE)</f>
        <v>0.06</v>
      </c>
      <c r="M84" s="130">
        <f>VLOOKUP("Reserva subir",$Q$86:$AE$102,12,FALSE)</f>
        <v>0.2</v>
      </c>
      <c r="N84" s="130">
        <f>VLOOKUP("Reserva subir",$Q$86:$AE$102,13,FALSE)</f>
        <v>0.27</v>
      </c>
      <c r="O84" s="130">
        <f>VLOOKUP("Reserva subir",$Q$86:$AE$102,14,FALSE)</f>
        <v>0.13</v>
      </c>
      <c r="P84" s="125"/>
      <c r="Q84" s="109" t="s">
        <v>102</v>
      </c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1"/>
      <c r="AF84" s="125"/>
    </row>
    <row r="85" spans="2:32">
      <c r="B85" s="109" t="s">
        <v>14</v>
      </c>
      <c r="C85" s="130">
        <f>VLOOKUP("Banda Secundaria",$Q$86:$AE$102,2,FALSE)</f>
        <v>0.65</v>
      </c>
      <c r="D85" s="130">
        <f>VLOOKUP("Banda Secundaria",$Q$86:$AE$102,3,FALSE)</f>
        <v>0.5</v>
      </c>
      <c r="E85" s="130">
        <f>VLOOKUP("Banda Secundaria",$Q$86:$AE$102,4,FALSE)</f>
        <v>0.43</v>
      </c>
      <c r="F85" s="130">
        <f>VLOOKUP("Banda Secundaria",$Q$86:$AE$102,5,FALSE)</f>
        <v>0.46</v>
      </c>
      <c r="G85" s="130">
        <f>VLOOKUP("Banda Secundaria",$Q$86:$AE$102,6,FALSE)</f>
        <v>0.47</v>
      </c>
      <c r="H85" s="130">
        <f>VLOOKUP("Banda Secundaria",$Q$86:$AE$102,7,FALSE)</f>
        <v>0.82</v>
      </c>
      <c r="I85" s="130">
        <f>VLOOKUP("Banda Secundaria",$Q$86:$AE$102,8,FALSE)</f>
        <v>0.6</v>
      </c>
      <c r="J85" s="130">
        <f>VLOOKUP("Banda Secundaria",$Q$86:$AE$102,9,FALSE)</f>
        <v>0.94</v>
      </c>
      <c r="K85" s="130">
        <f>VLOOKUP("Banda Secundaria",$Q$86:$AE$102,10,FALSE)</f>
        <v>0.7</v>
      </c>
      <c r="L85" s="130">
        <f>VLOOKUP("Banda Secundaria",$Q$86:$AE$102,11,FALSE)</f>
        <v>0.49</v>
      </c>
      <c r="M85" s="130">
        <f>VLOOKUP("Banda Secundaria",$Q$86:$AE$102,12,FALSE)</f>
        <v>0.89</v>
      </c>
      <c r="N85" s="130">
        <f>VLOOKUP("Banda Secundaria",$Q$86:$AE$102,13,FALSE)</f>
        <v>0.68</v>
      </c>
      <c r="O85" s="130">
        <f>VLOOKUP("Banda Secundaria",$Q$86:$AE$102,14,FALSE)</f>
        <v>0.52</v>
      </c>
      <c r="P85" s="125"/>
      <c r="Q85" s="109" t="s">
        <v>103</v>
      </c>
      <c r="R85" s="130">
        <v>20171667.077</v>
      </c>
      <c r="S85" s="130">
        <v>21667694.546999998</v>
      </c>
      <c r="T85" s="130">
        <v>22396019.155000001</v>
      </c>
      <c r="U85" s="130">
        <v>21754733.245000001</v>
      </c>
      <c r="V85" s="130">
        <v>20129590.419</v>
      </c>
      <c r="W85" s="130">
        <v>20087682.897999998</v>
      </c>
      <c r="X85" s="130">
        <v>20870638.943999998</v>
      </c>
      <c r="Y85" s="130">
        <v>22134643.344000001</v>
      </c>
      <c r="Z85" s="130">
        <v>22547512.504000001</v>
      </c>
      <c r="AA85" s="130">
        <v>21222583.081999999</v>
      </c>
      <c r="AB85" s="130">
        <v>21999535.199999999</v>
      </c>
      <c r="AC85" s="130">
        <v>19770672.578000002</v>
      </c>
      <c r="AD85" s="130">
        <v>20013739.109999999</v>
      </c>
      <c r="AE85" s="132"/>
      <c r="AF85" s="125"/>
    </row>
    <row r="86" spans="2:32">
      <c r="B86" s="109" t="s">
        <v>57</v>
      </c>
      <c r="C86" s="130">
        <f>VLOOKUP("Coste desvíos",$Q$86:$AE$102,2,FALSE)+VLOOKUP("Saldo PO 14.6",$Q$86:$AE$102,2,FALSE)</f>
        <v>0.15000000000000002</v>
      </c>
      <c r="D86" s="130">
        <f>VLOOKUP("Coste desvíos",$Q$86:$AE$102,3,FALSE)+VLOOKUP("Saldo PO 14.6",$Q$86:$AE$102,3,FALSE)</f>
        <v>0.18000000000000002</v>
      </c>
      <c r="E86" s="130">
        <f>VLOOKUP("Coste desvíos",$Q$86:$AE$102,4,FALSE)+VLOOKUP("Saldo PO 14.6",$Q$86:$AE$102,4,FALSE)</f>
        <v>0.18</v>
      </c>
      <c r="F86" s="130">
        <f>VLOOKUP("Coste desvíos",$Q$86:$AE$102,5,FALSE)+VLOOKUP("Saldo PO 14.6",$Q$86:$AE$102,5,FALSE)</f>
        <v>0.25</v>
      </c>
      <c r="G86" s="130">
        <f>VLOOKUP("Coste desvíos",$Q$86:$AE$102,6,FALSE)+VLOOKUP("Saldo PO 14.6",$Q$86:$AE$102,6,FALSE)</f>
        <v>0.24000000000000002</v>
      </c>
      <c r="H86" s="130">
        <f>VLOOKUP("Coste desvíos",$Q$86:$AE$102,7,FALSE)+VLOOKUP("Saldo PO 14.6",$Q$86:$AE$102,7,FALSE)</f>
        <v>0.27</v>
      </c>
      <c r="I86" s="130">
        <f>VLOOKUP("Coste desvíos",$Q$86:$AE$102,8,FALSE)+VLOOKUP("Saldo PO 14.6",$Q$86:$AE$102,8,FALSE)</f>
        <v>0.2</v>
      </c>
      <c r="J86" s="130">
        <f>VLOOKUP("Coste desvíos",$Q$86:$AE$102,9,FALSE)+VLOOKUP("Saldo PO 14.6",$Q$86:$AE$102,9,FALSE)</f>
        <v>0.38</v>
      </c>
      <c r="K86" s="130">
        <f>VLOOKUP("Coste desvíos",$Q$86:$AE$102,10,FALSE)+VLOOKUP("Saldo PO 14.6",$Q$86:$AE$102,10,FALSE)</f>
        <v>0.33999999999999997</v>
      </c>
      <c r="L86" s="130">
        <f>VLOOKUP("Coste desvíos",$Q$86:$AE$102,11,FALSE)+VLOOKUP("Saldo PO 14.6",$Q$86:$AE$102,11,FALSE)</f>
        <v>0.17</v>
      </c>
      <c r="M86" s="130">
        <f>VLOOKUP("Coste desvíos",$Q$86:$AE$102,12,FALSE)+VLOOKUP("Saldo PO 14.6",$Q$86:$AE$102,12,FALSE)</f>
        <v>0.15</v>
      </c>
      <c r="N86" s="130">
        <f>VLOOKUP("Coste desvíos",$Q$86:$AE$102,13,FALSE)+VLOOKUP("Saldo PO 14.6",$Q$86:$AE$102,13,FALSE)</f>
        <v>0.17</v>
      </c>
      <c r="O86" s="130">
        <f>VLOOKUP("Coste desvíos",$Q$86:$AE$102,14,FALSE)+VLOOKUP("Saldo PO 14.6",$Q$86:$AE$102,14,FALSE)</f>
        <v>0.11</v>
      </c>
      <c r="P86" s="125"/>
      <c r="Q86" s="109" t="s">
        <v>104</v>
      </c>
      <c r="R86" s="130">
        <v>100</v>
      </c>
      <c r="S86" s="130">
        <v>100</v>
      </c>
      <c r="T86" s="130">
        <v>100</v>
      </c>
      <c r="U86" s="130">
        <v>100</v>
      </c>
      <c r="V86" s="130">
        <v>100</v>
      </c>
      <c r="W86" s="130">
        <v>100</v>
      </c>
      <c r="X86" s="130">
        <v>100</v>
      </c>
      <c r="Y86" s="130">
        <v>100</v>
      </c>
      <c r="Z86" s="130">
        <v>100</v>
      </c>
      <c r="AA86" s="130">
        <v>100</v>
      </c>
      <c r="AB86" s="130">
        <v>100</v>
      </c>
      <c r="AC86" s="130">
        <v>100</v>
      </c>
      <c r="AD86" s="130">
        <v>100</v>
      </c>
      <c r="AE86" s="133"/>
      <c r="AF86" s="125"/>
    </row>
    <row r="87" spans="2:32">
      <c r="B87" s="109" t="s">
        <v>18</v>
      </c>
      <c r="C87" s="130">
        <f>VLOOKUP("Saldo desvíos",$Q$86:$AE$102,2,FALSE)+VLOOKUP("Incumplimiento energía balance",$Q$86:$AE$102,2,FALSE)</f>
        <v>-0.1</v>
      </c>
      <c r="D87" s="130">
        <f>VLOOKUP("Saldo desvíos",$Q$86:$AE$102,3,FALSE)+VLOOKUP("Incumplimiento energía balance",$Q$86:$AE$102,3,FALSE)</f>
        <v>-0.1</v>
      </c>
      <c r="E87" s="130">
        <f>VLOOKUP("Saldo desvíos",$Q$86:$AE$102,4,FALSE)+VLOOKUP("Incumplimiento energía balance",$Q$86:$AE$102,4,FALSE)</f>
        <v>-0.1</v>
      </c>
      <c r="F87" s="130">
        <f>VLOOKUP("Saldo desvíos",$Q$86:$AE$102,5,FALSE)+VLOOKUP("Incumplimiento energía balance",$Q$86:$AE$102,5,FALSE)</f>
        <v>-9.0000000000000011E-2</v>
      </c>
      <c r="G87" s="130">
        <f>VLOOKUP("Saldo desvíos",$Q$86:$AE$102,6,FALSE)+VLOOKUP("Incumplimiento energía balance",$Q$86:$AE$102,6,FALSE)</f>
        <v>-9.0000000000000011E-2</v>
      </c>
      <c r="H87" s="130">
        <f>VLOOKUP("Saldo desvíos",$Q$86:$AE$102,7,FALSE)+VLOOKUP("Incumplimiento energía balance",$Q$86:$AE$102,7,FALSE)</f>
        <v>-0.17</v>
      </c>
      <c r="I87" s="130">
        <f>VLOOKUP("Saldo desvíos",$Q$86:$AE$102,8,FALSE)+VLOOKUP("Incumplimiento energía balance",$Q$86:$AE$102,8,FALSE)</f>
        <v>-0.09</v>
      </c>
      <c r="J87" s="130">
        <f>VLOOKUP("Saldo desvíos",$Q$86:$AE$102,9,FALSE)+VLOOKUP("Incumplimiento energía balance",$Q$86:$AE$102,9,FALSE)</f>
        <v>-0.15000000000000002</v>
      </c>
      <c r="K87" s="130">
        <f>VLOOKUP("Saldo desvíos",$Q$86:$AE$102,10,FALSE)+VLOOKUP("Incumplimiento energía balance",$Q$86:$AE$102,10,FALSE)</f>
        <v>-0.16</v>
      </c>
      <c r="L87" s="130">
        <f>VLOOKUP("Saldo desvíos",$Q$86:$AE$102,11,FALSE)+VLOOKUP("Incumplimiento energía balance",$Q$86:$AE$102,11,FALSE)</f>
        <v>-1.9999999999999997E-2</v>
      </c>
      <c r="M87" s="130">
        <f>VLOOKUP("Saldo desvíos",$Q$86:$AE$102,12,FALSE)+VLOOKUP("Incumplimiento energía balance",$Q$86:$AE$102,12,FALSE)</f>
        <v>-0.04</v>
      </c>
      <c r="N87" s="130">
        <f>VLOOKUP("Saldo desvíos",$Q$86:$AE$102,13,FALSE)+VLOOKUP("Incumplimiento energía balance",$Q$86:$AE$102,13,FALSE)</f>
        <v>-7.0000000000000007E-2</v>
      </c>
      <c r="O87" s="130">
        <f>VLOOKUP("Saldo desvíos",$Q$86:$AE$102,14,FALSE)+VLOOKUP("Incumplimiento energía balance",$Q$86:$AE$102,14,FALSE)</f>
        <v>-0.05</v>
      </c>
      <c r="P87" s="125"/>
      <c r="Q87" s="109" t="s">
        <v>105</v>
      </c>
      <c r="R87" s="130">
        <v>47.6</v>
      </c>
      <c r="S87" s="130">
        <v>50.77</v>
      </c>
      <c r="T87" s="130">
        <v>49.14</v>
      </c>
      <c r="U87" s="130">
        <v>48.04</v>
      </c>
      <c r="V87" s="130">
        <v>49.55</v>
      </c>
      <c r="W87" s="130">
        <v>57.62</v>
      </c>
      <c r="X87" s="130">
        <v>60.54</v>
      </c>
      <c r="Y87" s="130">
        <v>60.14</v>
      </c>
      <c r="Z87" s="130">
        <v>51.78</v>
      </c>
      <c r="AA87" s="130">
        <v>55.77</v>
      </c>
      <c r="AB87" s="130">
        <v>41.76</v>
      </c>
      <c r="AC87" s="130">
        <v>43.53</v>
      </c>
      <c r="AD87" s="130">
        <v>55.41</v>
      </c>
      <c r="AE87" s="133"/>
      <c r="AF87" s="125"/>
    </row>
    <row r="88" spans="2:32">
      <c r="B88" s="111" t="s">
        <v>25</v>
      </c>
      <c r="C88" s="134">
        <f>VLOOKUP("Control del factor de potencia",$Q$86:$AE$102,2,FALSE)</f>
        <v>-0.05</v>
      </c>
      <c r="D88" s="134">
        <f>VLOOKUP("Control del factor de potencia",$Q$86:$AE$102,3,FALSE)</f>
        <v>-0.05</v>
      </c>
      <c r="E88" s="134">
        <f>VLOOKUP("Control del factor de potencia",$Q$86:$AE$102,4,FALSE)</f>
        <v>-0.05</v>
      </c>
      <c r="F88" s="134">
        <f>VLOOKUP("Control del factor de potencia",$Q$86:$AE$102,5,FALSE)</f>
        <v>-0.05</v>
      </c>
      <c r="G88" s="134">
        <f>VLOOKUP("Control del factor de potencia",$Q$86:$AE$102,6,FALSE)</f>
        <v>-0.05</v>
      </c>
      <c r="H88" s="134">
        <f>VLOOKUP("Control del factor de potencia",$Q$86:$AE$102,7,FALSE)</f>
        <v>-0.06</v>
      </c>
      <c r="I88" s="134">
        <f>VLOOKUP("Control del factor de potencia",$Q$86:$AE$102,8,FALSE)</f>
        <v>-0.06</v>
      </c>
      <c r="J88" s="134">
        <f>VLOOKUP("Control del factor de potencia",$Q$86:$AE$102,9,FALSE)</f>
        <v>-0.08</v>
      </c>
      <c r="K88" s="134">
        <f>VLOOKUP("Control del factor de potencia",$Q$86:$AE$102,10,FALSE)</f>
        <v>-7.0000000000000007E-2</v>
      </c>
      <c r="L88" s="134">
        <f>VLOOKUP("Control del factor de potencia",$Q$86:$AE$102,11,FALSE)</f>
        <v>-0.06</v>
      </c>
      <c r="M88" s="134">
        <f>VLOOKUP("Control del factor de potencia",$Q$86:$AE$102,12,FALSE)</f>
        <v>-0.08</v>
      </c>
      <c r="N88" s="134">
        <f>VLOOKUP("Control del factor de potencia",$Q$86:$AE$102,13,FALSE)</f>
        <v>-7.0000000000000007E-2</v>
      </c>
      <c r="O88" s="134">
        <f>VLOOKUP("Control del factor de potencia",$Q$86:$AE$102,14,FALSE)</f>
        <v>-0.06</v>
      </c>
      <c r="P88" s="125"/>
      <c r="Q88" s="109" t="s">
        <v>106</v>
      </c>
      <c r="R88" s="130">
        <v>1.45</v>
      </c>
      <c r="S88" s="130">
        <v>0.69</v>
      </c>
      <c r="T88" s="130">
        <v>1.1399999999999999</v>
      </c>
      <c r="U88" s="130">
        <v>1.86</v>
      </c>
      <c r="V88" s="130">
        <v>1.55</v>
      </c>
      <c r="W88" s="130">
        <v>1.1399999999999999</v>
      </c>
      <c r="X88" s="130">
        <v>0.78</v>
      </c>
      <c r="Y88" s="130">
        <v>1.08</v>
      </c>
      <c r="Z88" s="130">
        <v>1.08</v>
      </c>
      <c r="AA88" s="130">
        <v>0.88</v>
      </c>
      <c r="AB88" s="130">
        <v>2.92</v>
      </c>
      <c r="AC88" s="130">
        <v>2.61</v>
      </c>
      <c r="AD88" s="130">
        <v>2.12</v>
      </c>
      <c r="AE88" s="133"/>
      <c r="AF88" s="125"/>
    </row>
    <row r="89" spans="2:32">
      <c r="B89" s="125"/>
      <c r="C89" s="180">
        <f t="shared" ref="C89:O89" si="3">SUM(C82:C88)</f>
        <v>2.13</v>
      </c>
      <c r="D89" s="180">
        <f t="shared" si="3"/>
        <v>1.2499999999999998</v>
      </c>
      <c r="E89" s="180">
        <f t="shared" si="3"/>
        <v>1.6499999999999997</v>
      </c>
      <c r="F89" s="180">
        <f t="shared" si="3"/>
        <v>2.5000000000000004</v>
      </c>
      <c r="G89" s="180">
        <f t="shared" si="3"/>
        <v>2.2000000000000006</v>
      </c>
      <c r="H89" s="180">
        <f t="shared" si="3"/>
        <v>2.78</v>
      </c>
      <c r="I89" s="180">
        <f t="shared" si="3"/>
        <v>1.6799999999999997</v>
      </c>
      <c r="J89" s="180">
        <f t="shared" si="3"/>
        <v>2.25</v>
      </c>
      <c r="K89" s="180">
        <f t="shared" si="3"/>
        <v>1.9599999999999997</v>
      </c>
      <c r="L89" s="180">
        <f t="shared" si="3"/>
        <v>1.5699999999999998</v>
      </c>
      <c r="M89" s="180">
        <f t="shared" si="3"/>
        <v>4.21</v>
      </c>
      <c r="N89" s="180">
        <f t="shared" si="3"/>
        <v>3.68</v>
      </c>
      <c r="O89" s="180">
        <f t="shared" si="3"/>
        <v>2.88</v>
      </c>
      <c r="P89" s="125"/>
      <c r="Q89" s="109" t="s">
        <v>107</v>
      </c>
      <c r="R89" s="130">
        <v>0.03</v>
      </c>
      <c r="S89" s="130">
        <v>0.02</v>
      </c>
      <c r="T89" s="130">
        <v>0.05</v>
      </c>
      <c r="U89" s="130">
        <v>0.05</v>
      </c>
      <c r="V89" s="130">
        <v>0.05</v>
      </c>
      <c r="W89" s="130">
        <v>0.12</v>
      </c>
      <c r="X89" s="130">
        <v>0.08</v>
      </c>
      <c r="Y89" s="130">
        <v>0.05</v>
      </c>
      <c r="Z89" s="130">
        <v>0.05</v>
      </c>
      <c r="AA89" s="130">
        <v>0.05</v>
      </c>
      <c r="AB89" s="130">
        <v>0.17</v>
      </c>
      <c r="AC89" s="130">
        <v>0.09</v>
      </c>
      <c r="AD89" s="130">
        <v>0.11</v>
      </c>
      <c r="AE89" s="133"/>
      <c r="AF89" s="125"/>
    </row>
    <row r="90" spans="2:32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09" t="s">
        <v>108</v>
      </c>
      <c r="R90" s="130">
        <v>0</v>
      </c>
      <c r="S90" s="130">
        <v>0</v>
      </c>
      <c r="T90" s="130">
        <v>-0.01</v>
      </c>
      <c r="U90" s="130">
        <v>-0.01</v>
      </c>
      <c r="V90" s="130">
        <v>-0.03</v>
      </c>
      <c r="W90" s="130">
        <v>-0.03</v>
      </c>
      <c r="X90" s="130">
        <v>0.02</v>
      </c>
      <c r="Y90" s="130">
        <v>0</v>
      </c>
      <c r="Z90" s="130">
        <v>-0.01</v>
      </c>
      <c r="AA90" s="130">
        <v>-0.01</v>
      </c>
      <c r="AB90" s="130">
        <v>-0.01</v>
      </c>
      <c r="AC90" s="130">
        <v>-0.02</v>
      </c>
      <c r="AD90" s="130">
        <v>-0.01</v>
      </c>
      <c r="AE90" s="133"/>
      <c r="AF90" s="125"/>
    </row>
    <row r="91" spans="2:32">
      <c r="B91" s="12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09" t="s">
        <v>82</v>
      </c>
      <c r="N91" s="109"/>
      <c r="O91" s="171">
        <f>(O89-C89)/C89</f>
        <v>0.35211267605633806</v>
      </c>
      <c r="P91" s="125"/>
      <c r="Q91" s="109" t="s">
        <v>109</v>
      </c>
      <c r="R91" s="130">
        <v>0</v>
      </c>
      <c r="S91" s="130">
        <v>0</v>
      </c>
      <c r="T91" s="130">
        <v>0</v>
      </c>
      <c r="U91" s="130">
        <v>0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  <c r="AD91" s="130">
        <v>0</v>
      </c>
      <c r="AE91" s="133"/>
      <c r="AF91" s="125"/>
    </row>
    <row r="92" spans="2:32">
      <c r="B92" s="12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09" t="s">
        <v>83</v>
      </c>
      <c r="N92" s="109"/>
      <c r="O92" s="116"/>
      <c r="P92" s="125"/>
      <c r="Q92" s="109" t="s">
        <v>110</v>
      </c>
      <c r="R92" s="130">
        <v>0</v>
      </c>
      <c r="S92" s="130">
        <v>0.01</v>
      </c>
      <c r="T92" s="130">
        <v>0</v>
      </c>
      <c r="U92" s="130">
        <v>0.02</v>
      </c>
      <c r="V92" s="130">
        <v>0.03</v>
      </c>
      <c r="W92" s="130">
        <v>0.66</v>
      </c>
      <c r="X92" s="130">
        <v>0.17</v>
      </c>
      <c r="Y92" s="130">
        <v>0.03</v>
      </c>
      <c r="Z92" s="130">
        <v>0.02</v>
      </c>
      <c r="AA92" s="130">
        <v>0.06</v>
      </c>
      <c r="AB92" s="130">
        <v>0.2</v>
      </c>
      <c r="AC92" s="130">
        <v>0.27</v>
      </c>
      <c r="AD92" s="130">
        <v>0.13</v>
      </c>
      <c r="AE92" s="133"/>
      <c r="AF92" s="125"/>
    </row>
    <row r="93" spans="2:32">
      <c r="B93" s="125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25"/>
      <c r="Q93" s="109" t="s">
        <v>111</v>
      </c>
      <c r="R93" s="130">
        <v>0.65</v>
      </c>
      <c r="S93" s="130">
        <v>0.5</v>
      </c>
      <c r="T93" s="130">
        <v>0.43</v>
      </c>
      <c r="U93" s="130">
        <v>0.46</v>
      </c>
      <c r="V93" s="130">
        <v>0.47</v>
      </c>
      <c r="W93" s="130">
        <v>0.82</v>
      </c>
      <c r="X93" s="130">
        <v>0.6</v>
      </c>
      <c r="Y93" s="130">
        <v>0.94</v>
      </c>
      <c r="Z93" s="130">
        <v>0.7</v>
      </c>
      <c r="AA93" s="130">
        <v>0.49</v>
      </c>
      <c r="AB93" s="130">
        <v>0.89</v>
      </c>
      <c r="AC93" s="130">
        <v>0.68</v>
      </c>
      <c r="AD93" s="130">
        <v>0.52</v>
      </c>
      <c r="AE93" s="133"/>
      <c r="AF93" s="125"/>
    </row>
    <row r="94" spans="2:32">
      <c r="B94" s="12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25"/>
      <c r="Q94" s="109" t="s">
        <v>112</v>
      </c>
      <c r="R94" s="130">
        <v>-0.02</v>
      </c>
      <c r="S94" s="130">
        <v>-0.03</v>
      </c>
      <c r="T94" s="130">
        <v>-0.03</v>
      </c>
      <c r="U94" s="130">
        <v>-0.02</v>
      </c>
      <c r="V94" s="130">
        <v>-0.02</v>
      </c>
      <c r="W94" s="130">
        <v>-0.04</v>
      </c>
      <c r="X94" s="130">
        <v>-0.04</v>
      </c>
      <c r="Y94" s="130">
        <v>-0.05</v>
      </c>
      <c r="Z94" s="130">
        <v>-0.04</v>
      </c>
      <c r="AA94" s="130">
        <v>-0.03</v>
      </c>
      <c r="AB94" s="130">
        <v>-0.03</v>
      </c>
      <c r="AC94" s="130">
        <v>-0.03</v>
      </c>
      <c r="AD94" s="130">
        <v>-0.02</v>
      </c>
      <c r="AE94" s="133"/>
      <c r="AF94" s="125"/>
    </row>
    <row r="95" spans="2:32"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  <c r="Q95" s="109" t="s">
        <v>113</v>
      </c>
      <c r="R95" s="130">
        <v>0.14000000000000001</v>
      </c>
      <c r="S95" s="130">
        <v>0.17</v>
      </c>
      <c r="T95" s="130">
        <v>0.18</v>
      </c>
      <c r="U95" s="130">
        <v>0.24</v>
      </c>
      <c r="V95" s="130">
        <v>0.23</v>
      </c>
      <c r="W95" s="130">
        <v>0.26</v>
      </c>
      <c r="X95" s="130">
        <v>0.17</v>
      </c>
      <c r="Y95" s="130">
        <v>0.38</v>
      </c>
      <c r="Z95" s="130">
        <v>0.31</v>
      </c>
      <c r="AA95" s="130">
        <v>0.14000000000000001</v>
      </c>
      <c r="AB95" s="130">
        <v>0.16</v>
      </c>
      <c r="AC95" s="130">
        <v>0.17</v>
      </c>
      <c r="AD95" s="130">
        <v>0.06</v>
      </c>
      <c r="AE95" s="133"/>
      <c r="AF95" s="125"/>
    </row>
    <row r="96" spans="2:32"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09" t="s">
        <v>114</v>
      </c>
      <c r="R96" s="130">
        <v>-0.08</v>
      </c>
      <c r="S96" s="130">
        <v>-7.0000000000000007E-2</v>
      </c>
      <c r="T96" s="130">
        <v>-7.0000000000000007E-2</v>
      </c>
      <c r="U96" s="130">
        <v>-7.0000000000000007E-2</v>
      </c>
      <c r="V96" s="130">
        <v>-7.0000000000000007E-2</v>
      </c>
      <c r="W96" s="130">
        <v>-0.13</v>
      </c>
      <c r="X96" s="130">
        <v>-0.05</v>
      </c>
      <c r="Y96" s="130">
        <v>-0.1</v>
      </c>
      <c r="Z96" s="130">
        <v>-0.12</v>
      </c>
      <c r="AA96" s="130">
        <v>0.01</v>
      </c>
      <c r="AB96" s="130">
        <v>-0.01</v>
      </c>
      <c r="AC96" s="130">
        <v>-0.04</v>
      </c>
      <c r="AD96" s="130">
        <v>-0.03</v>
      </c>
      <c r="AE96" s="133"/>
      <c r="AF96" s="125"/>
    </row>
    <row r="97" spans="2:32"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09" t="s">
        <v>25</v>
      </c>
      <c r="R97" s="130">
        <v>-0.05</v>
      </c>
      <c r="S97" s="130">
        <v>-0.05</v>
      </c>
      <c r="T97" s="130">
        <v>-0.05</v>
      </c>
      <c r="U97" s="130">
        <v>-0.05</v>
      </c>
      <c r="V97" s="130">
        <v>-0.05</v>
      </c>
      <c r="W97" s="130">
        <v>-0.06</v>
      </c>
      <c r="X97" s="130">
        <v>-0.06</v>
      </c>
      <c r="Y97" s="130">
        <v>-0.08</v>
      </c>
      <c r="Z97" s="130">
        <v>-7.0000000000000007E-2</v>
      </c>
      <c r="AA97" s="130">
        <v>-0.06</v>
      </c>
      <c r="AB97" s="130">
        <v>-0.08</v>
      </c>
      <c r="AC97" s="130">
        <v>-7.0000000000000007E-2</v>
      </c>
      <c r="AD97" s="130">
        <v>-0.06</v>
      </c>
      <c r="AE97" s="133"/>
      <c r="AF97" s="125"/>
    </row>
    <row r="98" spans="2:32">
      <c r="Q98" s="109" t="s">
        <v>115</v>
      </c>
      <c r="R98" s="130">
        <v>2.37</v>
      </c>
      <c r="S98" s="130">
        <v>2.91</v>
      </c>
      <c r="T98" s="130">
        <v>3.22</v>
      </c>
      <c r="U98" s="130">
        <v>2.1800000000000002</v>
      </c>
      <c r="V98" s="130">
        <v>2.42</v>
      </c>
      <c r="W98" s="130">
        <v>2.34</v>
      </c>
      <c r="X98" s="130">
        <v>2.4900000000000002</v>
      </c>
      <c r="Y98" s="130">
        <v>3.07</v>
      </c>
      <c r="Z98" s="130">
        <v>3.19</v>
      </c>
      <c r="AA98" s="130">
        <v>3.25</v>
      </c>
      <c r="AB98" s="130">
        <v>2.56</v>
      </c>
      <c r="AC98" s="130">
        <v>2.4300000000000002</v>
      </c>
      <c r="AD98" s="130">
        <v>2.37</v>
      </c>
      <c r="AE98" s="133"/>
    </row>
    <row r="99" spans="2:32">
      <c r="Q99" s="109" t="s">
        <v>39</v>
      </c>
      <c r="R99" s="130">
        <v>2.15</v>
      </c>
      <c r="S99" s="130">
        <v>2</v>
      </c>
      <c r="T99" s="130">
        <v>1.93</v>
      </c>
      <c r="U99" s="130">
        <v>1.99</v>
      </c>
      <c r="V99" s="130">
        <v>2.14</v>
      </c>
      <c r="W99" s="130">
        <v>2.16</v>
      </c>
      <c r="X99" s="130">
        <v>2.0699999999999998</v>
      </c>
      <c r="Y99" s="130">
        <v>1.85</v>
      </c>
      <c r="Z99" s="130">
        <v>1.36</v>
      </c>
      <c r="AA99" s="130">
        <v>1.46</v>
      </c>
      <c r="AB99" s="130">
        <v>1.41</v>
      </c>
      <c r="AC99" s="130">
        <v>1.56</v>
      </c>
      <c r="AD99" s="130">
        <v>1.53</v>
      </c>
      <c r="AE99" s="133"/>
    </row>
    <row r="100" spans="2:32">
      <c r="Q100" s="109" t="s">
        <v>116</v>
      </c>
      <c r="R100" s="130">
        <v>0.01</v>
      </c>
      <c r="S100" s="130">
        <v>0.01</v>
      </c>
      <c r="T100" s="130">
        <v>0</v>
      </c>
      <c r="U100" s="130">
        <v>0.01</v>
      </c>
      <c r="V100" s="130">
        <v>0.01</v>
      </c>
      <c r="W100" s="130">
        <v>0.01</v>
      </c>
      <c r="X100" s="130">
        <v>0.03</v>
      </c>
      <c r="Y100" s="130">
        <v>0</v>
      </c>
      <c r="Z100" s="130">
        <v>0.03</v>
      </c>
      <c r="AA100" s="130">
        <v>0.03</v>
      </c>
      <c r="AB100" s="130">
        <v>-0.01</v>
      </c>
      <c r="AC100" s="130">
        <v>0</v>
      </c>
      <c r="AD100" s="130">
        <v>0.05</v>
      </c>
      <c r="AE100" s="133"/>
    </row>
    <row r="101" spans="2:32">
      <c r="Q101" s="109" t="s">
        <v>117</v>
      </c>
      <c r="R101" s="130">
        <v>0</v>
      </c>
      <c r="S101" s="130">
        <v>0</v>
      </c>
      <c r="T101" s="130">
        <v>0</v>
      </c>
      <c r="U101" s="130">
        <v>0</v>
      </c>
      <c r="V101" s="130">
        <v>0</v>
      </c>
      <c r="W101" s="130">
        <v>0</v>
      </c>
      <c r="X101" s="130">
        <v>0</v>
      </c>
      <c r="Y101" s="130">
        <v>0</v>
      </c>
      <c r="Z101" s="130">
        <v>0</v>
      </c>
      <c r="AA101" s="130">
        <v>0</v>
      </c>
      <c r="AB101" s="130">
        <v>0</v>
      </c>
      <c r="AC101" s="130">
        <v>0</v>
      </c>
      <c r="AD101" s="130">
        <v>0</v>
      </c>
      <c r="AE101" s="133"/>
    </row>
    <row r="102" spans="2:32">
      <c r="Q102" s="109" t="s">
        <v>118</v>
      </c>
      <c r="R102" s="130">
        <v>54.25</v>
      </c>
      <c r="S102" s="130">
        <v>56.93</v>
      </c>
      <c r="T102" s="130">
        <v>55.93</v>
      </c>
      <c r="U102" s="130">
        <v>54.7</v>
      </c>
      <c r="V102" s="130">
        <v>56.28</v>
      </c>
      <c r="W102" s="130">
        <v>64.87</v>
      </c>
      <c r="X102" s="130">
        <v>66.8</v>
      </c>
      <c r="Y102" s="130">
        <v>67.31</v>
      </c>
      <c r="Z102" s="130">
        <v>58.28</v>
      </c>
      <c r="AA102" s="130">
        <v>62.04</v>
      </c>
      <c r="AB102" s="130">
        <v>49.93</v>
      </c>
      <c r="AC102" s="130">
        <v>51.18</v>
      </c>
      <c r="AD102" s="130">
        <v>62.18</v>
      </c>
    </row>
    <row r="104" spans="2:32">
      <c r="B104" s="106" t="s">
        <v>154</v>
      </c>
      <c r="C104" s="106"/>
      <c r="D104" s="106"/>
      <c r="E104" s="106"/>
      <c r="F104" s="106"/>
      <c r="G104" s="106"/>
      <c r="H104" s="106"/>
      <c r="I104" s="127"/>
    </row>
    <row r="105" spans="2:32">
      <c r="B105" s="108" t="s">
        <v>119</v>
      </c>
      <c r="C105" s="108" t="s">
        <v>218</v>
      </c>
      <c r="D105" s="108" t="s">
        <v>218</v>
      </c>
      <c r="E105" s="108"/>
      <c r="F105" s="108" t="s">
        <v>119</v>
      </c>
      <c r="G105" s="108" t="s">
        <v>206</v>
      </c>
      <c r="H105" s="108" t="s">
        <v>206</v>
      </c>
      <c r="I105" s="109"/>
    </row>
    <row r="106" spans="2:32">
      <c r="B106" s="108" t="s">
        <v>31</v>
      </c>
      <c r="C106" s="108" t="s">
        <v>120</v>
      </c>
      <c r="D106" s="108" t="s">
        <v>121</v>
      </c>
      <c r="E106" s="108"/>
      <c r="F106" s="108" t="s">
        <v>31</v>
      </c>
      <c r="G106" s="108" t="s">
        <v>120</v>
      </c>
      <c r="H106" s="108" t="s">
        <v>121</v>
      </c>
      <c r="I106" s="109"/>
    </row>
    <row r="107" spans="2:32">
      <c r="B107" s="109" t="s">
        <v>219</v>
      </c>
      <c r="C107" s="130"/>
      <c r="D107" s="130"/>
      <c r="E107" s="130"/>
      <c r="F107" s="109" t="s">
        <v>219</v>
      </c>
      <c r="G107" s="109"/>
      <c r="H107" s="109"/>
      <c r="I107" s="109"/>
    </row>
    <row r="108" spans="2:32">
      <c r="B108" s="109" t="s">
        <v>220</v>
      </c>
      <c r="C108" s="130">
        <v>42335554.140000001</v>
      </c>
      <c r="D108" s="130">
        <v>-42335554.140000001</v>
      </c>
      <c r="E108" s="130"/>
      <c r="F108" s="109" t="s">
        <v>220</v>
      </c>
      <c r="G108" s="130">
        <v>29181824.969999999</v>
      </c>
      <c r="H108" s="130">
        <v>-29181824.969999999</v>
      </c>
      <c r="I108" s="130"/>
    </row>
    <row r="109" spans="2:32">
      <c r="B109" s="109" t="s">
        <v>221</v>
      </c>
      <c r="C109" s="130">
        <v>2648004.77</v>
      </c>
      <c r="D109" s="130">
        <v>-2648004.77</v>
      </c>
      <c r="E109" s="130"/>
      <c r="F109" s="109" t="s">
        <v>221</v>
      </c>
      <c r="G109" s="130">
        <v>9000</v>
      </c>
      <c r="H109" s="130">
        <v>-9000</v>
      </c>
      <c r="I109" s="130"/>
    </row>
    <row r="110" spans="2:32">
      <c r="B110" s="109" t="s">
        <v>222</v>
      </c>
      <c r="C110" s="130">
        <v>10484311.050000001</v>
      </c>
      <c r="D110" s="130">
        <v>-10484311.050000001</v>
      </c>
      <c r="E110" s="130"/>
      <c r="F110" s="109" t="s">
        <v>222</v>
      </c>
      <c r="G110" s="130">
        <v>13018145.369999999</v>
      </c>
      <c r="H110" s="130">
        <v>-13018145.369999999</v>
      </c>
      <c r="I110" s="130"/>
    </row>
    <row r="111" spans="2:32">
      <c r="B111" s="109" t="s">
        <v>223</v>
      </c>
      <c r="C111" s="130">
        <v>2280326.2799999998</v>
      </c>
      <c r="D111" s="130">
        <v>-2261420.3199999998</v>
      </c>
      <c r="E111" s="130"/>
      <c r="F111" s="109" t="s">
        <v>223</v>
      </c>
      <c r="G111" s="130">
        <v>729025.8</v>
      </c>
      <c r="H111" s="130">
        <v>-690775.35</v>
      </c>
      <c r="I111" s="130"/>
    </row>
    <row r="112" spans="2:32">
      <c r="B112" s="109" t="s">
        <v>88</v>
      </c>
      <c r="C112" s="130">
        <v>516716.16</v>
      </c>
      <c r="D112" s="130">
        <v>3143941.32</v>
      </c>
      <c r="E112" s="130"/>
      <c r="F112" s="109" t="s">
        <v>228</v>
      </c>
      <c r="G112" s="130" t="s">
        <v>191</v>
      </c>
      <c r="H112" s="130">
        <v>37975.33</v>
      </c>
      <c r="I112" s="130"/>
    </row>
    <row r="113" spans="2:9">
      <c r="B113" s="109" t="s">
        <v>3</v>
      </c>
      <c r="C113" s="130">
        <v>2848400.64</v>
      </c>
      <c r="D113" s="130">
        <v>11986258.34</v>
      </c>
      <c r="E113" s="130"/>
      <c r="F113" s="109" t="s">
        <v>88</v>
      </c>
      <c r="G113" s="130">
        <v>902653.43999999994</v>
      </c>
      <c r="H113" s="130">
        <v>1266554.7</v>
      </c>
      <c r="I113" s="130"/>
    </row>
    <row r="114" spans="2:9">
      <c r="B114" s="109" t="s">
        <v>224</v>
      </c>
      <c r="C114" s="130">
        <v>491371.21</v>
      </c>
      <c r="D114" s="130" t="s">
        <v>191</v>
      </c>
      <c r="E114" s="130"/>
      <c r="F114" s="109" t="s">
        <v>3</v>
      </c>
      <c r="G114" s="130">
        <v>2960031.99</v>
      </c>
      <c r="H114" s="130">
        <v>9025132.3100000005</v>
      </c>
      <c r="I114" s="130"/>
    </row>
    <row r="115" spans="2:9">
      <c r="B115" s="109" t="s">
        <v>136</v>
      </c>
      <c r="C115" s="130">
        <v>3887623.86</v>
      </c>
      <c r="D115" s="130">
        <v>3008407.37</v>
      </c>
      <c r="E115" s="130"/>
      <c r="F115" s="109" t="s">
        <v>224</v>
      </c>
      <c r="G115" s="130">
        <v>430524.82</v>
      </c>
      <c r="H115" s="130" t="s">
        <v>191</v>
      </c>
      <c r="I115" s="130"/>
    </row>
    <row r="116" spans="2:9">
      <c r="B116" s="109" t="s">
        <v>225</v>
      </c>
      <c r="C116" s="130">
        <v>2540455.5</v>
      </c>
      <c r="D116" s="130">
        <v>-2441772.5</v>
      </c>
      <c r="E116" s="130"/>
      <c r="F116" s="109" t="s">
        <v>136</v>
      </c>
      <c r="G116" s="130">
        <v>2677430.54</v>
      </c>
      <c r="H116" s="130">
        <v>3647085.3</v>
      </c>
      <c r="I116" s="130"/>
    </row>
    <row r="117" spans="2:9">
      <c r="B117" s="109" t="s">
        <v>17</v>
      </c>
      <c r="C117" s="130">
        <v>45839888.119999997</v>
      </c>
      <c r="D117" s="130">
        <v>-12131086.609999999</v>
      </c>
      <c r="E117" s="130"/>
      <c r="F117" s="109" t="s">
        <v>225</v>
      </c>
      <c r="G117" s="130">
        <v>2113803.5</v>
      </c>
      <c r="H117" s="130">
        <v>-1972611.5</v>
      </c>
      <c r="I117" s="130"/>
    </row>
    <row r="118" spans="2:9">
      <c r="B118" s="109" t="s">
        <v>226</v>
      </c>
      <c r="C118" s="130">
        <v>1502752.28</v>
      </c>
      <c r="D118" s="130">
        <v>-1502752.28</v>
      </c>
      <c r="E118" s="130"/>
      <c r="F118" s="109" t="s">
        <v>17</v>
      </c>
      <c r="G118" s="130">
        <v>65879890.700000003</v>
      </c>
      <c r="H118" s="130">
        <v>-10342893.82</v>
      </c>
      <c r="I118" s="130"/>
    </row>
    <row r="119" spans="2:9">
      <c r="B119" s="109" t="s">
        <v>227</v>
      </c>
      <c r="C119" s="130">
        <v>1489631.74</v>
      </c>
      <c r="D119" s="130">
        <v>-919006.83</v>
      </c>
      <c r="E119" s="130"/>
      <c r="F119" s="109" t="s">
        <v>226</v>
      </c>
      <c r="G119" s="130">
        <v>2233637.02</v>
      </c>
      <c r="H119" s="130">
        <v>-2233637.02</v>
      </c>
      <c r="I119" s="130"/>
    </row>
    <row r="120" spans="2:9">
      <c r="B120" s="109" t="s">
        <v>114</v>
      </c>
      <c r="C120" s="130">
        <v>560437.93000000005</v>
      </c>
      <c r="D120" s="130">
        <v>556883.28</v>
      </c>
      <c r="E120" s="130"/>
      <c r="F120" s="109" t="s">
        <v>227</v>
      </c>
      <c r="G120" s="130">
        <v>854954.3</v>
      </c>
      <c r="H120" s="130">
        <v>-219932.54</v>
      </c>
      <c r="I120" s="130"/>
    </row>
    <row r="121" spans="2:9">
      <c r="B121" s="109" t="s">
        <v>25</v>
      </c>
      <c r="C121" s="130">
        <v>1131382.1100000001</v>
      </c>
      <c r="D121" s="130" t="s">
        <v>191</v>
      </c>
      <c r="E121" s="130"/>
      <c r="F121" s="109" t="s">
        <v>114</v>
      </c>
      <c r="G121" s="130">
        <v>444104.47</v>
      </c>
      <c r="H121" s="130">
        <v>1605931.19</v>
      </c>
      <c r="I121" s="130"/>
    </row>
    <row r="122" spans="2:9">
      <c r="B122" s="109"/>
      <c r="C122" s="130"/>
      <c r="D122" s="130"/>
      <c r="E122" s="130"/>
      <c r="F122" s="109" t="s">
        <v>25</v>
      </c>
      <c r="G122" s="130">
        <v>1099508.3</v>
      </c>
      <c r="H122" s="130" t="s">
        <v>191</v>
      </c>
      <c r="I122" s="130"/>
    </row>
    <row r="123" spans="2:9">
      <c r="B123" s="111"/>
      <c r="C123" s="138"/>
      <c r="D123" s="111"/>
      <c r="E123" s="111"/>
      <c r="F123" s="111"/>
      <c r="G123" s="111"/>
      <c r="H123" s="111"/>
      <c r="I123" s="130"/>
    </row>
    <row r="124" spans="2:9">
      <c r="B124" s="109"/>
      <c r="C124" s="130"/>
      <c r="D124" s="130"/>
      <c r="E124" s="130"/>
      <c r="F124" s="109"/>
      <c r="G124" s="130"/>
      <c r="H124" s="130"/>
      <c r="I124" s="130"/>
    </row>
    <row r="125" spans="2:9" ht="12.75" customHeight="1">
      <c r="B125" s="165"/>
      <c r="C125" s="166"/>
      <c r="D125" s="166"/>
      <c r="E125" s="166"/>
      <c r="F125" s="167"/>
      <c r="G125" s="166"/>
      <c r="H125" s="166"/>
      <c r="I125" s="166"/>
    </row>
    <row r="126" spans="2:9">
      <c r="B126" s="139"/>
      <c r="C126" s="139"/>
      <c r="D126" s="139"/>
    </row>
    <row r="127" spans="2:9">
      <c r="B127" s="108"/>
      <c r="C127" s="140">
        <v>2018</v>
      </c>
      <c r="D127" s="140">
        <v>2017</v>
      </c>
    </row>
    <row r="128" spans="2:9">
      <c r="B128" s="108"/>
      <c r="C128" s="108" t="s">
        <v>232</v>
      </c>
      <c r="D128" s="108" t="s">
        <v>232</v>
      </c>
    </row>
    <row r="129" spans="2:16">
      <c r="B129" s="141" t="s">
        <v>230</v>
      </c>
      <c r="C129" s="130">
        <v>1097.7547</v>
      </c>
      <c r="D129" s="130">
        <v>1038.6560999999999</v>
      </c>
    </row>
    <row r="130" spans="2:16">
      <c r="B130" s="141" t="s">
        <v>136</v>
      </c>
      <c r="C130" s="130">
        <v>196.769023</v>
      </c>
      <c r="D130" s="130">
        <v>191.90902500000001</v>
      </c>
    </row>
    <row r="131" spans="2:16">
      <c r="B131" s="141" t="s">
        <v>3</v>
      </c>
      <c r="C131" s="130">
        <v>310.27690000000001</v>
      </c>
      <c r="D131" s="130">
        <v>315.96159999999998</v>
      </c>
    </row>
    <row r="132" spans="2:16">
      <c r="B132" s="141" t="s">
        <v>137</v>
      </c>
      <c r="C132" s="130">
        <v>71.840599999999995</v>
      </c>
      <c r="D132" s="130">
        <v>65.169399999999996</v>
      </c>
    </row>
    <row r="133" spans="2:16">
      <c r="B133" s="142" t="s">
        <v>231</v>
      </c>
      <c r="C133" s="143">
        <v>59.979900000000001</v>
      </c>
      <c r="D133" s="143">
        <v>29.116199999999999</v>
      </c>
    </row>
    <row r="135" spans="2:16">
      <c r="B135" s="106" t="s">
        <v>147</v>
      </c>
    </row>
    <row r="136" spans="2:16">
      <c r="B136" s="140"/>
      <c r="C136" s="140" t="s">
        <v>31</v>
      </c>
      <c r="D136" s="140" t="s">
        <v>122</v>
      </c>
      <c r="E136" s="140" t="s">
        <v>122</v>
      </c>
      <c r="F136" s="140" t="s">
        <v>122</v>
      </c>
      <c r="G136" s="140" t="s">
        <v>122</v>
      </c>
      <c r="H136" s="140" t="s">
        <v>122</v>
      </c>
      <c r="I136" s="140" t="s">
        <v>122</v>
      </c>
      <c r="J136" s="140" t="s">
        <v>122</v>
      </c>
      <c r="K136" s="140" t="s">
        <v>122</v>
      </c>
      <c r="L136" s="140" t="s">
        <v>122</v>
      </c>
      <c r="M136" s="140" t="s">
        <v>122</v>
      </c>
      <c r="N136" s="140" t="s">
        <v>122</v>
      </c>
      <c r="O136" s="140" t="s">
        <v>122</v>
      </c>
      <c r="P136" s="106" t="s">
        <v>122</v>
      </c>
    </row>
    <row r="137" spans="2:16">
      <c r="B137" s="140"/>
      <c r="C137" s="140" t="s">
        <v>119</v>
      </c>
      <c r="D137" s="140" t="s">
        <v>206</v>
      </c>
      <c r="E137" s="140" t="s">
        <v>207</v>
      </c>
      <c r="F137" s="140" t="s">
        <v>208</v>
      </c>
      <c r="G137" s="140" t="s">
        <v>209</v>
      </c>
      <c r="H137" s="140" t="s">
        <v>210</v>
      </c>
      <c r="I137" s="140" t="s">
        <v>211</v>
      </c>
      <c r="J137" s="140" t="s">
        <v>212</v>
      </c>
      <c r="K137" s="140" t="s">
        <v>213</v>
      </c>
      <c r="L137" s="140" t="s">
        <v>214</v>
      </c>
      <c r="M137" s="140" t="s">
        <v>215</v>
      </c>
      <c r="N137" s="140" t="s">
        <v>216</v>
      </c>
      <c r="O137" s="140" t="s">
        <v>217</v>
      </c>
      <c r="P137" s="140" t="s">
        <v>218</v>
      </c>
    </row>
    <row r="138" spans="2:16">
      <c r="B138" s="140" t="s">
        <v>123</v>
      </c>
      <c r="C138" s="140" t="s">
        <v>124</v>
      </c>
      <c r="D138" s="140" t="s">
        <v>7</v>
      </c>
      <c r="E138" s="140" t="s">
        <v>9</v>
      </c>
      <c r="F138" s="140" t="s">
        <v>9</v>
      </c>
      <c r="G138" s="140" t="s">
        <v>8</v>
      </c>
      <c r="H138" s="140" t="s">
        <v>10</v>
      </c>
      <c r="I138" s="140" t="s">
        <v>11</v>
      </c>
      <c r="J138" s="140" t="s">
        <v>12</v>
      </c>
      <c r="K138" s="140" t="s">
        <v>13</v>
      </c>
      <c r="L138" s="140" t="s">
        <v>5</v>
      </c>
      <c r="M138" s="140" t="s">
        <v>6</v>
      </c>
      <c r="N138" s="140" t="s">
        <v>7</v>
      </c>
      <c r="O138" s="140" t="s">
        <v>8</v>
      </c>
      <c r="P138" s="140" t="s">
        <v>7</v>
      </c>
    </row>
    <row r="139" spans="2:16">
      <c r="B139" s="109" t="s">
        <v>157</v>
      </c>
      <c r="C139" s="109" t="s">
        <v>22</v>
      </c>
      <c r="D139" s="130">
        <v>538</v>
      </c>
      <c r="E139" s="130">
        <v>240</v>
      </c>
      <c r="F139" s="130">
        <v>245</v>
      </c>
      <c r="G139" s="130">
        <v>714.3</v>
      </c>
      <c r="H139" s="130">
        <v>1903.2</v>
      </c>
      <c r="I139" s="130">
        <v>1865.1</v>
      </c>
      <c r="J139" s="130">
        <v>1458.4</v>
      </c>
      <c r="K139" s="130">
        <v>237.7</v>
      </c>
      <c r="L139" s="130">
        <v>0</v>
      </c>
      <c r="M139" s="130">
        <v>0</v>
      </c>
      <c r="N139" s="130">
        <v>790</v>
      </c>
      <c r="O139" s="130">
        <v>0</v>
      </c>
      <c r="P139" s="130">
        <v>6699</v>
      </c>
    </row>
    <row r="140" spans="2:16">
      <c r="B140" s="109" t="s">
        <v>157</v>
      </c>
      <c r="C140" s="109" t="s">
        <v>233</v>
      </c>
      <c r="D140" s="130">
        <v>384999.4</v>
      </c>
      <c r="E140" s="130">
        <v>176734.4</v>
      </c>
      <c r="F140" s="130">
        <v>221645.5</v>
      </c>
      <c r="G140" s="130">
        <v>424631</v>
      </c>
      <c r="H140" s="130">
        <v>419522.2</v>
      </c>
      <c r="I140" s="130">
        <v>195163.5</v>
      </c>
      <c r="J140" s="130">
        <v>99779.8</v>
      </c>
      <c r="K140" s="130">
        <v>195559</v>
      </c>
      <c r="L140" s="130">
        <v>323414.2</v>
      </c>
      <c r="M140" s="130">
        <v>176086.6</v>
      </c>
      <c r="N140" s="130">
        <v>469679.3</v>
      </c>
      <c r="O140" s="130">
        <v>637382</v>
      </c>
      <c r="P140" s="130">
        <v>356322</v>
      </c>
    </row>
    <row r="141" spans="2:16">
      <c r="B141" s="109" t="s">
        <v>157</v>
      </c>
      <c r="C141" s="109" t="s">
        <v>26</v>
      </c>
      <c r="D141" s="130">
        <v>642959.4</v>
      </c>
      <c r="E141" s="130">
        <v>535700.19999999995</v>
      </c>
      <c r="F141" s="130">
        <v>612390.30000000005</v>
      </c>
      <c r="G141" s="130">
        <v>842008.2</v>
      </c>
      <c r="H141" s="130">
        <v>659557.1</v>
      </c>
      <c r="I141" s="130">
        <v>613794.4</v>
      </c>
      <c r="J141" s="130">
        <v>428275.6</v>
      </c>
      <c r="K141" s="130">
        <v>499810.1</v>
      </c>
      <c r="L141" s="130">
        <v>535924.4</v>
      </c>
      <c r="M141" s="130">
        <v>587965.4</v>
      </c>
      <c r="N141" s="130">
        <v>766935.8</v>
      </c>
      <c r="O141" s="130">
        <v>653437.19999999995</v>
      </c>
      <c r="P141" s="130">
        <v>688216.9</v>
      </c>
    </row>
    <row r="142" spans="2:16">
      <c r="B142" s="109" t="s">
        <v>157</v>
      </c>
      <c r="C142" s="109" t="s">
        <v>234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v>0</v>
      </c>
      <c r="J142" s="130">
        <v>0</v>
      </c>
      <c r="K142" s="130">
        <v>0</v>
      </c>
      <c r="L142" s="130">
        <v>0</v>
      </c>
      <c r="M142" s="130">
        <v>0</v>
      </c>
      <c r="N142" s="130">
        <v>1096.8</v>
      </c>
      <c r="O142" s="130">
        <v>0</v>
      </c>
      <c r="P142" s="130">
        <v>0</v>
      </c>
    </row>
    <row r="143" spans="2:16">
      <c r="B143" s="109" t="s">
        <v>157</v>
      </c>
      <c r="C143" s="109" t="s">
        <v>235</v>
      </c>
      <c r="D143" s="130">
        <v>0</v>
      </c>
      <c r="E143" s="130">
        <v>0</v>
      </c>
      <c r="F143" s="130">
        <v>1709.9</v>
      </c>
      <c r="G143" s="130">
        <v>227.4</v>
      </c>
      <c r="H143" s="130">
        <v>2247.5</v>
      </c>
      <c r="I143" s="130">
        <v>2877.8</v>
      </c>
      <c r="J143" s="130">
        <v>370</v>
      </c>
      <c r="K143" s="130">
        <v>0</v>
      </c>
      <c r="L143" s="130">
        <v>0</v>
      </c>
      <c r="M143" s="130">
        <v>0</v>
      </c>
      <c r="N143" s="130">
        <v>0</v>
      </c>
      <c r="O143" s="130">
        <v>1000</v>
      </c>
      <c r="P143" s="130">
        <v>5321</v>
      </c>
    </row>
    <row r="144" spans="2:16">
      <c r="B144" s="109" t="s">
        <v>157</v>
      </c>
      <c r="C144" s="109" t="s">
        <v>0</v>
      </c>
      <c r="D144" s="130">
        <v>1028496.8</v>
      </c>
      <c r="E144" s="130">
        <v>712674.6</v>
      </c>
      <c r="F144" s="130">
        <v>835990.7</v>
      </c>
      <c r="G144" s="130">
        <v>1267580.8999999999</v>
      </c>
      <c r="H144" s="130">
        <v>1083230</v>
      </c>
      <c r="I144" s="130">
        <v>813700.8</v>
      </c>
      <c r="J144" s="130">
        <v>529883.80000000005</v>
      </c>
      <c r="K144" s="130">
        <v>695606.8</v>
      </c>
      <c r="L144" s="130">
        <v>859338.6</v>
      </c>
      <c r="M144" s="130">
        <v>764052</v>
      </c>
      <c r="N144" s="130">
        <v>1238501.8999999999</v>
      </c>
      <c r="O144" s="130">
        <v>1291819.2</v>
      </c>
      <c r="P144" s="130">
        <v>1056558.8999999999</v>
      </c>
    </row>
    <row r="145" spans="2:16">
      <c r="B145" s="109" t="s">
        <v>158</v>
      </c>
      <c r="C145" s="109" t="s">
        <v>22</v>
      </c>
      <c r="D145" s="130">
        <v>0</v>
      </c>
      <c r="E145" s="130">
        <v>70</v>
      </c>
      <c r="F145" s="130">
        <v>36</v>
      </c>
      <c r="G145" s="130">
        <v>0</v>
      </c>
      <c r="H145" s="130">
        <v>4762.5</v>
      </c>
      <c r="I145" s="130">
        <v>54.3</v>
      </c>
      <c r="J145" s="130">
        <v>428.4</v>
      </c>
      <c r="K145" s="130">
        <v>0</v>
      </c>
      <c r="L145" s="130">
        <v>0</v>
      </c>
      <c r="M145" s="130">
        <v>563.70000000000005</v>
      </c>
      <c r="N145" s="130">
        <v>0</v>
      </c>
      <c r="O145" s="130">
        <v>637</v>
      </c>
      <c r="P145" s="130">
        <v>1645.3</v>
      </c>
    </row>
    <row r="146" spans="2:16">
      <c r="B146" s="109" t="s">
        <v>158</v>
      </c>
      <c r="C146" s="109" t="s">
        <v>236</v>
      </c>
      <c r="D146" s="130">
        <v>0</v>
      </c>
      <c r="E146" s="130">
        <v>0</v>
      </c>
      <c r="F146" s="130">
        <v>2822.9</v>
      </c>
      <c r="G146" s="130">
        <v>5090.1000000000004</v>
      </c>
      <c r="H146" s="130">
        <v>0</v>
      </c>
      <c r="I146" s="130">
        <v>0</v>
      </c>
      <c r="J146" s="130">
        <v>0</v>
      </c>
      <c r="K146" s="130">
        <v>0</v>
      </c>
      <c r="L146" s="130">
        <v>0</v>
      </c>
      <c r="M146" s="130">
        <v>0</v>
      </c>
      <c r="N146" s="130">
        <v>200</v>
      </c>
      <c r="O146" s="130">
        <v>3504.5</v>
      </c>
      <c r="P146" s="130">
        <v>11565.1</v>
      </c>
    </row>
    <row r="147" spans="2:16">
      <c r="B147" s="109" t="s">
        <v>158</v>
      </c>
      <c r="C147" s="109" t="s">
        <v>233</v>
      </c>
      <c r="D147" s="130">
        <v>6575</v>
      </c>
      <c r="E147" s="130">
        <v>8771</v>
      </c>
      <c r="F147" s="130">
        <v>66423</v>
      </c>
      <c r="G147" s="130">
        <v>75870.399999999994</v>
      </c>
      <c r="H147" s="130">
        <v>802.5</v>
      </c>
      <c r="I147" s="130">
        <v>7913</v>
      </c>
      <c r="J147" s="130">
        <v>9798</v>
      </c>
      <c r="K147" s="130">
        <v>40570</v>
      </c>
      <c r="L147" s="130">
        <v>0</v>
      </c>
      <c r="M147" s="130">
        <v>0</v>
      </c>
      <c r="N147" s="130">
        <v>0</v>
      </c>
      <c r="O147" s="130">
        <v>0</v>
      </c>
      <c r="P147" s="130">
        <v>0</v>
      </c>
    </row>
    <row r="148" spans="2:16">
      <c r="B148" s="109" t="s">
        <v>158</v>
      </c>
      <c r="C148" s="109" t="s">
        <v>26</v>
      </c>
      <c r="D148" s="130">
        <v>0</v>
      </c>
      <c r="E148" s="130">
        <v>12552</v>
      </c>
      <c r="F148" s="130">
        <v>75034.899999999994</v>
      </c>
      <c r="G148" s="130">
        <v>123130.8</v>
      </c>
      <c r="H148" s="130">
        <v>67762.600000000006</v>
      </c>
      <c r="I148" s="130">
        <v>45184</v>
      </c>
      <c r="J148" s="130">
        <v>18106.5</v>
      </c>
      <c r="K148" s="130">
        <v>3247</v>
      </c>
      <c r="L148" s="130">
        <v>1230</v>
      </c>
      <c r="M148" s="130">
        <v>16736</v>
      </c>
      <c r="N148" s="130">
        <v>0</v>
      </c>
      <c r="O148" s="130">
        <v>0</v>
      </c>
      <c r="P148" s="130">
        <v>27663.3</v>
      </c>
    </row>
    <row r="149" spans="2:16">
      <c r="B149" s="109" t="s">
        <v>158</v>
      </c>
      <c r="C149" s="109" t="s">
        <v>237</v>
      </c>
      <c r="D149" s="130">
        <v>2859</v>
      </c>
      <c r="E149" s="130">
        <v>1652.9</v>
      </c>
      <c r="F149" s="130">
        <v>19943.3</v>
      </c>
      <c r="G149" s="130">
        <v>1278.3</v>
      </c>
      <c r="H149" s="130">
        <v>9561.7000000000007</v>
      </c>
      <c r="I149" s="130">
        <v>2732.2</v>
      </c>
      <c r="J149" s="130">
        <v>568.29999999999995</v>
      </c>
      <c r="K149" s="130">
        <v>1377.6</v>
      </c>
      <c r="L149" s="130">
        <v>0</v>
      </c>
      <c r="M149" s="130">
        <v>1262.8</v>
      </c>
      <c r="N149" s="130">
        <v>2064.3000000000002</v>
      </c>
      <c r="O149" s="130">
        <v>855.2</v>
      </c>
      <c r="P149" s="130">
        <v>18.7</v>
      </c>
    </row>
    <row r="150" spans="2:16">
      <c r="B150" s="109" t="s">
        <v>158</v>
      </c>
      <c r="C150" s="109" t="s">
        <v>238</v>
      </c>
      <c r="D150" s="130">
        <v>0</v>
      </c>
      <c r="E150" s="130">
        <v>0</v>
      </c>
      <c r="F150" s="130">
        <v>1820.4</v>
      </c>
      <c r="G150" s="130">
        <v>0</v>
      </c>
      <c r="H150" s="130">
        <v>0</v>
      </c>
      <c r="I150" s="130">
        <v>0</v>
      </c>
      <c r="J150" s="130">
        <v>0</v>
      </c>
      <c r="K150" s="130">
        <v>0</v>
      </c>
      <c r="L150" s="130">
        <v>0</v>
      </c>
      <c r="M150" s="130">
        <v>25.9</v>
      </c>
      <c r="N150" s="130">
        <v>0</v>
      </c>
      <c r="O150" s="130">
        <v>0</v>
      </c>
      <c r="P150" s="130">
        <v>8</v>
      </c>
    </row>
    <row r="151" spans="2:16">
      <c r="B151" s="109" t="s">
        <v>158</v>
      </c>
      <c r="C151" s="109" t="s">
        <v>239</v>
      </c>
      <c r="D151" s="130">
        <v>725.3</v>
      </c>
      <c r="E151" s="130">
        <v>608.70000000000005</v>
      </c>
      <c r="F151" s="130">
        <v>0</v>
      </c>
      <c r="G151" s="130">
        <v>0</v>
      </c>
      <c r="H151" s="130">
        <v>0</v>
      </c>
      <c r="I151" s="130">
        <v>784</v>
      </c>
      <c r="J151" s="130">
        <v>944</v>
      </c>
      <c r="K151" s="130">
        <v>0</v>
      </c>
      <c r="L151" s="130">
        <v>0</v>
      </c>
      <c r="M151" s="130">
        <v>0.7</v>
      </c>
      <c r="N151" s="130">
        <v>0</v>
      </c>
      <c r="O151" s="130">
        <v>0</v>
      </c>
      <c r="P151" s="130">
        <v>221.4</v>
      </c>
    </row>
    <row r="152" spans="2:16">
      <c r="B152" s="109" t="s">
        <v>158</v>
      </c>
      <c r="C152" s="109" t="s">
        <v>240</v>
      </c>
      <c r="D152" s="130">
        <v>0</v>
      </c>
      <c r="E152" s="130">
        <v>0</v>
      </c>
      <c r="F152" s="130">
        <v>910.1</v>
      </c>
      <c r="G152" s="130">
        <v>0</v>
      </c>
      <c r="H152" s="130">
        <v>0</v>
      </c>
      <c r="I152" s="130">
        <v>0</v>
      </c>
      <c r="J152" s="130">
        <v>0</v>
      </c>
      <c r="K152" s="130">
        <v>0</v>
      </c>
      <c r="L152" s="130">
        <v>0</v>
      </c>
      <c r="M152" s="130">
        <v>0</v>
      </c>
      <c r="N152" s="130">
        <v>0</v>
      </c>
      <c r="O152" s="130">
        <v>0</v>
      </c>
      <c r="P152" s="130">
        <v>74</v>
      </c>
    </row>
    <row r="153" spans="2:16">
      <c r="B153" s="109" t="s">
        <v>158</v>
      </c>
      <c r="C153" s="109" t="s">
        <v>234</v>
      </c>
      <c r="D153" s="130">
        <v>0</v>
      </c>
      <c r="E153" s="130">
        <v>0</v>
      </c>
      <c r="F153" s="130">
        <v>0</v>
      </c>
      <c r="G153" s="130">
        <v>288.39999999999998</v>
      </c>
      <c r="H153" s="130">
        <v>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v>0</v>
      </c>
      <c r="O153" s="130">
        <v>0</v>
      </c>
      <c r="P153" s="130">
        <v>0</v>
      </c>
    </row>
    <row r="154" spans="2:16">
      <c r="B154" s="109" t="s">
        <v>158</v>
      </c>
      <c r="C154" s="109" t="s">
        <v>0</v>
      </c>
      <c r="D154" s="130">
        <v>10159.299999999999</v>
      </c>
      <c r="E154" s="130">
        <v>23654.6</v>
      </c>
      <c r="F154" s="130">
        <v>166990.6</v>
      </c>
      <c r="G154" s="130">
        <v>205658</v>
      </c>
      <c r="H154" s="130">
        <v>82889.3</v>
      </c>
      <c r="I154" s="130">
        <v>56667.5</v>
      </c>
      <c r="J154" s="130">
        <v>29845.200000000001</v>
      </c>
      <c r="K154" s="130">
        <v>45194.6</v>
      </c>
      <c r="L154" s="130">
        <v>1230</v>
      </c>
      <c r="M154" s="130">
        <v>18589.099999999999</v>
      </c>
      <c r="N154" s="130">
        <v>2264.3000000000002</v>
      </c>
      <c r="O154" s="130">
        <v>4996.7</v>
      </c>
      <c r="P154" s="130">
        <v>41195.800000000003</v>
      </c>
    </row>
    <row r="155" spans="2:16">
      <c r="B155" s="109"/>
      <c r="C155" s="109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</row>
    <row r="156" spans="2:16">
      <c r="B156" s="109"/>
      <c r="C156" s="109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</row>
    <row r="157" spans="2:16">
      <c r="B157" s="109"/>
      <c r="C157" s="109"/>
      <c r="D157" s="130">
        <v>73.815872961400004</v>
      </c>
      <c r="E157" s="130">
        <v>69.048564800799994</v>
      </c>
      <c r="F157" s="130">
        <v>78.254490438700003</v>
      </c>
      <c r="G157" s="130">
        <v>77.994650132399997</v>
      </c>
      <c r="H157" s="130">
        <v>76.517602623599998</v>
      </c>
      <c r="I157" s="130">
        <v>81.795735348899996</v>
      </c>
      <c r="J157" s="130">
        <v>84.904646773500005</v>
      </c>
      <c r="K157" s="130">
        <v>84.624577850600005</v>
      </c>
      <c r="L157" s="130">
        <v>74.514763412199997</v>
      </c>
      <c r="M157" s="130">
        <v>78.626601016699993</v>
      </c>
      <c r="N157" s="130">
        <v>93.5007353158</v>
      </c>
      <c r="O157" s="130">
        <v>83.062835728099998</v>
      </c>
      <c r="P157" s="130">
        <v>92.308901434600003</v>
      </c>
    </row>
    <row r="158" spans="2:16">
      <c r="B158" s="111"/>
      <c r="C158" s="111"/>
      <c r="D158" s="143">
        <v>47.541595385500003</v>
      </c>
      <c r="E158" s="143">
        <v>55.270262020899999</v>
      </c>
      <c r="F158" s="143">
        <v>48.6004134963</v>
      </c>
      <c r="G158" s="143">
        <v>49.077318314899998</v>
      </c>
      <c r="H158" s="143">
        <v>48.041428748900003</v>
      </c>
      <c r="I158" s="143">
        <v>55.133704327899999</v>
      </c>
      <c r="J158" s="143">
        <v>59.679777987800001</v>
      </c>
      <c r="K158" s="143">
        <v>74.139002447199999</v>
      </c>
      <c r="L158" s="143">
        <v>62.761666666700002</v>
      </c>
      <c r="M158" s="143">
        <v>56.593756556300001</v>
      </c>
      <c r="N158" s="143">
        <v>51.773647484900003</v>
      </c>
      <c r="O158" s="143">
        <v>52.901807192699998</v>
      </c>
      <c r="P158" s="143">
        <v>52.979316580800003</v>
      </c>
    </row>
    <row r="159" spans="2:16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</row>
    <row r="160" spans="2:16">
      <c r="B160" s="114"/>
      <c r="C160" s="109"/>
      <c r="D160" s="109"/>
      <c r="E160" s="109" t="s">
        <v>85</v>
      </c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</row>
    <row r="161" spans="2:16">
      <c r="B161" s="114"/>
      <c r="C161" s="109" t="s">
        <v>77</v>
      </c>
      <c r="D161" s="109"/>
      <c r="E161" s="171">
        <f>(P144-D144)/D144</f>
        <v>2.7284576869854974E-2</v>
      </c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</row>
    <row r="162" spans="2:16">
      <c r="B162" s="114"/>
      <c r="C162" s="109" t="s">
        <v>78</v>
      </c>
      <c r="D162" s="109"/>
      <c r="E162" s="171">
        <f>(P154-D154)/D154</f>
        <v>3.0549841032354599</v>
      </c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</row>
    <row r="163" spans="2:16">
      <c r="B163" s="114"/>
      <c r="C163" s="109" t="s">
        <v>79</v>
      </c>
      <c r="D163" s="109"/>
      <c r="E163" s="171">
        <f>((P144+ABS(P154))-(D144+ABS(D154)))/(D144+ABS(D154))</f>
        <v>5.689910259998459E-2</v>
      </c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</row>
    <row r="164" spans="2:16">
      <c r="B164" s="114"/>
      <c r="C164" s="109" t="s">
        <v>80</v>
      </c>
      <c r="D164" s="109"/>
      <c r="E164" s="171">
        <f>(P157-D157)/D157</f>
        <v>0.25052915763619599</v>
      </c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</row>
    <row r="165" spans="2:16">
      <c r="B165" s="114"/>
      <c r="C165" s="109" t="s">
        <v>81</v>
      </c>
      <c r="D165" s="109"/>
      <c r="E165" s="171">
        <f>(P158-D158)/D158</f>
        <v>0.11437818085840853</v>
      </c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</row>
  </sheetData>
  <mergeCells count="16">
    <mergeCell ref="G60:G61"/>
    <mergeCell ref="H60:H61"/>
    <mergeCell ref="I60:I61"/>
    <mergeCell ref="J60:J61"/>
    <mergeCell ref="C60:C61"/>
    <mergeCell ref="D60:D61"/>
    <mergeCell ref="E60:E61"/>
    <mergeCell ref="F60:F61"/>
    <mergeCell ref="G43:G44"/>
    <mergeCell ref="H43:H44"/>
    <mergeCell ref="I43:I44"/>
    <mergeCell ref="J43:J44"/>
    <mergeCell ref="C43:C44"/>
    <mergeCell ref="D43:D44"/>
    <mergeCell ref="E43:E44"/>
    <mergeCell ref="F43:F4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T179"/>
  <sheetViews>
    <sheetView showGridLines="0" showRowColHeaders="0" workbookViewId="0"/>
  </sheetViews>
  <sheetFormatPr baseColWidth="10" defaultRowHeight="12.75"/>
  <cols>
    <col min="1" max="1" width="11.42578125" style="107"/>
    <col min="2" max="2" width="23.42578125" style="107" bestFit="1" customWidth="1"/>
    <col min="3" max="3" width="19.28515625" style="107" bestFit="1" customWidth="1"/>
    <col min="4" max="16384" width="11.42578125" style="107"/>
  </cols>
  <sheetData>
    <row r="2" spans="2:15">
      <c r="B2" s="106" t="s">
        <v>148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2:15">
      <c r="B3" s="108" t="s">
        <v>7</v>
      </c>
      <c r="C3" s="108" t="s">
        <v>9</v>
      </c>
      <c r="D3" s="108" t="s">
        <v>9</v>
      </c>
      <c r="E3" s="108" t="s">
        <v>8</v>
      </c>
      <c r="F3" s="108" t="s">
        <v>10</v>
      </c>
      <c r="G3" s="108" t="s">
        <v>11</v>
      </c>
      <c r="H3" s="108" t="s">
        <v>12</v>
      </c>
      <c r="I3" s="108" t="s">
        <v>13</v>
      </c>
      <c r="J3" s="108" t="s">
        <v>5</v>
      </c>
      <c r="K3" s="108" t="s">
        <v>6</v>
      </c>
      <c r="L3" s="108" t="s">
        <v>7</v>
      </c>
      <c r="M3" s="108" t="s">
        <v>8</v>
      </c>
      <c r="N3" s="108" t="s">
        <v>7</v>
      </c>
      <c r="O3" s="108"/>
    </row>
    <row r="4" spans="2:15">
      <c r="B4" s="106" t="s">
        <v>119</v>
      </c>
      <c r="C4" s="106" t="s">
        <v>206</v>
      </c>
      <c r="D4" s="106" t="s">
        <v>207</v>
      </c>
      <c r="E4" s="106" t="s">
        <v>208</v>
      </c>
      <c r="F4" s="106" t="s">
        <v>209</v>
      </c>
      <c r="G4" s="106" t="s">
        <v>210</v>
      </c>
      <c r="H4" s="106" t="s">
        <v>211</v>
      </c>
      <c r="I4" s="106" t="s">
        <v>212</v>
      </c>
      <c r="J4" s="106" t="s">
        <v>213</v>
      </c>
      <c r="K4" s="106" t="s">
        <v>214</v>
      </c>
      <c r="L4" s="106" t="s">
        <v>215</v>
      </c>
      <c r="M4" s="106" t="s">
        <v>216</v>
      </c>
      <c r="N4" s="106" t="s">
        <v>217</v>
      </c>
      <c r="O4" s="106" t="s">
        <v>218</v>
      </c>
    </row>
    <row r="5" spans="2:15">
      <c r="B5" s="108" t="s">
        <v>31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2:15">
      <c r="B6" s="109" t="s">
        <v>125</v>
      </c>
      <c r="C6" s="110">
        <v>657.63440860219998</v>
      </c>
      <c r="D6" s="110">
        <v>680.75416666670003</v>
      </c>
      <c r="E6" s="110">
        <v>681.72177419349998</v>
      </c>
      <c r="F6" s="110">
        <v>685.08333333329995</v>
      </c>
      <c r="G6" s="110">
        <v>666.50138888890001</v>
      </c>
      <c r="H6" s="110">
        <v>686.99597315439996</v>
      </c>
      <c r="I6" s="110">
        <v>674.33472222219996</v>
      </c>
      <c r="J6" s="110">
        <v>695.75403225809998</v>
      </c>
      <c r="K6" s="110">
        <v>703.82795698919995</v>
      </c>
      <c r="L6" s="110">
        <v>654.95089285710003</v>
      </c>
      <c r="M6" s="110">
        <v>647.68775235529995</v>
      </c>
      <c r="N6" s="110">
        <v>622.90138888889999</v>
      </c>
      <c r="O6" s="110">
        <v>591.48118279569997</v>
      </c>
    </row>
    <row r="7" spans="2:15">
      <c r="B7" s="109" t="s">
        <v>126</v>
      </c>
      <c r="C7" s="110">
        <v>508.80510752689997</v>
      </c>
      <c r="D7" s="110">
        <v>519.46388888889999</v>
      </c>
      <c r="E7" s="110">
        <v>510.7446236559</v>
      </c>
      <c r="F7" s="110">
        <v>512.12365591399998</v>
      </c>
      <c r="G7" s="110">
        <v>507.34166666670001</v>
      </c>
      <c r="H7" s="110">
        <v>513.58791946309998</v>
      </c>
      <c r="I7" s="110">
        <v>515.54861111109994</v>
      </c>
      <c r="J7" s="110">
        <v>519.92069892469999</v>
      </c>
      <c r="K7" s="110">
        <v>531.33064516130003</v>
      </c>
      <c r="L7" s="110">
        <v>542.02380952379997</v>
      </c>
      <c r="M7" s="110">
        <v>539.13593539700003</v>
      </c>
      <c r="N7" s="110">
        <v>527.75833333330002</v>
      </c>
      <c r="O7" s="110">
        <v>513.52016129030005</v>
      </c>
    </row>
    <row r="8" spans="2:15">
      <c r="B8" s="111" t="s">
        <v>127</v>
      </c>
      <c r="C8" s="181">
        <v>14.2514912811</v>
      </c>
      <c r="D8" s="181">
        <v>11.9237809565</v>
      </c>
      <c r="E8" s="181">
        <v>10.3340536748</v>
      </c>
      <c r="F8" s="181">
        <v>10.640429382000001</v>
      </c>
      <c r="G8" s="181">
        <v>10.716390382</v>
      </c>
      <c r="H8" s="181">
        <v>17.145887023699999</v>
      </c>
      <c r="I8" s="181">
        <v>13.6975213023</v>
      </c>
      <c r="J8" s="181">
        <v>21.612955502799998</v>
      </c>
      <c r="K8" s="181">
        <v>15.876601324499999</v>
      </c>
      <c r="L8" s="181">
        <v>11.467495272700001</v>
      </c>
      <c r="M8" s="181">
        <v>20.438702328200002</v>
      </c>
      <c r="N8" s="181">
        <v>14.863517378299999</v>
      </c>
      <c r="O8" s="181">
        <v>11.7691759607</v>
      </c>
    </row>
    <row r="9" spans="2:15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</row>
    <row r="11" spans="2:15">
      <c r="B11" s="109"/>
      <c r="C11" s="109" t="s">
        <v>84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</row>
    <row r="12" spans="2:15">
      <c r="B12" s="109" t="s">
        <v>66</v>
      </c>
      <c r="C12" s="171">
        <f>(O6-C6)/C6</f>
        <v>-0.10059270765212622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</row>
    <row r="13" spans="2:15">
      <c r="B13" s="109" t="s">
        <v>15</v>
      </c>
      <c r="C13" s="171">
        <f>(O8-C8)/C8</f>
        <v>-0.17417933824876203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2:15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2:15">
      <c r="B15" s="106" t="s">
        <v>153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2:15">
      <c r="B16" s="108" t="s">
        <v>128</v>
      </c>
      <c r="C16" s="117">
        <v>2017</v>
      </c>
      <c r="D16" s="117">
        <v>2017</v>
      </c>
      <c r="E16" s="117">
        <v>2017</v>
      </c>
      <c r="F16" s="117">
        <v>2017</v>
      </c>
      <c r="G16" s="117">
        <v>2017</v>
      </c>
      <c r="H16" s="117">
        <v>2017</v>
      </c>
      <c r="I16" s="117">
        <v>2017</v>
      </c>
      <c r="J16" s="117">
        <v>2017</v>
      </c>
      <c r="K16" s="117">
        <v>2018</v>
      </c>
      <c r="L16" s="117">
        <v>2018</v>
      </c>
      <c r="M16" s="117">
        <v>2018</v>
      </c>
      <c r="N16" s="117">
        <v>2018</v>
      </c>
      <c r="O16" s="117">
        <v>2018</v>
      </c>
    </row>
    <row r="17" spans="2:20">
      <c r="B17" s="106" t="s">
        <v>119</v>
      </c>
      <c r="C17" s="106" t="s">
        <v>206</v>
      </c>
      <c r="D17" s="106" t="s">
        <v>207</v>
      </c>
      <c r="E17" s="106" t="s">
        <v>208</v>
      </c>
      <c r="F17" s="106" t="s">
        <v>209</v>
      </c>
      <c r="G17" s="106" t="s">
        <v>210</v>
      </c>
      <c r="H17" s="106" t="s">
        <v>211</v>
      </c>
      <c r="I17" s="106" t="s">
        <v>212</v>
      </c>
      <c r="J17" s="106" t="s">
        <v>213</v>
      </c>
      <c r="K17" s="106" t="s">
        <v>214</v>
      </c>
      <c r="L17" s="106" t="s">
        <v>215</v>
      </c>
      <c r="M17" s="106" t="s">
        <v>216</v>
      </c>
      <c r="N17" s="106" t="s">
        <v>217</v>
      </c>
      <c r="O17" s="106" t="s">
        <v>218</v>
      </c>
    </row>
    <row r="18" spans="2:20">
      <c r="B18" s="108" t="s">
        <v>31</v>
      </c>
      <c r="C18" s="108" t="s">
        <v>7</v>
      </c>
      <c r="D18" s="108" t="s">
        <v>9</v>
      </c>
      <c r="E18" s="108" t="s">
        <v>9</v>
      </c>
      <c r="F18" s="108" t="s">
        <v>8</v>
      </c>
      <c r="G18" s="108" t="s">
        <v>10</v>
      </c>
      <c r="H18" s="108" t="s">
        <v>11</v>
      </c>
      <c r="I18" s="108" t="s">
        <v>12</v>
      </c>
      <c r="J18" s="108" t="s">
        <v>13</v>
      </c>
      <c r="K18" s="108" t="s">
        <v>5</v>
      </c>
      <c r="L18" s="108" t="s">
        <v>6</v>
      </c>
      <c r="M18" s="108" t="s">
        <v>7</v>
      </c>
      <c r="N18" s="108" t="s">
        <v>8</v>
      </c>
      <c r="O18" s="108" t="s">
        <v>7</v>
      </c>
    </row>
    <row r="19" spans="2:20">
      <c r="B19" s="109" t="s">
        <v>241</v>
      </c>
      <c r="C19" s="110">
        <v>124663.514</v>
      </c>
      <c r="D19" s="110">
        <v>94559.540999999997</v>
      </c>
      <c r="E19" s="110">
        <v>85673.202000000005</v>
      </c>
      <c r="F19" s="110">
        <v>81536.076000000001</v>
      </c>
      <c r="G19" s="110">
        <v>75102.289000000004</v>
      </c>
      <c r="H19" s="110">
        <v>65089.595000000001</v>
      </c>
      <c r="I19" s="110">
        <v>72290.070000000007</v>
      </c>
      <c r="J19" s="110">
        <v>81049.796000000002</v>
      </c>
      <c r="K19" s="110">
        <v>106846.751</v>
      </c>
      <c r="L19" s="110">
        <v>95118.278999999995</v>
      </c>
      <c r="M19" s="110">
        <v>142766.35800000001</v>
      </c>
      <c r="N19" s="110">
        <v>118380.448</v>
      </c>
      <c r="O19" s="110">
        <v>119519.43</v>
      </c>
    </row>
    <row r="20" spans="2:20">
      <c r="B20" s="111" t="s">
        <v>242</v>
      </c>
      <c r="C20" s="182">
        <v>67245.510999999999</v>
      </c>
      <c r="D20" s="182">
        <v>87837.740999999995</v>
      </c>
      <c r="E20" s="182">
        <v>115472.265</v>
      </c>
      <c r="F20" s="182">
        <v>110945.08</v>
      </c>
      <c r="G20" s="182">
        <v>109933.033</v>
      </c>
      <c r="H20" s="182">
        <v>138127.981</v>
      </c>
      <c r="I20" s="182">
        <v>138345.883</v>
      </c>
      <c r="J20" s="182">
        <v>143556.52499999999</v>
      </c>
      <c r="K20" s="182">
        <v>117527.05499999999</v>
      </c>
      <c r="L20" s="182">
        <v>136637.182</v>
      </c>
      <c r="M20" s="182">
        <v>102576.868</v>
      </c>
      <c r="N20" s="182">
        <v>92295.144</v>
      </c>
      <c r="O20" s="182">
        <v>77249.592999999993</v>
      </c>
    </row>
    <row r="21" spans="2:20">
      <c r="B21" s="112"/>
      <c r="C21" s="182">
        <f t="shared" ref="C21:O21" si="0">-C20</f>
        <v>-67245.510999999999</v>
      </c>
      <c r="D21" s="182">
        <f t="shared" si="0"/>
        <v>-87837.740999999995</v>
      </c>
      <c r="E21" s="182">
        <f t="shared" si="0"/>
        <v>-115472.265</v>
      </c>
      <c r="F21" s="182">
        <f t="shared" si="0"/>
        <v>-110945.08</v>
      </c>
      <c r="G21" s="182">
        <f t="shared" si="0"/>
        <v>-109933.033</v>
      </c>
      <c r="H21" s="182">
        <f t="shared" si="0"/>
        <v>-138127.981</v>
      </c>
      <c r="I21" s="182">
        <f t="shared" si="0"/>
        <v>-138345.883</v>
      </c>
      <c r="J21" s="182">
        <f t="shared" si="0"/>
        <v>-143556.52499999999</v>
      </c>
      <c r="K21" s="182">
        <f t="shared" si="0"/>
        <v>-117527.05499999999</v>
      </c>
      <c r="L21" s="182">
        <f t="shared" si="0"/>
        <v>-136637.182</v>
      </c>
      <c r="M21" s="182">
        <f t="shared" si="0"/>
        <v>-102576.868</v>
      </c>
      <c r="N21" s="182">
        <f t="shared" si="0"/>
        <v>-92295.144</v>
      </c>
      <c r="O21" s="182">
        <f t="shared" si="0"/>
        <v>-77249.592999999993</v>
      </c>
    </row>
    <row r="22" spans="2:20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2:20">
      <c r="B23" s="109" t="s">
        <v>70</v>
      </c>
      <c r="C23" s="173">
        <v>50.732693448699997</v>
      </c>
      <c r="D23" s="173">
        <v>52.547676812399999</v>
      </c>
      <c r="E23" s="173">
        <v>50.083044053800002</v>
      </c>
      <c r="F23" s="173">
        <v>47.756106266400003</v>
      </c>
      <c r="G23" s="173">
        <v>50.449034516099999</v>
      </c>
      <c r="H23" s="173">
        <v>58.357759792499998</v>
      </c>
      <c r="I23" s="173">
        <v>62.377222902100002</v>
      </c>
      <c r="J23" s="173">
        <v>61.842100256499997</v>
      </c>
      <c r="K23" s="173">
        <v>51.707705552999997</v>
      </c>
      <c r="L23" s="173">
        <v>57.0513155521</v>
      </c>
      <c r="M23" s="173">
        <v>47.7017188461</v>
      </c>
      <c r="N23" s="173">
        <v>48.565099365099996</v>
      </c>
      <c r="O23" s="173">
        <v>57.697992953899998</v>
      </c>
    </row>
    <row r="24" spans="2:20">
      <c r="B24" s="111" t="s">
        <v>71</v>
      </c>
      <c r="C24" s="174">
        <v>39.81575127</v>
      </c>
      <c r="D24" s="174">
        <v>42.375364024900001</v>
      </c>
      <c r="E24" s="174">
        <v>40.013761746199997</v>
      </c>
      <c r="F24" s="174">
        <v>38.090010931499997</v>
      </c>
      <c r="G24" s="174">
        <v>39.002468893900001</v>
      </c>
      <c r="H24" s="174">
        <v>45.204191538899998</v>
      </c>
      <c r="I24" s="174">
        <v>53.3716975878</v>
      </c>
      <c r="J24" s="174">
        <v>52.298940365100002</v>
      </c>
      <c r="K24" s="174">
        <v>40.975879979299997</v>
      </c>
      <c r="L24" s="174">
        <v>45.528719920500002</v>
      </c>
      <c r="M24" s="174">
        <v>32.443740824700001</v>
      </c>
      <c r="N24" s="174">
        <v>31.2592988641</v>
      </c>
      <c r="O24" s="174">
        <v>50.325493106499998</v>
      </c>
    </row>
    <row r="25" spans="2:20" ht="15">
      <c r="B25" s="114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09" t="s">
        <v>85</v>
      </c>
      <c r="T25" s="172"/>
    </row>
    <row r="26" spans="2:20" ht="15">
      <c r="B26" s="114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09" t="s">
        <v>69</v>
      </c>
      <c r="N26" s="109"/>
      <c r="O26" s="171">
        <f>(O19-C19)/C19</f>
        <v>-4.1263749391822875E-2</v>
      </c>
      <c r="T26" s="167"/>
    </row>
    <row r="27" spans="2:20" ht="15">
      <c r="B27" s="114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09" t="s">
        <v>68</v>
      </c>
      <c r="N27" s="109"/>
      <c r="O27" s="171">
        <f>(O20-C20)/C20</f>
        <v>0.14876951414645351</v>
      </c>
    </row>
    <row r="28" spans="2:20" ht="15">
      <c r="B28" s="114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09" t="s">
        <v>74</v>
      </c>
      <c r="N28" s="109"/>
      <c r="O28" s="171">
        <f>((O19+O20)-(C19+C20))/(C19+C20)</f>
        <v>2.5324489038490987E-2</v>
      </c>
    </row>
    <row r="29" spans="2:20" ht="15">
      <c r="B29" s="114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09" t="s">
        <v>70</v>
      </c>
      <c r="N29" s="109"/>
      <c r="O29" s="171">
        <f>(O23-C23)/C23</f>
        <v>0.13729410034661749</v>
      </c>
    </row>
    <row r="30" spans="2:20" ht="15">
      <c r="B30" s="114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09" t="s">
        <v>71</v>
      </c>
      <c r="N30" s="109"/>
      <c r="O30" s="171">
        <f>(O24-C24)/C24</f>
        <v>0.26395940052043626</v>
      </c>
    </row>
    <row r="32" spans="2:20">
      <c r="B32" s="106" t="s">
        <v>149</v>
      </c>
    </row>
    <row r="33" spans="2:16">
      <c r="B33" s="108"/>
      <c r="C33" s="108" t="s">
        <v>31</v>
      </c>
      <c r="D33" s="108" t="s">
        <v>129</v>
      </c>
      <c r="E33" s="108" t="s">
        <v>129</v>
      </c>
      <c r="F33" s="108" t="s">
        <v>129</v>
      </c>
      <c r="G33" s="108" t="s">
        <v>129</v>
      </c>
      <c r="H33" s="108" t="s">
        <v>129</v>
      </c>
      <c r="I33" s="108" t="s">
        <v>129</v>
      </c>
      <c r="J33" s="108" t="s">
        <v>129</v>
      </c>
      <c r="K33" s="108" t="s">
        <v>129</v>
      </c>
      <c r="L33" s="108" t="s">
        <v>129</v>
      </c>
      <c r="M33" s="108" t="s">
        <v>129</v>
      </c>
      <c r="N33" s="108" t="s">
        <v>129</v>
      </c>
      <c r="O33" s="108" t="s">
        <v>129</v>
      </c>
      <c r="P33" s="108" t="s">
        <v>129</v>
      </c>
    </row>
    <row r="34" spans="2:16">
      <c r="B34" s="108"/>
      <c r="C34" s="108" t="s">
        <v>119</v>
      </c>
      <c r="D34" s="108" t="s">
        <v>206</v>
      </c>
      <c r="E34" s="108" t="s">
        <v>207</v>
      </c>
      <c r="F34" s="108" t="s">
        <v>208</v>
      </c>
      <c r="G34" s="108" t="s">
        <v>209</v>
      </c>
      <c r="H34" s="108" t="s">
        <v>210</v>
      </c>
      <c r="I34" s="108" t="s">
        <v>211</v>
      </c>
      <c r="J34" s="108" t="s">
        <v>212</v>
      </c>
      <c r="K34" s="108" t="s">
        <v>213</v>
      </c>
      <c r="L34" s="108" t="s">
        <v>214</v>
      </c>
      <c r="M34" s="108" t="s">
        <v>215</v>
      </c>
      <c r="N34" s="108" t="s">
        <v>216</v>
      </c>
      <c r="O34" s="108" t="s">
        <v>217</v>
      </c>
      <c r="P34" s="108" t="s">
        <v>218</v>
      </c>
    </row>
    <row r="35" spans="2:16">
      <c r="B35" s="108" t="s">
        <v>123</v>
      </c>
      <c r="C35" s="108" t="s">
        <v>124</v>
      </c>
      <c r="D35" s="108" t="s">
        <v>7</v>
      </c>
      <c r="E35" s="108" t="s">
        <v>9</v>
      </c>
      <c r="F35" s="108" t="s">
        <v>9</v>
      </c>
      <c r="G35" s="108" t="s">
        <v>8</v>
      </c>
      <c r="H35" s="108" t="s">
        <v>10</v>
      </c>
      <c r="I35" s="108" t="s">
        <v>11</v>
      </c>
      <c r="J35" s="108" t="s">
        <v>12</v>
      </c>
      <c r="K35" s="108" t="s">
        <v>13</v>
      </c>
      <c r="L35" s="108" t="s">
        <v>5</v>
      </c>
      <c r="M35" s="108" t="s">
        <v>6</v>
      </c>
      <c r="N35" s="108" t="s">
        <v>7</v>
      </c>
      <c r="O35" s="108" t="s">
        <v>8</v>
      </c>
      <c r="P35" s="108" t="s">
        <v>7</v>
      </c>
    </row>
    <row r="36" spans="2:16">
      <c r="B36" s="109" t="s">
        <v>157</v>
      </c>
      <c r="C36" s="109" t="s">
        <v>243</v>
      </c>
      <c r="D36" s="176">
        <v>0</v>
      </c>
      <c r="E36" s="176">
        <v>0</v>
      </c>
      <c r="F36" s="176">
        <v>0</v>
      </c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176">
        <v>0</v>
      </c>
      <c r="M36" s="176">
        <v>0</v>
      </c>
      <c r="N36" s="176">
        <v>0</v>
      </c>
      <c r="O36" s="176">
        <v>0</v>
      </c>
      <c r="P36" s="176">
        <v>0</v>
      </c>
    </row>
    <row r="37" spans="2:16">
      <c r="B37" s="109" t="s">
        <v>157</v>
      </c>
      <c r="C37" s="109" t="s">
        <v>233</v>
      </c>
      <c r="D37" s="176">
        <v>49018.7</v>
      </c>
      <c r="E37" s="176">
        <v>39223.4</v>
      </c>
      <c r="F37" s="176">
        <v>28227.7</v>
      </c>
      <c r="G37" s="176">
        <v>23185.3</v>
      </c>
      <c r="H37" s="176">
        <v>23990.400000000001</v>
      </c>
      <c r="I37" s="176">
        <v>36235.599999999999</v>
      </c>
      <c r="J37" s="176">
        <v>35124.9</v>
      </c>
      <c r="K37" s="176">
        <v>25784.6</v>
      </c>
      <c r="L37" s="176">
        <v>35353.199999999997</v>
      </c>
      <c r="M37" s="176">
        <v>38501.599999999999</v>
      </c>
      <c r="N37" s="176">
        <v>38546.800000000003</v>
      </c>
      <c r="O37" s="176">
        <v>43196.7</v>
      </c>
      <c r="P37" s="176">
        <v>33193.699999999997</v>
      </c>
    </row>
    <row r="38" spans="2:16">
      <c r="B38" s="109" t="s">
        <v>157</v>
      </c>
      <c r="C38" s="109" t="s">
        <v>26</v>
      </c>
      <c r="D38" s="176">
        <v>59814.3</v>
      </c>
      <c r="E38" s="176">
        <v>100710.5</v>
      </c>
      <c r="F38" s="176">
        <v>53992.1</v>
      </c>
      <c r="G38" s="176">
        <v>53888.3</v>
      </c>
      <c r="H38" s="176">
        <v>55429.2</v>
      </c>
      <c r="I38" s="176">
        <v>75955.399999999994</v>
      </c>
      <c r="J38" s="176">
        <v>83653.399999999994</v>
      </c>
      <c r="K38" s="176">
        <v>57877.3</v>
      </c>
      <c r="L38" s="176">
        <v>57056.1</v>
      </c>
      <c r="M38" s="176">
        <v>51366.400000000001</v>
      </c>
      <c r="N38" s="176">
        <v>48796.7</v>
      </c>
      <c r="O38" s="176">
        <v>55522.2</v>
      </c>
      <c r="P38" s="176">
        <v>61920.1</v>
      </c>
    </row>
    <row r="39" spans="2:16">
      <c r="B39" s="109" t="s">
        <v>157</v>
      </c>
      <c r="C39" s="109" t="s">
        <v>240</v>
      </c>
      <c r="D39" s="176">
        <v>7.3</v>
      </c>
      <c r="E39" s="176">
        <v>17.3</v>
      </c>
      <c r="F39" s="176">
        <v>2.7</v>
      </c>
      <c r="G39" s="176">
        <v>1.1000000000000001</v>
      </c>
      <c r="H39" s="176">
        <v>0.8</v>
      </c>
      <c r="I39" s="176">
        <v>2</v>
      </c>
      <c r="J39" s="176">
        <v>0</v>
      </c>
      <c r="K39" s="176">
        <v>0</v>
      </c>
      <c r="L39" s="176">
        <v>10.8</v>
      </c>
      <c r="M39" s="176">
        <v>3</v>
      </c>
      <c r="N39" s="176">
        <v>0</v>
      </c>
      <c r="O39" s="176">
        <v>0</v>
      </c>
      <c r="P39" s="176">
        <v>0</v>
      </c>
    </row>
    <row r="40" spans="2:16">
      <c r="B40" s="109" t="s">
        <v>157</v>
      </c>
      <c r="C40" s="109" t="s">
        <v>235</v>
      </c>
      <c r="D40" s="176">
        <v>7845.9</v>
      </c>
      <c r="E40" s="176">
        <v>3498.8</v>
      </c>
      <c r="F40" s="176">
        <v>1736.9</v>
      </c>
      <c r="G40" s="176">
        <v>1823.4</v>
      </c>
      <c r="H40" s="176">
        <v>1551.4</v>
      </c>
      <c r="I40" s="176">
        <v>4285.8999999999996</v>
      </c>
      <c r="J40" s="176">
        <v>7774.4</v>
      </c>
      <c r="K40" s="176">
        <v>14602.9</v>
      </c>
      <c r="L40" s="176">
        <v>4781.6000000000004</v>
      </c>
      <c r="M40" s="176">
        <v>876.5</v>
      </c>
      <c r="N40" s="176">
        <v>14986.9</v>
      </c>
      <c r="O40" s="176">
        <v>6134.1</v>
      </c>
      <c r="P40" s="176">
        <v>5137.3999999999996</v>
      </c>
    </row>
    <row r="41" spans="2:16">
      <c r="B41" s="109" t="s">
        <v>157</v>
      </c>
      <c r="C41" s="109" t="s">
        <v>244</v>
      </c>
      <c r="D41" s="176">
        <v>0</v>
      </c>
      <c r="E41" s="176">
        <v>0</v>
      </c>
      <c r="F41" s="176">
        <v>0</v>
      </c>
      <c r="G41" s="176">
        <v>0</v>
      </c>
      <c r="H41" s="176">
        <v>0</v>
      </c>
      <c r="I41" s="176">
        <v>0</v>
      </c>
      <c r="J41" s="176">
        <v>0</v>
      </c>
      <c r="K41" s="176">
        <v>0</v>
      </c>
      <c r="L41" s="176">
        <v>0</v>
      </c>
      <c r="M41" s="176">
        <v>0</v>
      </c>
      <c r="N41" s="176">
        <v>0</v>
      </c>
      <c r="O41" s="176">
        <v>0</v>
      </c>
      <c r="P41" s="176">
        <v>0</v>
      </c>
    </row>
    <row r="42" spans="2:16">
      <c r="B42" s="109" t="s">
        <v>157</v>
      </c>
      <c r="C42" s="109" t="s">
        <v>237</v>
      </c>
      <c r="D42" s="176">
        <v>7018.8</v>
      </c>
      <c r="E42" s="176">
        <v>11518.7</v>
      </c>
      <c r="F42" s="176">
        <v>5554.8</v>
      </c>
      <c r="G42" s="176">
        <v>5883.3</v>
      </c>
      <c r="H42" s="176">
        <v>5247.3</v>
      </c>
      <c r="I42" s="176">
        <v>7050.1</v>
      </c>
      <c r="J42" s="176">
        <v>7943.5</v>
      </c>
      <c r="K42" s="176">
        <v>8236.4</v>
      </c>
      <c r="L42" s="176">
        <v>5669.6</v>
      </c>
      <c r="M42" s="176">
        <v>6719.4</v>
      </c>
      <c r="N42" s="176">
        <v>13034.1</v>
      </c>
      <c r="O42" s="176">
        <v>6758.4</v>
      </c>
      <c r="P42" s="176">
        <v>7808.1</v>
      </c>
    </row>
    <row r="43" spans="2:16">
      <c r="B43" s="109" t="s">
        <v>157</v>
      </c>
      <c r="C43" s="109" t="s">
        <v>245</v>
      </c>
      <c r="D43" s="176">
        <v>0</v>
      </c>
      <c r="E43" s="176">
        <v>0</v>
      </c>
      <c r="F43" s="176">
        <v>0</v>
      </c>
      <c r="G43" s="176">
        <v>0</v>
      </c>
      <c r="H43" s="176">
        <v>0</v>
      </c>
      <c r="I43" s="176">
        <v>0</v>
      </c>
      <c r="J43" s="176">
        <v>0</v>
      </c>
      <c r="K43" s="176">
        <v>0</v>
      </c>
      <c r="L43" s="176">
        <v>0</v>
      </c>
      <c r="M43" s="176">
        <v>0</v>
      </c>
      <c r="N43" s="176">
        <v>0</v>
      </c>
      <c r="O43" s="176">
        <v>0</v>
      </c>
      <c r="P43" s="176">
        <v>0</v>
      </c>
    </row>
    <row r="44" spans="2:16">
      <c r="B44" s="109" t="s">
        <v>157</v>
      </c>
      <c r="C44" s="109" t="s">
        <v>22</v>
      </c>
      <c r="D44" s="176">
        <v>58284.6</v>
      </c>
      <c r="E44" s="176">
        <v>88256.3</v>
      </c>
      <c r="F44" s="176">
        <v>34688.699999999997</v>
      </c>
      <c r="G44" s="176">
        <v>29023.599999999999</v>
      </c>
      <c r="H44" s="176">
        <v>29358.5</v>
      </c>
      <c r="I44" s="176">
        <v>42190.9</v>
      </c>
      <c r="J44" s="176">
        <v>66112.3</v>
      </c>
      <c r="K44" s="176">
        <v>50297.7</v>
      </c>
      <c r="L44" s="176">
        <v>55012.6</v>
      </c>
      <c r="M44" s="176">
        <v>74091.8</v>
      </c>
      <c r="N44" s="176">
        <v>57129.4</v>
      </c>
      <c r="O44" s="176">
        <v>46798.3</v>
      </c>
      <c r="P44" s="176">
        <v>108282.8</v>
      </c>
    </row>
    <row r="45" spans="2:16">
      <c r="B45" s="109" t="s">
        <v>157</v>
      </c>
      <c r="C45" s="109" t="s">
        <v>246</v>
      </c>
      <c r="D45" s="176">
        <v>0</v>
      </c>
      <c r="E45" s="176">
        <v>0</v>
      </c>
      <c r="F45" s="176">
        <v>0</v>
      </c>
      <c r="G45" s="176">
        <v>0</v>
      </c>
      <c r="H45" s="176">
        <v>0</v>
      </c>
      <c r="I45" s="176">
        <v>0</v>
      </c>
      <c r="J45" s="176">
        <v>0</v>
      </c>
      <c r="K45" s="176">
        <v>0</v>
      </c>
      <c r="L45" s="176">
        <v>0</v>
      </c>
      <c r="M45" s="176">
        <v>0</v>
      </c>
      <c r="N45" s="176">
        <v>0</v>
      </c>
      <c r="O45" s="176">
        <v>0</v>
      </c>
      <c r="P45" s="176">
        <v>0</v>
      </c>
    </row>
    <row r="46" spans="2:16">
      <c r="B46" s="109" t="s">
        <v>157</v>
      </c>
      <c r="C46" s="109" t="s">
        <v>247</v>
      </c>
      <c r="D46" s="176">
        <v>169.5</v>
      </c>
      <c r="E46" s="176">
        <v>69.8</v>
      </c>
      <c r="F46" s="176">
        <v>310</v>
      </c>
      <c r="G46" s="176">
        <v>148</v>
      </c>
      <c r="H46" s="176">
        <v>3.1</v>
      </c>
      <c r="I46" s="176">
        <v>700</v>
      </c>
      <c r="J46" s="176">
        <v>0</v>
      </c>
      <c r="K46" s="176">
        <v>1085.4000000000001</v>
      </c>
      <c r="L46" s="176">
        <v>282.3</v>
      </c>
      <c r="M46" s="176">
        <v>129.69999999999999</v>
      </c>
      <c r="N46" s="176">
        <v>0</v>
      </c>
      <c r="O46" s="176">
        <v>0</v>
      </c>
      <c r="P46" s="176">
        <v>306.60000000000002</v>
      </c>
    </row>
    <row r="47" spans="2:16">
      <c r="B47" s="109" t="s">
        <v>157</v>
      </c>
      <c r="C47" s="109" t="s">
        <v>234</v>
      </c>
      <c r="D47" s="176">
        <v>0</v>
      </c>
      <c r="E47" s="176">
        <v>0</v>
      </c>
      <c r="F47" s="176">
        <v>0</v>
      </c>
      <c r="G47" s="176">
        <v>0</v>
      </c>
      <c r="H47" s="176">
        <v>0</v>
      </c>
      <c r="I47" s="176">
        <v>131.30000000000001</v>
      </c>
      <c r="J47" s="176">
        <v>299.10000000000002</v>
      </c>
      <c r="K47" s="176">
        <v>57.5</v>
      </c>
      <c r="L47" s="176">
        <v>69.8</v>
      </c>
      <c r="M47" s="176">
        <v>8.1</v>
      </c>
      <c r="N47" s="176">
        <v>7.9</v>
      </c>
      <c r="O47" s="176">
        <v>0</v>
      </c>
      <c r="P47" s="176">
        <v>16.5</v>
      </c>
    </row>
    <row r="48" spans="2:16">
      <c r="B48" s="109" t="s">
        <v>157</v>
      </c>
      <c r="C48" s="109" t="s">
        <v>248</v>
      </c>
      <c r="D48" s="176">
        <v>0</v>
      </c>
      <c r="E48" s="176">
        <v>0</v>
      </c>
      <c r="F48" s="176">
        <v>0</v>
      </c>
      <c r="G48" s="176">
        <v>0</v>
      </c>
      <c r="H48" s="176">
        <v>0</v>
      </c>
      <c r="I48" s="176">
        <v>0</v>
      </c>
      <c r="J48" s="176">
        <v>0</v>
      </c>
      <c r="K48" s="176">
        <v>0</v>
      </c>
      <c r="L48" s="176">
        <v>0</v>
      </c>
      <c r="M48" s="176">
        <v>0</v>
      </c>
      <c r="N48" s="176">
        <v>0</v>
      </c>
      <c r="O48" s="176">
        <v>0</v>
      </c>
      <c r="P48" s="176">
        <v>0</v>
      </c>
    </row>
    <row r="49" spans="2:16">
      <c r="B49" s="109" t="s">
        <v>157</v>
      </c>
      <c r="C49" s="109" t="s">
        <v>238</v>
      </c>
      <c r="D49" s="176">
        <v>0</v>
      </c>
      <c r="E49" s="176">
        <v>0</v>
      </c>
      <c r="F49" s="176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0</v>
      </c>
      <c r="L49" s="176">
        <v>0</v>
      </c>
      <c r="M49" s="176">
        <v>0</v>
      </c>
      <c r="N49" s="176">
        <v>0</v>
      </c>
      <c r="O49" s="176">
        <v>0</v>
      </c>
      <c r="P49" s="176">
        <v>0</v>
      </c>
    </row>
    <row r="50" spans="2:16">
      <c r="B50" s="109" t="s">
        <v>157</v>
      </c>
      <c r="C50" s="109" t="s">
        <v>239</v>
      </c>
      <c r="D50" s="176">
        <v>0</v>
      </c>
      <c r="E50" s="176">
        <v>0</v>
      </c>
      <c r="F50" s="176">
        <v>0</v>
      </c>
      <c r="G50" s="176">
        <v>0</v>
      </c>
      <c r="H50" s="176">
        <v>0</v>
      </c>
      <c r="I50" s="176">
        <v>0</v>
      </c>
      <c r="J50" s="176">
        <v>0</v>
      </c>
      <c r="K50" s="176">
        <v>0</v>
      </c>
      <c r="L50" s="176">
        <v>0</v>
      </c>
      <c r="M50" s="176">
        <v>0</v>
      </c>
      <c r="N50" s="176">
        <v>0</v>
      </c>
      <c r="O50" s="176">
        <v>0</v>
      </c>
      <c r="P50" s="176">
        <v>0</v>
      </c>
    </row>
    <row r="51" spans="2:16">
      <c r="B51" s="109" t="s">
        <v>157</v>
      </c>
      <c r="C51" s="109" t="s">
        <v>236</v>
      </c>
      <c r="D51" s="176">
        <v>36979</v>
      </c>
      <c r="E51" s="176">
        <v>27501.3</v>
      </c>
      <c r="F51" s="176">
        <v>32397.1</v>
      </c>
      <c r="G51" s="176">
        <v>29140</v>
      </c>
      <c r="H51" s="176">
        <v>44532.5</v>
      </c>
      <c r="I51" s="176">
        <v>30549.8</v>
      </c>
      <c r="J51" s="176">
        <v>41077.1</v>
      </c>
      <c r="K51" s="176">
        <v>54906.6</v>
      </c>
      <c r="L51" s="176">
        <v>28937.8</v>
      </c>
      <c r="M51" s="176">
        <v>42931.7</v>
      </c>
      <c r="N51" s="176">
        <v>39005.1</v>
      </c>
      <c r="O51" s="176">
        <v>36861.199999999997</v>
      </c>
      <c r="P51" s="176">
        <v>20554.599999999999</v>
      </c>
    </row>
    <row r="52" spans="2:16">
      <c r="B52" s="109" t="s">
        <v>157</v>
      </c>
      <c r="C52" s="120" t="s">
        <v>0</v>
      </c>
      <c r="D52" s="121">
        <v>219138.1</v>
      </c>
      <c r="E52" s="121">
        <v>270796.09999999998</v>
      </c>
      <c r="F52" s="121">
        <v>156910</v>
      </c>
      <c r="G52" s="121">
        <v>143093</v>
      </c>
      <c r="H52" s="121">
        <v>160113.20000000001</v>
      </c>
      <c r="I52" s="121">
        <v>197101</v>
      </c>
      <c r="J52" s="121">
        <v>241984.7</v>
      </c>
      <c r="K52" s="121">
        <v>212848.4</v>
      </c>
      <c r="L52" s="121">
        <v>187173.8</v>
      </c>
      <c r="M52" s="121">
        <v>214628.2</v>
      </c>
      <c r="N52" s="121">
        <v>211506.9</v>
      </c>
      <c r="O52" s="121">
        <v>195270.9</v>
      </c>
      <c r="P52" s="121">
        <v>237219.8</v>
      </c>
    </row>
    <row r="53" spans="2:16">
      <c r="B53" s="109" t="s">
        <v>158</v>
      </c>
      <c r="C53" s="109" t="s">
        <v>243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</row>
    <row r="54" spans="2:16">
      <c r="B54" s="109" t="s">
        <v>158</v>
      </c>
      <c r="C54" s="109" t="s">
        <v>233</v>
      </c>
      <c r="D54" s="119">
        <v>36573.1</v>
      </c>
      <c r="E54" s="119">
        <v>31856.5</v>
      </c>
      <c r="F54" s="119">
        <v>64224.4</v>
      </c>
      <c r="G54" s="119">
        <v>71875.8</v>
      </c>
      <c r="H54" s="119">
        <v>46377.5</v>
      </c>
      <c r="I54" s="119">
        <v>28352.7</v>
      </c>
      <c r="J54" s="119">
        <v>20637.7</v>
      </c>
      <c r="K54" s="119">
        <v>30371.3</v>
      </c>
      <c r="L54" s="119">
        <v>49749</v>
      </c>
      <c r="M54" s="119">
        <v>47780.9</v>
      </c>
      <c r="N54" s="119">
        <v>18764.099999999999</v>
      </c>
      <c r="O54" s="119">
        <v>19179.5</v>
      </c>
      <c r="P54" s="119">
        <v>18994.099999999999</v>
      </c>
    </row>
    <row r="55" spans="2:16">
      <c r="B55" s="109" t="s">
        <v>158</v>
      </c>
      <c r="C55" s="109" t="s">
        <v>26</v>
      </c>
      <c r="D55" s="119">
        <v>14965.8</v>
      </c>
      <c r="E55" s="119">
        <v>21784.2</v>
      </c>
      <c r="F55" s="119">
        <v>40730.5</v>
      </c>
      <c r="G55" s="119">
        <v>44407.8</v>
      </c>
      <c r="H55" s="119">
        <v>52485.1</v>
      </c>
      <c r="I55" s="119">
        <v>33701.800000000003</v>
      </c>
      <c r="J55" s="119">
        <v>33409.300000000003</v>
      </c>
      <c r="K55" s="119">
        <v>38818.699999999997</v>
      </c>
      <c r="L55" s="119">
        <v>21689</v>
      </c>
      <c r="M55" s="119">
        <v>17066.099999999999</v>
      </c>
      <c r="N55" s="119">
        <v>9673.7999999999993</v>
      </c>
      <c r="O55" s="119">
        <v>6106.3</v>
      </c>
      <c r="P55" s="119">
        <v>10277</v>
      </c>
    </row>
    <row r="56" spans="2:16">
      <c r="B56" s="109" t="s">
        <v>158</v>
      </c>
      <c r="C56" s="109" t="s">
        <v>240</v>
      </c>
      <c r="D56" s="119">
        <v>259.5</v>
      </c>
      <c r="E56" s="119">
        <v>332.6</v>
      </c>
      <c r="F56" s="119">
        <v>223.6</v>
      </c>
      <c r="G56" s="119">
        <v>356.8</v>
      </c>
      <c r="H56" s="119">
        <v>420.2</v>
      </c>
      <c r="I56" s="119">
        <v>72.5</v>
      </c>
      <c r="J56" s="119">
        <v>40.799999999999997</v>
      </c>
      <c r="K56" s="119">
        <v>239.5</v>
      </c>
      <c r="L56" s="119">
        <v>1091.7</v>
      </c>
      <c r="M56" s="119">
        <v>83.8</v>
      </c>
      <c r="N56" s="119">
        <v>444.5</v>
      </c>
      <c r="O56" s="119">
        <v>488.3</v>
      </c>
      <c r="P56" s="119">
        <v>353.4</v>
      </c>
    </row>
    <row r="57" spans="2:16">
      <c r="B57" s="109" t="s">
        <v>158</v>
      </c>
      <c r="C57" s="109" t="s">
        <v>235</v>
      </c>
      <c r="D57" s="119">
        <v>26811.1</v>
      </c>
      <c r="E57" s="119">
        <v>25120.799999999999</v>
      </c>
      <c r="F57" s="119">
        <v>39459.699999999997</v>
      </c>
      <c r="G57" s="119">
        <v>41443.4</v>
      </c>
      <c r="H57" s="119">
        <v>46799.1</v>
      </c>
      <c r="I57" s="119">
        <v>27285.599999999999</v>
      </c>
      <c r="J57" s="119">
        <v>17072.8</v>
      </c>
      <c r="K57" s="119">
        <v>44331.3</v>
      </c>
      <c r="L57" s="119">
        <v>44705.2</v>
      </c>
      <c r="M57" s="119">
        <v>30784</v>
      </c>
      <c r="N57" s="119">
        <v>62414.7</v>
      </c>
      <c r="O57" s="119">
        <v>66560.399999999994</v>
      </c>
      <c r="P57" s="119">
        <v>20633.900000000001</v>
      </c>
    </row>
    <row r="58" spans="2:16">
      <c r="B58" s="109" t="s">
        <v>158</v>
      </c>
      <c r="C58" s="109" t="s">
        <v>244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</row>
    <row r="59" spans="2:16">
      <c r="B59" s="109" t="s">
        <v>158</v>
      </c>
      <c r="C59" s="109" t="s">
        <v>237</v>
      </c>
      <c r="D59" s="119">
        <v>4780.8999999999996</v>
      </c>
      <c r="E59" s="119">
        <v>3742.7</v>
      </c>
      <c r="F59" s="119">
        <v>10048.700000000001</v>
      </c>
      <c r="G59" s="119">
        <v>8916.4</v>
      </c>
      <c r="H59" s="119">
        <v>11262.5</v>
      </c>
      <c r="I59" s="119">
        <v>6968.9</v>
      </c>
      <c r="J59" s="119">
        <v>3847.5</v>
      </c>
      <c r="K59" s="119">
        <v>13873.3</v>
      </c>
      <c r="L59" s="119">
        <v>51833.3</v>
      </c>
      <c r="M59" s="119">
        <v>5603.4</v>
      </c>
      <c r="N59" s="119">
        <v>19679.2</v>
      </c>
      <c r="O59" s="119">
        <v>36687.300000000003</v>
      </c>
      <c r="P59" s="119">
        <v>5611.8</v>
      </c>
    </row>
    <row r="60" spans="2:16">
      <c r="B60" s="109" t="s">
        <v>158</v>
      </c>
      <c r="C60" s="109" t="s">
        <v>245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</row>
    <row r="61" spans="2:16">
      <c r="B61" s="109" t="s">
        <v>158</v>
      </c>
      <c r="C61" s="109" t="s">
        <v>22</v>
      </c>
      <c r="D61" s="119">
        <v>9611.2999999999993</v>
      </c>
      <c r="E61" s="119">
        <v>7869.8</v>
      </c>
      <c r="F61" s="119">
        <v>2606.4</v>
      </c>
      <c r="G61" s="119">
        <v>5181.1000000000004</v>
      </c>
      <c r="H61" s="119">
        <v>3698.4</v>
      </c>
      <c r="I61" s="119">
        <v>8057.2</v>
      </c>
      <c r="J61" s="119">
        <v>8820.4</v>
      </c>
      <c r="K61" s="119">
        <v>10280.700000000001</v>
      </c>
      <c r="L61" s="119">
        <v>26560.6</v>
      </c>
      <c r="M61" s="119">
        <v>24359.1</v>
      </c>
      <c r="N61" s="119">
        <v>27422.5</v>
      </c>
      <c r="O61" s="119">
        <v>16841.599999999999</v>
      </c>
      <c r="P61" s="119">
        <v>15058.8</v>
      </c>
    </row>
    <row r="62" spans="2:16">
      <c r="B62" s="109" t="s">
        <v>158</v>
      </c>
      <c r="C62" s="109" t="s">
        <v>246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</row>
    <row r="63" spans="2:16">
      <c r="B63" s="109" t="s">
        <v>158</v>
      </c>
      <c r="C63" s="109" t="s">
        <v>247</v>
      </c>
      <c r="D63" s="119">
        <v>138</v>
      </c>
      <c r="E63" s="119">
        <v>320</v>
      </c>
      <c r="F63" s="119">
        <v>130</v>
      </c>
      <c r="G63" s="119">
        <v>179.2</v>
      </c>
      <c r="H63" s="119">
        <v>178.3</v>
      </c>
      <c r="I63" s="119">
        <v>1524.1</v>
      </c>
      <c r="J63" s="119">
        <v>0</v>
      </c>
      <c r="K63" s="119">
        <v>108.3</v>
      </c>
      <c r="L63" s="119">
        <v>159.6</v>
      </c>
      <c r="M63" s="119">
        <v>40</v>
      </c>
      <c r="N63" s="119">
        <v>0</v>
      </c>
      <c r="O63" s="119">
        <v>0</v>
      </c>
      <c r="P63" s="119">
        <v>96.2</v>
      </c>
    </row>
    <row r="64" spans="2:16">
      <c r="B64" s="109" t="s">
        <v>158</v>
      </c>
      <c r="C64" s="109" t="s">
        <v>234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736.2</v>
      </c>
      <c r="J64" s="119">
        <v>757.7</v>
      </c>
      <c r="K64" s="119">
        <v>133.80000000000001</v>
      </c>
      <c r="L64" s="119">
        <v>521.70000000000005</v>
      </c>
      <c r="M64" s="119">
        <v>286.60000000000002</v>
      </c>
      <c r="N64" s="119">
        <v>20.9</v>
      </c>
      <c r="O64" s="119">
        <v>122</v>
      </c>
      <c r="P64" s="119">
        <v>322.7</v>
      </c>
    </row>
    <row r="65" spans="2:16">
      <c r="B65" s="109" t="s">
        <v>158</v>
      </c>
      <c r="C65" s="109" t="s">
        <v>248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</row>
    <row r="66" spans="2:16">
      <c r="B66" s="109" t="s">
        <v>158</v>
      </c>
      <c r="C66" s="109" t="s">
        <v>238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</row>
    <row r="67" spans="2:16">
      <c r="B67" s="109" t="s">
        <v>158</v>
      </c>
      <c r="C67" s="109" t="s">
        <v>239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</row>
    <row r="68" spans="2:16">
      <c r="B68" s="109" t="s">
        <v>158</v>
      </c>
      <c r="C68" s="109" t="s">
        <v>236</v>
      </c>
      <c r="D68" s="119">
        <v>3683.8</v>
      </c>
      <c r="E68" s="119">
        <v>1244.9000000000001</v>
      </c>
      <c r="F68" s="119">
        <v>1680.4</v>
      </c>
      <c r="G68" s="119">
        <v>4517</v>
      </c>
      <c r="H68" s="119">
        <v>4969.7</v>
      </c>
      <c r="I68" s="119">
        <v>3817.1</v>
      </c>
      <c r="J68" s="119">
        <v>5932.4</v>
      </c>
      <c r="K68" s="119">
        <v>8046.3</v>
      </c>
      <c r="L68" s="119">
        <v>11348.4</v>
      </c>
      <c r="M68" s="119">
        <v>5220.7</v>
      </c>
      <c r="N68" s="119">
        <v>8766.7999999999993</v>
      </c>
      <c r="O68" s="119">
        <v>6609.5</v>
      </c>
      <c r="P68" s="119">
        <v>1709.2</v>
      </c>
    </row>
    <row r="69" spans="2:16">
      <c r="B69" s="145" t="s">
        <v>158</v>
      </c>
      <c r="C69" s="120" t="s">
        <v>0</v>
      </c>
      <c r="D69" s="121">
        <v>96823.5</v>
      </c>
      <c r="E69" s="121">
        <v>92271.5</v>
      </c>
      <c r="F69" s="121">
        <v>159103.70000000001</v>
      </c>
      <c r="G69" s="121">
        <v>176877.5</v>
      </c>
      <c r="H69" s="121">
        <v>166190.79999999999</v>
      </c>
      <c r="I69" s="121">
        <v>110516.1</v>
      </c>
      <c r="J69" s="121">
        <v>90518.6</v>
      </c>
      <c r="K69" s="121">
        <v>146203.20000000001</v>
      </c>
      <c r="L69" s="121">
        <v>207658.5</v>
      </c>
      <c r="M69" s="121">
        <v>131224.6</v>
      </c>
      <c r="N69" s="121">
        <v>147186.5</v>
      </c>
      <c r="O69" s="121">
        <v>152594.9</v>
      </c>
      <c r="P69" s="121">
        <v>73057.100000000006</v>
      </c>
    </row>
    <row r="70" spans="2:16">
      <c r="B70" s="200" t="s">
        <v>139</v>
      </c>
      <c r="C70" s="145"/>
      <c r="D70" s="173">
        <v>54.692289017699999</v>
      </c>
      <c r="E70" s="173">
        <v>58.053899003700003</v>
      </c>
      <c r="F70" s="173">
        <v>57.819714231100001</v>
      </c>
      <c r="G70" s="173">
        <v>55.585096335899998</v>
      </c>
      <c r="H70" s="173">
        <v>56.231510706199998</v>
      </c>
      <c r="I70" s="173">
        <v>64.784309668600002</v>
      </c>
      <c r="J70" s="173">
        <v>70.107599447400005</v>
      </c>
      <c r="K70" s="173">
        <v>78.756404746300007</v>
      </c>
      <c r="L70" s="173">
        <v>62.437006568199998</v>
      </c>
      <c r="M70" s="173">
        <v>65.942944356799998</v>
      </c>
      <c r="N70" s="173">
        <v>56.060312311300002</v>
      </c>
      <c r="O70" s="173">
        <v>54.4493213274</v>
      </c>
      <c r="P70" s="173">
        <v>62.5355007466</v>
      </c>
    </row>
    <row r="71" spans="2:16" ht="15" customHeight="1">
      <c r="B71" s="201"/>
      <c r="C71" s="146"/>
      <c r="D71" s="174">
        <v>30.571421091000001</v>
      </c>
      <c r="E71" s="174">
        <v>36.435668434999997</v>
      </c>
      <c r="F71" s="174">
        <v>36.143624378299997</v>
      </c>
      <c r="G71" s="174">
        <v>33.497112747499997</v>
      </c>
      <c r="H71" s="174">
        <v>30.933778283799999</v>
      </c>
      <c r="I71" s="174">
        <v>35.307517909200001</v>
      </c>
      <c r="J71" s="174">
        <v>45.196962723699997</v>
      </c>
      <c r="K71" s="174">
        <v>36.297392464700003</v>
      </c>
      <c r="L71" s="174">
        <v>24.798933392999999</v>
      </c>
      <c r="M71" s="174">
        <v>39.032916008100003</v>
      </c>
      <c r="N71" s="174">
        <v>22.945107465700001</v>
      </c>
      <c r="O71" s="174">
        <v>15.694614761</v>
      </c>
      <c r="P71" s="174">
        <v>38.9886902163</v>
      </c>
    </row>
    <row r="72" spans="2:16"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</row>
    <row r="73" spans="2:16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09"/>
      <c r="O73" s="116"/>
      <c r="P73" s="109" t="s">
        <v>85</v>
      </c>
    </row>
    <row r="74" spans="2:16"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09" t="s">
        <v>69</v>
      </c>
      <c r="O74" s="116"/>
      <c r="P74" s="171">
        <f>(P52-D52)/D52</f>
        <v>8.2512808133318585E-2</v>
      </c>
    </row>
    <row r="75" spans="2:16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09" t="s">
        <v>68</v>
      </c>
      <c r="O75" s="116"/>
      <c r="P75" s="171">
        <f>(P69-D69)/D69</f>
        <v>-0.2454610709177007</v>
      </c>
    </row>
    <row r="76" spans="2:16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09" t="s">
        <v>74</v>
      </c>
      <c r="O76" s="116"/>
      <c r="P76" s="171">
        <f>((P52+P69)-(D52+D69))/(D52+D69)</f>
        <v>-1.7991743300451554E-2</v>
      </c>
    </row>
    <row r="77" spans="2:16"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09" t="s">
        <v>70</v>
      </c>
      <c r="O77" s="116"/>
      <c r="P77" s="171">
        <f>(P70-D70)/D70</f>
        <v>0.1434061705912823</v>
      </c>
    </row>
    <row r="78" spans="2:16"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09" t="s">
        <v>71</v>
      </c>
      <c r="O78" s="116"/>
      <c r="P78" s="171">
        <f>(P71-D71)/D71</f>
        <v>0.27533130044052745</v>
      </c>
    </row>
    <row r="80" spans="2:16">
      <c r="B80" s="106" t="s">
        <v>150</v>
      </c>
    </row>
    <row r="81" spans="2:16">
      <c r="B81" s="108"/>
      <c r="C81" s="108" t="s">
        <v>31</v>
      </c>
      <c r="D81" s="108" t="s">
        <v>130</v>
      </c>
      <c r="E81" s="108" t="s">
        <v>130</v>
      </c>
      <c r="F81" s="108" t="s">
        <v>130</v>
      </c>
      <c r="G81" s="108" t="s">
        <v>130</v>
      </c>
      <c r="H81" s="108" t="s">
        <v>130</v>
      </c>
      <c r="I81" s="108" t="s">
        <v>130</v>
      </c>
      <c r="J81" s="108" t="s">
        <v>130</v>
      </c>
      <c r="K81" s="108" t="s">
        <v>130</v>
      </c>
      <c r="L81" s="108" t="s">
        <v>130</v>
      </c>
      <c r="M81" s="108" t="s">
        <v>130</v>
      </c>
      <c r="N81" s="108" t="s">
        <v>130</v>
      </c>
      <c r="O81" s="108" t="s">
        <v>130</v>
      </c>
      <c r="P81" s="108" t="s">
        <v>130</v>
      </c>
    </row>
    <row r="82" spans="2:16">
      <c r="B82" s="108"/>
      <c r="C82" s="108" t="s">
        <v>119</v>
      </c>
      <c r="D82" s="108" t="s">
        <v>206</v>
      </c>
      <c r="E82" s="108" t="s">
        <v>207</v>
      </c>
      <c r="F82" s="108" t="s">
        <v>208</v>
      </c>
      <c r="G82" s="108" t="s">
        <v>209</v>
      </c>
      <c r="H82" s="108" t="s">
        <v>210</v>
      </c>
      <c r="I82" s="108" t="s">
        <v>211</v>
      </c>
      <c r="J82" s="108" t="s">
        <v>212</v>
      </c>
      <c r="K82" s="108" t="s">
        <v>213</v>
      </c>
      <c r="L82" s="108" t="s">
        <v>214</v>
      </c>
      <c r="M82" s="108" t="s">
        <v>215</v>
      </c>
      <c r="N82" s="108" t="s">
        <v>216</v>
      </c>
      <c r="O82" s="108" t="s">
        <v>217</v>
      </c>
      <c r="P82" s="108" t="s">
        <v>218</v>
      </c>
    </row>
    <row r="83" spans="2:16">
      <c r="B83" s="108" t="s">
        <v>123</v>
      </c>
      <c r="C83" s="108" t="s">
        <v>124</v>
      </c>
      <c r="D83" s="108" t="s">
        <v>7</v>
      </c>
      <c r="E83" s="108" t="s">
        <v>9</v>
      </c>
      <c r="F83" s="108" t="s">
        <v>9</v>
      </c>
      <c r="G83" s="108" t="s">
        <v>8</v>
      </c>
      <c r="H83" s="108" t="s">
        <v>10</v>
      </c>
      <c r="I83" s="108" t="s">
        <v>11</v>
      </c>
      <c r="J83" s="108" t="s">
        <v>12</v>
      </c>
      <c r="K83" s="108" t="s">
        <v>13</v>
      </c>
      <c r="L83" s="108" t="s">
        <v>5</v>
      </c>
      <c r="M83" s="108" t="s">
        <v>6</v>
      </c>
      <c r="N83" s="108" t="s">
        <v>7</v>
      </c>
      <c r="O83" s="108" t="s">
        <v>8</v>
      </c>
      <c r="P83" s="108" t="s">
        <v>7</v>
      </c>
    </row>
    <row r="84" spans="2:16">
      <c r="B84" s="109" t="s">
        <v>157</v>
      </c>
      <c r="C84" s="109" t="s">
        <v>233</v>
      </c>
      <c r="D84" s="119">
        <v>14921.9</v>
      </c>
      <c r="E84" s="119">
        <v>35897.1</v>
      </c>
      <c r="F84" s="119">
        <v>15424.3</v>
      </c>
      <c r="G84" s="119">
        <v>17604.099999999999</v>
      </c>
      <c r="H84" s="119">
        <v>9030.9</v>
      </c>
      <c r="I84" s="119">
        <v>13899.2</v>
      </c>
      <c r="J84" s="119">
        <v>19298.3</v>
      </c>
      <c r="K84" s="119">
        <v>36464.5</v>
      </c>
      <c r="L84" s="119">
        <v>18538.8</v>
      </c>
      <c r="M84" s="119">
        <v>33434.800000000003</v>
      </c>
      <c r="N84" s="119">
        <v>25308.3</v>
      </c>
      <c r="O84" s="119">
        <v>29845.7</v>
      </c>
      <c r="P84" s="119">
        <v>12672</v>
      </c>
    </row>
    <row r="85" spans="2:16">
      <c r="B85" s="109" t="s">
        <v>157</v>
      </c>
      <c r="C85" s="109" t="s">
        <v>26</v>
      </c>
      <c r="D85" s="119">
        <v>12578.5</v>
      </c>
      <c r="E85" s="119">
        <v>86103.9</v>
      </c>
      <c r="F85" s="119">
        <v>25298.7</v>
      </c>
      <c r="G85" s="119">
        <v>20278.5</v>
      </c>
      <c r="H85" s="119">
        <v>13355.9</v>
      </c>
      <c r="I85" s="119">
        <v>20227.3</v>
      </c>
      <c r="J85" s="119">
        <v>45604</v>
      </c>
      <c r="K85" s="119">
        <v>72616.800000000003</v>
      </c>
      <c r="L85" s="119">
        <v>25466.6</v>
      </c>
      <c r="M85" s="119">
        <v>34817.699999999997</v>
      </c>
      <c r="N85" s="119">
        <v>23702.3</v>
      </c>
      <c r="O85" s="119">
        <v>24356.1</v>
      </c>
      <c r="P85" s="119">
        <v>16812.400000000001</v>
      </c>
    </row>
    <row r="86" spans="2:16">
      <c r="B86" s="109" t="s">
        <v>157</v>
      </c>
      <c r="C86" s="109" t="s">
        <v>240</v>
      </c>
      <c r="D86" s="119">
        <v>0</v>
      </c>
      <c r="E86" s="119">
        <v>16</v>
      </c>
      <c r="F86" s="119">
        <v>6</v>
      </c>
      <c r="G86" s="119">
        <v>0</v>
      </c>
      <c r="H86" s="119">
        <v>0</v>
      </c>
      <c r="I86" s="119">
        <v>0</v>
      </c>
      <c r="J86" s="119">
        <v>0</v>
      </c>
      <c r="K86" s="119">
        <v>0</v>
      </c>
      <c r="L86" s="119">
        <v>0</v>
      </c>
      <c r="M86" s="119">
        <v>0</v>
      </c>
      <c r="N86" s="119">
        <v>0</v>
      </c>
      <c r="O86" s="119">
        <v>74</v>
      </c>
      <c r="P86" s="119">
        <v>0</v>
      </c>
    </row>
    <row r="87" spans="2:16">
      <c r="B87" s="109" t="s">
        <v>157</v>
      </c>
      <c r="C87" s="109" t="s">
        <v>235</v>
      </c>
      <c r="D87" s="119">
        <v>1623.5</v>
      </c>
      <c r="E87" s="119">
        <v>4321.8999999999996</v>
      </c>
      <c r="F87" s="119">
        <v>1196.5</v>
      </c>
      <c r="G87" s="119">
        <v>1953.7</v>
      </c>
      <c r="H87" s="119">
        <v>972.7</v>
      </c>
      <c r="I87" s="119">
        <v>3473.9</v>
      </c>
      <c r="J87" s="119">
        <v>3226</v>
      </c>
      <c r="K87" s="119">
        <v>14393.3</v>
      </c>
      <c r="L87" s="119">
        <v>6696</v>
      </c>
      <c r="M87" s="119">
        <v>1704</v>
      </c>
      <c r="N87" s="119">
        <v>21100.1</v>
      </c>
      <c r="O87" s="119">
        <v>4947.8999999999996</v>
      </c>
      <c r="P87" s="119">
        <v>952.5</v>
      </c>
    </row>
    <row r="88" spans="2:16">
      <c r="B88" s="109" t="s">
        <v>157</v>
      </c>
      <c r="C88" s="109" t="s">
        <v>237</v>
      </c>
      <c r="D88" s="119">
        <v>791</v>
      </c>
      <c r="E88" s="119">
        <v>1499</v>
      </c>
      <c r="F88" s="119">
        <v>694.8</v>
      </c>
      <c r="G88" s="119">
        <v>1479</v>
      </c>
      <c r="H88" s="119">
        <v>456.9</v>
      </c>
      <c r="I88" s="119">
        <v>731.2</v>
      </c>
      <c r="J88" s="119">
        <v>983.4</v>
      </c>
      <c r="K88" s="119">
        <v>4195.1000000000004</v>
      </c>
      <c r="L88" s="119">
        <v>686</v>
      </c>
      <c r="M88" s="119">
        <v>1654.6</v>
      </c>
      <c r="N88" s="119">
        <v>1712.3</v>
      </c>
      <c r="O88" s="119">
        <v>1233.0999999999999</v>
      </c>
      <c r="P88" s="119">
        <v>730.5</v>
      </c>
    </row>
    <row r="89" spans="2:16">
      <c r="B89" s="109" t="s">
        <v>157</v>
      </c>
      <c r="C89" s="109" t="s">
        <v>22</v>
      </c>
      <c r="D89" s="119">
        <v>6148.7</v>
      </c>
      <c r="E89" s="119">
        <v>35181.699999999997</v>
      </c>
      <c r="F89" s="119">
        <v>12560.8</v>
      </c>
      <c r="G89" s="119">
        <v>9282.6</v>
      </c>
      <c r="H89" s="119">
        <v>7586.6</v>
      </c>
      <c r="I89" s="119">
        <v>6859.3</v>
      </c>
      <c r="J89" s="119">
        <v>22432</v>
      </c>
      <c r="K89" s="119">
        <v>32118.7</v>
      </c>
      <c r="L89" s="119">
        <v>14339.3</v>
      </c>
      <c r="M89" s="119">
        <v>32219.8</v>
      </c>
      <c r="N89" s="119">
        <v>27908.3</v>
      </c>
      <c r="O89" s="119">
        <v>16888.599999999999</v>
      </c>
      <c r="P89" s="119">
        <v>23001.200000000001</v>
      </c>
    </row>
    <row r="90" spans="2:16">
      <c r="B90" s="109" t="s">
        <v>157</v>
      </c>
      <c r="C90" s="109" t="s">
        <v>247</v>
      </c>
      <c r="D90" s="119">
        <v>0</v>
      </c>
      <c r="E90" s="119">
        <v>537</v>
      </c>
      <c r="F90" s="119">
        <v>231</v>
      </c>
      <c r="G90" s="119">
        <v>0</v>
      </c>
      <c r="H90" s="119">
        <v>0</v>
      </c>
      <c r="I90" s="119">
        <v>0</v>
      </c>
      <c r="J90" s="119">
        <v>0</v>
      </c>
      <c r="K90" s="119">
        <v>1236</v>
      </c>
      <c r="L90" s="119">
        <v>277</v>
      </c>
      <c r="M90" s="119">
        <v>258</v>
      </c>
      <c r="N90" s="119">
        <v>0</v>
      </c>
      <c r="O90" s="119">
        <v>0</v>
      </c>
      <c r="P90" s="119">
        <v>0</v>
      </c>
    </row>
    <row r="91" spans="2:16">
      <c r="B91" s="109" t="s">
        <v>157</v>
      </c>
      <c r="C91" s="109" t="s">
        <v>236</v>
      </c>
      <c r="D91" s="119">
        <v>5041.6000000000004</v>
      </c>
      <c r="E91" s="119">
        <v>13587.3</v>
      </c>
      <c r="F91" s="119">
        <v>9853.2999999999993</v>
      </c>
      <c r="G91" s="119">
        <v>10537.6</v>
      </c>
      <c r="H91" s="119">
        <v>7497.3</v>
      </c>
      <c r="I91" s="119">
        <v>9809.2999999999993</v>
      </c>
      <c r="J91" s="119">
        <v>16186.5</v>
      </c>
      <c r="K91" s="119">
        <v>39485.4</v>
      </c>
      <c r="L91" s="119">
        <v>7767.7</v>
      </c>
      <c r="M91" s="119">
        <v>14790.9</v>
      </c>
      <c r="N91" s="119">
        <v>16090.2</v>
      </c>
      <c r="O91" s="119">
        <v>8367.7000000000007</v>
      </c>
      <c r="P91" s="119">
        <v>5631.5</v>
      </c>
    </row>
    <row r="92" spans="2:16">
      <c r="B92" s="109" t="s">
        <v>157</v>
      </c>
      <c r="C92" s="120" t="s">
        <v>0</v>
      </c>
      <c r="D92" s="121">
        <v>41105.199999999997</v>
      </c>
      <c r="E92" s="121">
        <v>177143.9</v>
      </c>
      <c r="F92" s="121">
        <v>65265.4</v>
      </c>
      <c r="G92" s="121">
        <v>61135.5</v>
      </c>
      <c r="H92" s="121">
        <v>38900.300000000003</v>
      </c>
      <c r="I92" s="121">
        <v>55000.2</v>
      </c>
      <c r="J92" s="121">
        <v>107730.2</v>
      </c>
      <c r="K92" s="121">
        <v>200509.8</v>
      </c>
      <c r="L92" s="121">
        <v>73771.399999999994</v>
      </c>
      <c r="M92" s="121">
        <v>118879.8</v>
      </c>
      <c r="N92" s="121">
        <v>115821.5</v>
      </c>
      <c r="O92" s="121">
        <v>85713.1</v>
      </c>
      <c r="P92" s="121">
        <v>59800.1</v>
      </c>
    </row>
    <row r="93" spans="2:16">
      <c r="B93" s="109" t="s">
        <v>158</v>
      </c>
      <c r="C93" s="109" t="s">
        <v>233</v>
      </c>
      <c r="D93" s="119">
        <v>6283.8</v>
      </c>
      <c r="E93" s="119">
        <v>10864.5</v>
      </c>
      <c r="F93" s="119">
        <v>27924.7</v>
      </c>
      <c r="G93" s="119">
        <v>43819.1</v>
      </c>
      <c r="H93" s="119">
        <v>23995.8</v>
      </c>
      <c r="I93" s="119">
        <v>6238.1</v>
      </c>
      <c r="J93" s="119">
        <v>4345.3999999999996</v>
      </c>
      <c r="K93" s="119">
        <v>11031.5</v>
      </c>
      <c r="L93" s="119">
        <v>24843.5</v>
      </c>
      <c r="M93" s="119">
        <v>9788.2999999999993</v>
      </c>
      <c r="N93" s="119">
        <v>1915.7</v>
      </c>
      <c r="O93" s="119">
        <v>5601.6</v>
      </c>
      <c r="P93" s="119">
        <v>3825.2</v>
      </c>
    </row>
    <row r="94" spans="2:16">
      <c r="B94" s="109" t="s">
        <v>158</v>
      </c>
      <c r="C94" s="109" t="s">
        <v>26</v>
      </c>
      <c r="D94" s="119">
        <v>4145.3</v>
      </c>
      <c r="E94" s="119">
        <v>7378.2</v>
      </c>
      <c r="F94" s="119">
        <v>18737.8</v>
      </c>
      <c r="G94" s="119">
        <v>26947.4</v>
      </c>
      <c r="H94" s="119">
        <v>23603.4</v>
      </c>
      <c r="I94" s="119">
        <v>6107.2</v>
      </c>
      <c r="J94" s="119">
        <v>8205.2999999999993</v>
      </c>
      <c r="K94" s="119">
        <v>9660.7000000000007</v>
      </c>
      <c r="L94" s="119">
        <v>12025</v>
      </c>
      <c r="M94" s="119">
        <v>2896.9</v>
      </c>
      <c r="N94" s="119">
        <v>883.7</v>
      </c>
      <c r="O94" s="119">
        <v>1130.8</v>
      </c>
      <c r="P94" s="119">
        <v>805.7</v>
      </c>
    </row>
    <row r="95" spans="2:16">
      <c r="B95" s="109" t="s">
        <v>158</v>
      </c>
      <c r="C95" s="109" t="s">
        <v>240</v>
      </c>
      <c r="D95" s="119">
        <v>18.899999999999999</v>
      </c>
      <c r="E95" s="119">
        <v>88.1</v>
      </c>
      <c r="F95" s="119">
        <v>26.5</v>
      </c>
      <c r="G95" s="119">
        <v>131.4</v>
      </c>
      <c r="H95" s="119">
        <v>120.4</v>
      </c>
      <c r="I95" s="119">
        <v>11.4</v>
      </c>
      <c r="J95" s="119">
        <v>0</v>
      </c>
      <c r="K95" s="119">
        <v>0</v>
      </c>
      <c r="L95" s="119">
        <v>139.19999999999999</v>
      </c>
      <c r="M95" s="119">
        <v>13</v>
      </c>
      <c r="N95" s="119">
        <v>0</v>
      </c>
      <c r="O95" s="119">
        <v>0</v>
      </c>
      <c r="P95" s="119">
        <v>1</v>
      </c>
    </row>
    <row r="96" spans="2:16">
      <c r="B96" s="109" t="s">
        <v>158</v>
      </c>
      <c r="C96" s="109" t="s">
        <v>235</v>
      </c>
      <c r="D96" s="119">
        <v>7977.8</v>
      </c>
      <c r="E96" s="119">
        <v>16621.400000000001</v>
      </c>
      <c r="F96" s="119">
        <v>21039.7</v>
      </c>
      <c r="G96" s="119">
        <v>18038.2</v>
      </c>
      <c r="H96" s="119">
        <v>18312.900000000001</v>
      </c>
      <c r="I96" s="119">
        <v>8233.1</v>
      </c>
      <c r="J96" s="119">
        <v>6736.7</v>
      </c>
      <c r="K96" s="119">
        <v>16502.5</v>
      </c>
      <c r="L96" s="119">
        <v>12696.1</v>
      </c>
      <c r="M96" s="119">
        <v>5978.6</v>
      </c>
      <c r="N96" s="119">
        <v>4789.3</v>
      </c>
      <c r="O96" s="119">
        <v>19369.2</v>
      </c>
      <c r="P96" s="119">
        <v>4108.2</v>
      </c>
    </row>
    <row r="97" spans="2:16">
      <c r="B97" s="109" t="s">
        <v>158</v>
      </c>
      <c r="C97" s="109" t="s">
        <v>237</v>
      </c>
      <c r="D97" s="119">
        <v>313</v>
      </c>
      <c r="E97" s="119">
        <v>464.4</v>
      </c>
      <c r="F97" s="119">
        <v>1083.3</v>
      </c>
      <c r="G97" s="119">
        <v>700.3</v>
      </c>
      <c r="H97" s="119">
        <v>630.70000000000005</v>
      </c>
      <c r="I97" s="119">
        <v>466.1</v>
      </c>
      <c r="J97" s="119">
        <v>204.5</v>
      </c>
      <c r="K97" s="119">
        <v>1775.9</v>
      </c>
      <c r="L97" s="119">
        <v>3036.8</v>
      </c>
      <c r="M97" s="119">
        <v>470.2</v>
      </c>
      <c r="N97" s="119">
        <v>395.2</v>
      </c>
      <c r="O97" s="119">
        <v>3910.4</v>
      </c>
      <c r="P97" s="119">
        <v>441.1</v>
      </c>
    </row>
    <row r="98" spans="2:16">
      <c r="B98" s="109" t="s">
        <v>158</v>
      </c>
      <c r="C98" s="109" t="s">
        <v>22</v>
      </c>
      <c r="D98" s="119">
        <v>4389.8</v>
      </c>
      <c r="E98" s="119">
        <v>2067.3000000000002</v>
      </c>
      <c r="F98" s="119">
        <v>2318.1</v>
      </c>
      <c r="G98" s="119">
        <v>5037</v>
      </c>
      <c r="H98" s="119">
        <v>2095.3000000000002</v>
      </c>
      <c r="I98" s="119">
        <v>1774.5</v>
      </c>
      <c r="J98" s="119">
        <v>506</v>
      </c>
      <c r="K98" s="119">
        <v>2151.1999999999998</v>
      </c>
      <c r="L98" s="119">
        <v>14862.1</v>
      </c>
      <c r="M98" s="119">
        <v>6144.5</v>
      </c>
      <c r="N98" s="119">
        <v>2417.8000000000002</v>
      </c>
      <c r="O98" s="119">
        <v>5534.9</v>
      </c>
      <c r="P98" s="119">
        <v>2792</v>
      </c>
    </row>
    <row r="99" spans="2:16">
      <c r="B99" s="109" t="s">
        <v>158</v>
      </c>
      <c r="C99" s="109" t="s">
        <v>247</v>
      </c>
      <c r="D99" s="119">
        <v>0</v>
      </c>
      <c r="E99" s="119">
        <v>1381.8</v>
      </c>
      <c r="F99" s="119">
        <v>0</v>
      </c>
      <c r="G99" s="119">
        <v>0</v>
      </c>
      <c r="H99" s="119">
        <v>0</v>
      </c>
      <c r="I99" s="119">
        <v>300.5</v>
      </c>
      <c r="J99" s="119">
        <v>0</v>
      </c>
      <c r="K99" s="119">
        <v>0</v>
      </c>
      <c r="L99" s="119">
        <v>109.8</v>
      </c>
      <c r="M99" s="119">
        <v>0</v>
      </c>
      <c r="N99" s="119">
        <v>0</v>
      </c>
      <c r="O99" s="119">
        <v>0</v>
      </c>
      <c r="P99" s="119">
        <v>0</v>
      </c>
    </row>
    <row r="100" spans="2:16">
      <c r="B100" s="109" t="s">
        <v>158</v>
      </c>
      <c r="C100" s="109" t="s">
        <v>234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2</v>
      </c>
      <c r="N100" s="119">
        <v>0</v>
      </c>
      <c r="O100" s="119">
        <v>0</v>
      </c>
      <c r="P100" s="119">
        <v>0</v>
      </c>
    </row>
    <row r="101" spans="2:16">
      <c r="B101" s="109" t="s">
        <v>158</v>
      </c>
      <c r="C101" s="109" t="s">
        <v>236</v>
      </c>
      <c r="D101" s="119">
        <v>935.6</v>
      </c>
      <c r="E101" s="119">
        <v>160.4</v>
      </c>
      <c r="F101" s="119">
        <v>4314</v>
      </c>
      <c r="G101" s="119">
        <v>3400</v>
      </c>
      <c r="H101" s="119">
        <v>1288.4000000000001</v>
      </c>
      <c r="I101" s="119">
        <v>185</v>
      </c>
      <c r="J101" s="119">
        <v>802.1</v>
      </c>
      <c r="K101" s="119">
        <v>2234.6</v>
      </c>
      <c r="L101" s="119">
        <v>13649</v>
      </c>
      <c r="M101" s="119">
        <v>2006.5</v>
      </c>
      <c r="N101" s="119">
        <v>2598.3000000000002</v>
      </c>
      <c r="O101" s="119">
        <v>1362.4</v>
      </c>
      <c r="P101" s="119">
        <v>67.3</v>
      </c>
    </row>
    <row r="102" spans="2:16">
      <c r="B102" s="109" t="s">
        <v>158</v>
      </c>
      <c r="C102" s="120" t="s">
        <v>0</v>
      </c>
      <c r="D102" s="121">
        <v>24064.2</v>
      </c>
      <c r="E102" s="121">
        <v>39026.1</v>
      </c>
      <c r="F102" s="121">
        <v>75444.100000000006</v>
      </c>
      <c r="G102" s="121">
        <v>98073.4</v>
      </c>
      <c r="H102" s="121">
        <v>70046.899999999994</v>
      </c>
      <c r="I102" s="121">
        <v>23315.9</v>
      </c>
      <c r="J102" s="121">
        <v>20800</v>
      </c>
      <c r="K102" s="121">
        <v>43356.4</v>
      </c>
      <c r="L102" s="121">
        <v>81361.5</v>
      </c>
      <c r="M102" s="121">
        <v>27300</v>
      </c>
      <c r="N102" s="121">
        <v>13000</v>
      </c>
      <c r="O102" s="121">
        <v>36909.300000000003</v>
      </c>
      <c r="P102" s="121">
        <v>12040.5</v>
      </c>
    </row>
    <row r="103" spans="2:16">
      <c r="B103" s="183"/>
      <c r="C103" s="184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5"/>
    </row>
    <row r="104" spans="2:16">
      <c r="B104" s="109" t="s">
        <v>157</v>
      </c>
      <c r="C104" s="145"/>
      <c r="D104" s="173">
        <v>52.772110097999999</v>
      </c>
      <c r="E104" s="173">
        <v>57.933831365300001</v>
      </c>
      <c r="F104" s="173">
        <v>57.393478933700003</v>
      </c>
      <c r="G104" s="173">
        <v>54.654758855300003</v>
      </c>
      <c r="H104" s="173">
        <v>54.685032249099997</v>
      </c>
      <c r="I104" s="173">
        <v>61.513323042499998</v>
      </c>
      <c r="J104" s="173">
        <v>71.000344286000001</v>
      </c>
      <c r="K104" s="173">
        <v>75.213326381100003</v>
      </c>
      <c r="L104" s="173">
        <v>60.115528511000001</v>
      </c>
      <c r="M104" s="173">
        <v>64.730818692499994</v>
      </c>
      <c r="N104" s="173">
        <v>53.523070068999999</v>
      </c>
      <c r="O104" s="173">
        <v>51.365419521600003</v>
      </c>
      <c r="P104" s="173">
        <v>61.214905660699998</v>
      </c>
    </row>
    <row r="105" spans="2:16">
      <c r="B105" s="109" t="s">
        <v>158</v>
      </c>
      <c r="C105" s="146"/>
      <c r="D105" s="174">
        <v>37.510220161100001</v>
      </c>
      <c r="E105" s="174">
        <v>38.300981138300003</v>
      </c>
      <c r="F105" s="174">
        <v>40.000333624500001</v>
      </c>
      <c r="G105" s="174">
        <v>35.937440223300001</v>
      </c>
      <c r="H105" s="174">
        <v>36.511317131799998</v>
      </c>
      <c r="I105" s="174">
        <v>38.937077702300002</v>
      </c>
      <c r="J105" s="174">
        <v>48.682983173099998</v>
      </c>
      <c r="K105" s="174">
        <v>37.017880635799997</v>
      </c>
      <c r="L105" s="174">
        <v>35.217388445399997</v>
      </c>
      <c r="M105" s="174">
        <v>45.9572454212</v>
      </c>
      <c r="N105" s="174">
        <v>31.268540000000002</v>
      </c>
      <c r="O105" s="174">
        <v>19.696550733799999</v>
      </c>
      <c r="P105" s="174">
        <v>42.9148424069</v>
      </c>
    </row>
    <row r="106" spans="2:16" ht="15">
      <c r="B106" s="118"/>
      <c r="C106" s="118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</row>
    <row r="107" spans="2:16" ht="15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09"/>
      <c r="O107" s="116"/>
      <c r="P107" s="109"/>
    </row>
    <row r="108" spans="2:16" ht="15"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09"/>
      <c r="O108" s="116"/>
      <c r="P108" s="109" t="s">
        <v>85</v>
      </c>
    </row>
    <row r="109" spans="2:16" ht="15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09" t="s">
        <v>72</v>
      </c>
      <c r="O109" s="116"/>
      <c r="P109" s="171">
        <f>(P92-D92)/D92</f>
        <v>0.45480620456779197</v>
      </c>
    </row>
    <row r="110" spans="2:16" ht="15"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09" t="s">
        <v>73</v>
      </c>
      <c r="O110" s="116"/>
      <c r="P110" s="171">
        <f>(P102-D102)/D102</f>
        <v>-0.49965093375221287</v>
      </c>
    </row>
    <row r="111" spans="2:16" ht="15"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09" t="s">
        <v>75</v>
      </c>
      <c r="O111" s="116"/>
      <c r="P111" s="171">
        <f>((P92+P102)-(D92+D102))/(D92+D102)</f>
        <v>0.10236706184190758</v>
      </c>
    </row>
    <row r="112" spans="2:16" ht="15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09" t="s">
        <v>70</v>
      </c>
      <c r="O112" s="116"/>
      <c r="P112" s="171">
        <f>(P104-D104)/D104</f>
        <v>0.15998593853877316</v>
      </c>
    </row>
    <row r="113" spans="2:16">
      <c r="N113" s="109" t="s">
        <v>71</v>
      </c>
      <c r="O113" s="116"/>
      <c r="P113" s="171">
        <f>(P105-D105)/D105</f>
        <v>0.14408399157851026</v>
      </c>
    </row>
    <row r="114" spans="2:16">
      <c r="B114" s="106" t="s">
        <v>151</v>
      </c>
    </row>
    <row r="115" spans="2:16">
      <c r="B115" s="108" t="s">
        <v>31</v>
      </c>
      <c r="C115" s="108" t="s">
        <v>65</v>
      </c>
      <c r="D115" s="108" t="s">
        <v>65</v>
      </c>
      <c r="E115" s="108" t="s">
        <v>65</v>
      </c>
      <c r="F115" s="108" t="s">
        <v>65</v>
      </c>
      <c r="G115" s="108" t="s">
        <v>65</v>
      </c>
      <c r="H115" s="108" t="s">
        <v>65</v>
      </c>
      <c r="I115" s="108" t="s">
        <v>65</v>
      </c>
      <c r="J115" s="108" t="s">
        <v>65</v>
      </c>
      <c r="K115" s="108" t="s">
        <v>65</v>
      </c>
      <c r="L115" s="108" t="s">
        <v>65</v>
      </c>
      <c r="M115" s="108" t="s">
        <v>65</v>
      </c>
      <c r="N115" s="108" t="s">
        <v>65</v>
      </c>
      <c r="O115" s="108" t="s">
        <v>65</v>
      </c>
      <c r="P115" s="108" t="s">
        <v>65</v>
      </c>
    </row>
    <row r="116" spans="2:16">
      <c r="B116" s="108" t="s">
        <v>119</v>
      </c>
      <c r="C116" s="108" t="s">
        <v>206</v>
      </c>
      <c r="D116" s="108" t="s">
        <v>207</v>
      </c>
      <c r="E116" s="108" t="s">
        <v>208</v>
      </c>
      <c r="F116" s="108" t="s">
        <v>209</v>
      </c>
      <c r="G116" s="108" t="s">
        <v>210</v>
      </c>
      <c r="H116" s="108" t="s">
        <v>211</v>
      </c>
      <c r="I116" s="108" t="s">
        <v>212</v>
      </c>
      <c r="J116" s="108" t="s">
        <v>213</v>
      </c>
      <c r="K116" s="108" t="s">
        <v>214</v>
      </c>
      <c r="L116" s="108" t="s">
        <v>215</v>
      </c>
      <c r="M116" s="108" t="s">
        <v>216</v>
      </c>
      <c r="N116" s="108" t="s">
        <v>217</v>
      </c>
      <c r="O116" s="108" t="s">
        <v>218</v>
      </c>
      <c r="P116" s="108" t="s">
        <v>0</v>
      </c>
    </row>
    <row r="117" spans="2:16">
      <c r="B117" s="108" t="s">
        <v>124</v>
      </c>
      <c r="C117" s="108" t="s">
        <v>7</v>
      </c>
      <c r="D117" s="108" t="s">
        <v>9</v>
      </c>
      <c r="E117" s="108" t="s">
        <v>9</v>
      </c>
      <c r="F117" s="108" t="s">
        <v>8</v>
      </c>
      <c r="G117" s="108" t="s">
        <v>10</v>
      </c>
      <c r="H117" s="108" t="s">
        <v>11</v>
      </c>
      <c r="I117" s="108" t="s">
        <v>12</v>
      </c>
      <c r="J117" s="108" t="s">
        <v>13</v>
      </c>
      <c r="K117" s="108" t="s">
        <v>5</v>
      </c>
      <c r="L117" s="108" t="s">
        <v>6</v>
      </c>
      <c r="M117" s="108" t="s">
        <v>7</v>
      </c>
      <c r="N117" s="108" t="s">
        <v>8</v>
      </c>
      <c r="O117" s="108" t="s">
        <v>7</v>
      </c>
      <c r="P117" s="108"/>
    </row>
    <row r="118" spans="2:16">
      <c r="B118" s="109" t="s">
        <v>233</v>
      </c>
      <c r="C118" s="119">
        <v>70</v>
      </c>
      <c r="D118" s="119">
        <v>673.2</v>
      </c>
      <c r="E118" s="119">
        <v>0</v>
      </c>
      <c r="F118" s="119">
        <v>1372.5</v>
      </c>
      <c r="G118" s="119">
        <v>0</v>
      </c>
      <c r="H118" s="119">
        <v>0</v>
      </c>
      <c r="I118" s="119">
        <v>0</v>
      </c>
      <c r="J118" s="119">
        <v>374</v>
      </c>
      <c r="K118" s="119">
        <v>0</v>
      </c>
      <c r="L118" s="119">
        <v>0</v>
      </c>
      <c r="M118" s="119">
        <v>1806.7</v>
      </c>
      <c r="N118" s="119">
        <v>3485.4</v>
      </c>
      <c r="O118" s="119">
        <v>0</v>
      </c>
      <c r="P118" s="119">
        <v>7781.8</v>
      </c>
    </row>
    <row r="119" spans="2:16">
      <c r="B119" s="109" t="s">
        <v>26</v>
      </c>
      <c r="C119" s="119">
        <v>3116.9</v>
      </c>
      <c r="D119" s="119">
        <v>5702.5</v>
      </c>
      <c r="E119" s="119">
        <v>4906.7</v>
      </c>
      <c r="F119" s="119">
        <v>12488.5</v>
      </c>
      <c r="G119" s="119">
        <v>9962.2999999999993</v>
      </c>
      <c r="H119" s="119">
        <v>10119.200000000001</v>
      </c>
      <c r="I119" s="119">
        <v>8034.3</v>
      </c>
      <c r="J119" s="119">
        <v>3967.2</v>
      </c>
      <c r="K119" s="119">
        <v>4799.8</v>
      </c>
      <c r="L119" s="119">
        <v>9167.2000000000007</v>
      </c>
      <c r="M119" s="119">
        <v>43724.800000000003</v>
      </c>
      <c r="N119" s="119">
        <v>16735.099999999999</v>
      </c>
      <c r="O119" s="119">
        <v>12256.8</v>
      </c>
      <c r="P119" s="119">
        <v>144981.29999999999</v>
      </c>
    </row>
    <row r="120" spans="2:16">
      <c r="B120" s="109" t="s">
        <v>235</v>
      </c>
      <c r="C120" s="119">
        <v>762.7</v>
      </c>
      <c r="D120" s="119">
        <v>1567.6</v>
      </c>
      <c r="E120" s="119">
        <v>593.20000000000005</v>
      </c>
      <c r="F120" s="119">
        <v>3675.7</v>
      </c>
      <c r="G120" s="119">
        <v>123.8</v>
      </c>
      <c r="H120" s="119">
        <v>1038.2</v>
      </c>
      <c r="I120" s="119">
        <v>863.8</v>
      </c>
      <c r="J120" s="119">
        <v>2746.1</v>
      </c>
      <c r="K120" s="119">
        <v>3776.1</v>
      </c>
      <c r="L120" s="119">
        <v>319.8</v>
      </c>
      <c r="M120" s="119">
        <v>4108.1000000000004</v>
      </c>
      <c r="N120" s="119">
        <v>3030.8</v>
      </c>
      <c r="O120" s="119">
        <v>795.1</v>
      </c>
      <c r="P120" s="119">
        <v>23401</v>
      </c>
    </row>
    <row r="121" spans="2:16">
      <c r="B121" s="109" t="s">
        <v>244</v>
      </c>
      <c r="C121" s="119">
        <v>846.6</v>
      </c>
      <c r="D121" s="119">
        <v>28.4</v>
      </c>
      <c r="E121" s="119">
        <v>844.1</v>
      </c>
      <c r="F121" s="119">
        <v>1561.2</v>
      </c>
      <c r="G121" s="119">
        <v>0</v>
      </c>
      <c r="H121" s="119">
        <v>495.2</v>
      </c>
      <c r="I121" s="119">
        <v>0</v>
      </c>
      <c r="J121" s="119">
        <v>58.6</v>
      </c>
      <c r="K121" s="119">
        <v>0</v>
      </c>
      <c r="L121" s="119">
        <v>0</v>
      </c>
      <c r="M121" s="119">
        <v>0</v>
      </c>
      <c r="N121" s="119">
        <v>0</v>
      </c>
      <c r="O121" s="119">
        <v>0</v>
      </c>
      <c r="P121" s="119">
        <v>3834.1</v>
      </c>
    </row>
    <row r="122" spans="2:16">
      <c r="B122" s="109" t="s">
        <v>237</v>
      </c>
      <c r="C122" s="119">
        <v>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>
        <v>0</v>
      </c>
      <c r="K122" s="119">
        <v>0</v>
      </c>
      <c r="L122" s="119">
        <v>0</v>
      </c>
      <c r="M122" s="119">
        <v>0</v>
      </c>
      <c r="N122" s="119">
        <v>0</v>
      </c>
      <c r="O122" s="119">
        <v>0</v>
      </c>
      <c r="P122" s="119">
        <v>0</v>
      </c>
    </row>
    <row r="123" spans="2:16">
      <c r="B123" s="109" t="s">
        <v>22</v>
      </c>
      <c r="C123" s="119">
        <v>410</v>
      </c>
      <c r="D123" s="119">
        <v>149.4</v>
      </c>
      <c r="E123" s="119">
        <v>376.7</v>
      </c>
      <c r="F123" s="119">
        <v>359.5</v>
      </c>
      <c r="G123" s="119">
        <v>40</v>
      </c>
      <c r="H123" s="119">
        <v>208.4</v>
      </c>
      <c r="I123" s="119">
        <v>0</v>
      </c>
      <c r="J123" s="119">
        <v>52.1</v>
      </c>
      <c r="K123" s="119">
        <v>0</v>
      </c>
      <c r="L123" s="119">
        <v>367.5</v>
      </c>
      <c r="M123" s="119">
        <v>0</v>
      </c>
      <c r="N123" s="119">
        <v>0</v>
      </c>
      <c r="O123" s="119">
        <v>0</v>
      </c>
      <c r="P123" s="119">
        <v>1963.6</v>
      </c>
    </row>
    <row r="124" spans="2:16">
      <c r="B124" s="109" t="s">
        <v>246</v>
      </c>
      <c r="C124" s="119">
        <v>0</v>
      </c>
      <c r="D124" s="119">
        <v>0</v>
      </c>
      <c r="E124" s="119">
        <v>973.2</v>
      </c>
      <c r="F124" s="119">
        <v>1700.4</v>
      </c>
      <c r="G124" s="119">
        <v>0</v>
      </c>
      <c r="H124" s="119">
        <v>0</v>
      </c>
      <c r="I124" s="119">
        <v>3635.7</v>
      </c>
      <c r="J124" s="119">
        <v>0</v>
      </c>
      <c r="K124" s="119">
        <v>5766.5</v>
      </c>
      <c r="L124" s="119">
        <v>0</v>
      </c>
      <c r="M124" s="119">
        <v>0</v>
      </c>
      <c r="N124" s="119">
        <v>0</v>
      </c>
      <c r="O124" s="119">
        <v>0</v>
      </c>
      <c r="P124" s="119">
        <v>12075.8</v>
      </c>
    </row>
    <row r="125" spans="2:16">
      <c r="B125" s="109" t="s">
        <v>238</v>
      </c>
      <c r="C125" s="119">
        <v>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19">
        <v>0</v>
      </c>
      <c r="O125" s="119">
        <v>0</v>
      </c>
      <c r="P125" s="119">
        <v>0</v>
      </c>
    </row>
    <row r="126" spans="2:16">
      <c r="B126" s="109" t="s">
        <v>236</v>
      </c>
      <c r="C126" s="119">
        <v>1489.3</v>
      </c>
      <c r="D126" s="119">
        <v>940.1</v>
      </c>
      <c r="E126" s="119">
        <v>7214.8</v>
      </c>
      <c r="F126" s="119">
        <v>1397.9</v>
      </c>
      <c r="G126" s="119">
        <v>759.3</v>
      </c>
      <c r="H126" s="119">
        <v>2510.5</v>
      </c>
      <c r="I126" s="119">
        <v>1650.6</v>
      </c>
      <c r="J126" s="119">
        <v>774.9</v>
      </c>
      <c r="K126" s="119">
        <v>1181.9000000000001</v>
      </c>
      <c r="L126" s="119">
        <v>436</v>
      </c>
      <c r="M126" s="119">
        <v>249</v>
      </c>
      <c r="N126" s="119">
        <v>3717.6</v>
      </c>
      <c r="O126" s="119">
        <v>330.9</v>
      </c>
      <c r="P126" s="119">
        <v>22652.799999999999</v>
      </c>
    </row>
    <row r="127" spans="2:16">
      <c r="B127" s="120" t="s">
        <v>0</v>
      </c>
      <c r="C127" s="121">
        <v>6695.5</v>
      </c>
      <c r="D127" s="121">
        <v>9061.2000000000007</v>
      </c>
      <c r="E127" s="121">
        <v>14908.7</v>
      </c>
      <c r="F127" s="121">
        <v>22555.7</v>
      </c>
      <c r="G127" s="121">
        <v>10885.4</v>
      </c>
      <c r="H127" s="121">
        <v>14371.5</v>
      </c>
      <c r="I127" s="121">
        <v>14184.4</v>
      </c>
      <c r="J127" s="121">
        <v>7972.9</v>
      </c>
      <c r="K127" s="121">
        <v>15524.3</v>
      </c>
      <c r="L127" s="121">
        <v>10290.5</v>
      </c>
      <c r="M127" s="121">
        <v>49888.6</v>
      </c>
      <c r="N127" s="121">
        <v>26968.9</v>
      </c>
      <c r="O127" s="121">
        <v>13382.8</v>
      </c>
      <c r="P127" s="121">
        <v>216690.4</v>
      </c>
    </row>
    <row r="128" spans="2:16">
      <c r="B128" s="109" t="s">
        <v>233</v>
      </c>
      <c r="C128" s="119">
        <v>0</v>
      </c>
      <c r="D128" s="119">
        <v>294.2</v>
      </c>
      <c r="E128" s="119">
        <v>516.70000000000005</v>
      </c>
      <c r="F128" s="119">
        <v>0</v>
      </c>
      <c r="G128" s="119">
        <v>0</v>
      </c>
      <c r="H128" s="119">
        <v>8149.5</v>
      </c>
      <c r="I128" s="119">
        <v>0</v>
      </c>
      <c r="J128" s="119">
        <v>0</v>
      </c>
      <c r="K128" s="119">
        <v>0</v>
      </c>
      <c r="L128" s="119">
        <v>0</v>
      </c>
      <c r="M128" s="119">
        <v>0</v>
      </c>
      <c r="N128" s="119">
        <v>350.4</v>
      </c>
      <c r="O128" s="119">
        <v>0</v>
      </c>
      <c r="P128" s="119">
        <v>9310.7999999999993</v>
      </c>
    </row>
    <row r="129" spans="2:16">
      <c r="B129" s="109" t="s">
        <v>26</v>
      </c>
      <c r="C129" s="119">
        <v>1097.9000000000001</v>
      </c>
      <c r="D129" s="119">
        <v>0</v>
      </c>
      <c r="E129" s="119">
        <v>1537.9</v>
      </c>
      <c r="F129" s="119">
        <v>2533.1</v>
      </c>
      <c r="G129" s="119">
        <v>555.79999999999995</v>
      </c>
      <c r="H129" s="119">
        <v>754.8</v>
      </c>
      <c r="I129" s="119">
        <v>458.3</v>
      </c>
      <c r="J129" s="119">
        <v>223.8</v>
      </c>
      <c r="K129" s="119">
        <v>0</v>
      </c>
      <c r="L129" s="119">
        <v>20</v>
      </c>
      <c r="M129" s="119">
        <v>0</v>
      </c>
      <c r="N129" s="119">
        <v>0</v>
      </c>
      <c r="O129" s="119">
        <v>90</v>
      </c>
      <c r="P129" s="119">
        <v>7271.6</v>
      </c>
    </row>
    <row r="130" spans="2:16">
      <c r="B130" s="109" t="s">
        <v>240</v>
      </c>
      <c r="C130" s="119">
        <v>0</v>
      </c>
      <c r="D130" s="119">
        <v>0</v>
      </c>
      <c r="E130" s="119">
        <v>257</v>
      </c>
      <c r="F130" s="119">
        <v>0</v>
      </c>
      <c r="G130" s="119">
        <v>0</v>
      </c>
      <c r="H130" s="119">
        <v>3.5</v>
      </c>
      <c r="I130" s="119">
        <v>0</v>
      </c>
      <c r="J130" s="119">
        <v>2.4</v>
      </c>
      <c r="K130" s="119">
        <v>0</v>
      </c>
      <c r="L130" s="119">
        <v>0</v>
      </c>
      <c r="M130" s="119">
        <v>0</v>
      </c>
      <c r="N130" s="119">
        <v>0</v>
      </c>
      <c r="O130" s="119">
        <v>154.4</v>
      </c>
      <c r="P130" s="119">
        <v>417.3</v>
      </c>
    </row>
    <row r="131" spans="2:16">
      <c r="B131" s="109" t="s">
        <v>235</v>
      </c>
      <c r="C131" s="119">
        <v>21404.400000000001</v>
      </c>
      <c r="D131" s="119">
        <v>4310.8</v>
      </c>
      <c r="E131" s="119">
        <v>809.6</v>
      </c>
      <c r="F131" s="119">
        <v>2991.4</v>
      </c>
      <c r="G131" s="119">
        <v>20748.5</v>
      </c>
      <c r="H131" s="119">
        <v>31856.3</v>
      </c>
      <c r="I131" s="119">
        <v>31829.7</v>
      </c>
      <c r="J131" s="119">
        <v>30752.2</v>
      </c>
      <c r="K131" s="119">
        <v>31097.5</v>
      </c>
      <c r="L131" s="119">
        <v>30123.599999999999</v>
      </c>
      <c r="M131" s="119">
        <v>16053.6</v>
      </c>
      <c r="N131" s="119">
        <v>32084.5</v>
      </c>
      <c r="O131" s="119">
        <v>34261.699999999997</v>
      </c>
      <c r="P131" s="119">
        <v>288323.8</v>
      </c>
    </row>
    <row r="132" spans="2:16">
      <c r="B132" s="109" t="s">
        <v>244</v>
      </c>
      <c r="C132" s="119">
        <v>0</v>
      </c>
      <c r="D132" s="119">
        <v>42.4</v>
      </c>
      <c r="E132" s="119">
        <v>0</v>
      </c>
      <c r="F132" s="119">
        <v>0</v>
      </c>
      <c r="G132" s="119">
        <v>0</v>
      </c>
      <c r="H132" s="119">
        <v>0</v>
      </c>
      <c r="I132" s="119">
        <v>0</v>
      </c>
      <c r="J132" s="119">
        <v>0</v>
      </c>
      <c r="K132" s="119">
        <v>0</v>
      </c>
      <c r="L132" s="119">
        <v>0</v>
      </c>
      <c r="M132" s="119">
        <v>0</v>
      </c>
      <c r="N132" s="119">
        <v>0</v>
      </c>
      <c r="O132" s="119">
        <v>0</v>
      </c>
      <c r="P132" s="119">
        <v>42.4</v>
      </c>
    </row>
    <row r="133" spans="2:16">
      <c r="B133" s="109" t="s">
        <v>237</v>
      </c>
      <c r="C133" s="119">
        <v>137.4</v>
      </c>
      <c r="D133" s="119">
        <v>0.6</v>
      </c>
      <c r="E133" s="119">
        <v>9502.9</v>
      </c>
      <c r="F133" s="119">
        <v>42.6</v>
      </c>
      <c r="G133" s="119">
        <v>1071</v>
      </c>
      <c r="H133" s="119">
        <v>1760.6</v>
      </c>
      <c r="I133" s="119">
        <v>671.7</v>
      </c>
      <c r="J133" s="119">
        <v>2324.3000000000002</v>
      </c>
      <c r="K133" s="119">
        <v>268.5</v>
      </c>
      <c r="L133" s="119">
        <v>373.8</v>
      </c>
      <c r="M133" s="119">
        <v>185.3</v>
      </c>
      <c r="N133" s="119">
        <v>425.7</v>
      </c>
      <c r="O133" s="119">
        <v>11163.7</v>
      </c>
      <c r="P133" s="119">
        <v>27928.1</v>
      </c>
    </row>
    <row r="134" spans="2:16">
      <c r="B134" s="109" t="s">
        <v>22</v>
      </c>
      <c r="C134" s="119">
        <v>0</v>
      </c>
      <c r="D134" s="119">
        <v>0</v>
      </c>
      <c r="E134" s="119">
        <v>408.7</v>
      </c>
      <c r="F134" s="119">
        <v>0</v>
      </c>
      <c r="G134" s="119">
        <v>8.1999999999999993</v>
      </c>
      <c r="H134" s="119">
        <v>0</v>
      </c>
      <c r="I134" s="119">
        <v>189.5</v>
      </c>
      <c r="J134" s="119">
        <v>0</v>
      </c>
      <c r="K134" s="119">
        <v>0</v>
      </c>
      <c r="L134" s="119">
        <v>1416.6</v>
      </c>
      <c r="M134" s="119">
        <v>1837.6</v>
      </c>
      <c r="N134" s="119">
        <v>531.20000000000005</v>
      </c>
      <c r="O134" s="119">
        <v>589.5</v>
      </c>
      <c r="P134" s="119">
        <v>4981.3</v>
      </c>
    </row>
    <row r="135" spans="2:16">
      <c r="B135" s="109" t="s">
        <v>234</v>
      </c>
      <c r="C135" s="119">
        <v>0</v>
      </c>
      <c r="D135" s="119">
        <v>0</v>
      </c>
      <c r="E135" s="119">
        <v>117.5</v>
      </c>
      <c r="F135" s="119">
        <v>0</v>
      </c>
      <c r="G135" s="119">
        <v>0</v>
      </c>
      <c r="H135" s="119">
        <v>0</v>
      </c>
      <c r="I135" s="119">
        <v>0</v>
      </c>
      <c r="J135" s="119">
        <v>0</v>
      </c>
      <c r="K135" s="119">
        <v>0</v>
      </c>
      <c r="L135" s="119">
        <v>0</v>
      </c>
      <c r="M135" s="119">
        <v>0</v>
      </c>
      <c r="N135" s="119">
        <v>0</v>
      </c>
      <c r="O135" s="119">
        <v>122.2</v>
      </c>
      <c r="P135" s="119">
        <v>239.7</v>
      </c>
    </row>
    <row r="136" spans="2:16">
      <c r="B136" s="109" t="s">
        <v>238</v>
      </c>
      <c r="C136" s="119">
        <v>0</v>
      </c>
      <c r="D136" s="119">
        <v>0</v>
      </c>
      <c r="E136" s="119">
        <v>0.4</v>
      </c>
      <c r="F136" s="119">
        <v>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19">
        <v>0</v>
      </c>
      <c r="O136" s="119">
        <v>0</v>
      </c>
      <c r="P136" s="119">
        <v>0.4</v>
      </c>
    </row>
    <row r="137" spans="2:16">
      <c r="B137" s="109" t="s">
        <v>239</v>
      </c>
      <c r="C137" s="119">
        <v>518.79999999999995</v>
      </c>
      <c r="D137" s="119">
        <v>0</v>
      </c>
      <c r="E137" s="119">
        <v>1254.7</v>
      </c>
      <c r="F137" s="119">
        <v>0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19">
        <v>0</v>
      </c>
      <c r="O137" s="119">
        <v>44.1</v>
      </c>
      <c r="P137" s="119">
        <v>1817.6</v>
      </c>
    </row>
    <row r="138" spans="2:16">
      <c r="B138" s="109" t="s">
        <v>236</v>
      </c>
      <c r="C138" s="119">
        <v>108.8</v>
      </c>
      <c r="D138" s="119">
        <v>0</v>
      </c>
      <c r="E138" s="119">
        <v>102.9</v>
      </c>
      <c r="F138" s="119">
        <v>65</v>
      </c>
      <c r="G138" s="119">
        <v>183.2</v>
      </c>
      <c r="H138" s="119">
        <v>177.8</v>
      </c>
      <c r="I138" s="119">
        <v>613.5</v>
      </c>
      <c r="J138" s="119">
        <v>1135.9000000000001</v>
      </c>
      <c r="K138" s="119">
        <v>1121.8</v>
      </c>
      <c r="L138" s="119">
        <v>1190.9000000000001</v>
      </c>
      <c r="M138" s="119">
        <v>606.6</v>
      </c>
      <c r="N138" s="119">
        <v>413.1</v>
      </c>
      <c r="O138" s="119">
        <v>171.5</v>
      </c>
      <c r="P138" s="119">
        <v>5891</v>
      </c>
    </row>
    <row r="139" spans="2:16">
      <c r="B139" s="120" t="s">
        <v>0</v>
      </c>
      <c r="C139" s="121">
        <v>23267.3</v>
      </c>
      <c r="D139" s="121">
        <v>4648</v>
      </c>
      <c r="E139" s="121">
        <v>14508.3</v>
      </c>
      <c r="F139" s="121">
        <v>5632.1</v>
      </c>
      <c r="G139" s="121">
        <v>22566.7</v>
      </c>
      <c r="H139" s="121">
        <v>42702.5</v>
      </c>
      <c r="I139" s="121">
        <v>33762.699999999997</v>
      </c>
      <c r="J139" s="121">
        <v>34438.6</v>
      </c>
      <c r="K139" s="121">
        <v>32487.8</v>
      </c>
      <c r="L139" s="121">
        <v>33124.9</v>
      </c>
      <c r="M139" s="121">
        <v>18683.099999999999</v>
      </c>
      <c r="N139" s="121">
        <v>33804.9</v>
      </c>
      <c r="O139" s="121">
        <v>46597.1</v>
      </c>
      <c r="P139" s="121">
        <v>346224</v>
      </c>
    </row>
    <row r="140" spans="2:16">
      <c r="B140" s="109"/>
      <c r="C140" s="119">
        <v>29962.799999999999</v>
      </c>
      <c r="D140" s="119">
        <v>13709.2</v>
      </c>
      <c r="E140" s="119">
        <v>29417</v>
      </c>
      <c r="F140" s="119">
        <v>28187.8</v>
      </c>
      <c r="G140" s="119">
        <v>33452.1</v>
      </c>
      <c r="H140" s="119">
        <v>57074</v>
      </c>
      <c r="I140" s="119">
        <v>47947.1</v>
      </c>
      <c r="J140" s="119">
        <v>42411.5</v>
      </c>
      <c r="K140" s="119">
        <v>48012.1</v>
      </c>
      <c r="L140" s="119">
        <v>43415.4</v>
      </c>
      <c r="M140" s="119">
        <v>68571.7</v>
      </c>
      <c r="N140" s="119">
        <v>60773.8</v>
      </c>
      <c r="O140" s="119">
        <v>59979.9</v>
      </c>
      <c r="P140" s="119">
        <v>562914.4</v>
      </c>
    </row>
    <row r="141" spans="2:16">
      <c r="B141" s="10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</row>
    <row r="142" spans="2:16">
      <c r="B142" s="10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</row>
    <row r="143" spans="2:16">
      <c r="B143" s="109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</row>
    <row r="144" spans="2:16">
      <c r="B144" s="120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</row>
    <row r="145" spans="2:16">
      <c r="B145" s="120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</row>
    <row r="146" spans="2:16">
      <c r="B146" s="10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</row>
    <row r="147" spans="2:16">
      <c r="B147" s="109" t="s">
        <v>70</v>
      </c>
      <c r="C147" s="173">
        <v>118.2418215391</v>
      </c>
      <c r="D147" s="173">
        <v>91.525396333399996</v>
      </c>
      <c r="E147" s="173">
        <v>88.581907768400001</v>
      </c>
      <c r="F147" s="173">
        <v>86.157873728799999</v>
      </c>
      <c r="G147" s="173">
        <v>132.9255103166</v>
      </c>
      <c r="H147" s="173">
        <v>162.3070364578</v>
      </c>
      <c r="I147" s="173">
        <v>156.44702913059999</v>
      </c>
      <c r="J147" s="173">
        <v>137.28795092429999</v>
      </c>
      <c r="K147" s="173">
        <v>95.193314352300007</v>
      </c>
      <c r="L147" s="173">
        <v>113.42185996790001</v>
      </c>
      <c r="M147" s="173">
        <v>116.86911518860001</v>
      </c>
      <c r="N147" s="173">
        <v>103.6372710789</v>
      </c>
      <c r="O147" s="173">
        <v>144.02376109630001</v>
      </c>
      <c r="P147" s="145"/>
    </row>
    <row r="148" spans="2:16">
      <c r="B148" s="111" t="s">
        <v>71</v>
      </c>
      <c r="C148" s="174">
        <v>34.613184598099998</v>
      </c>
      <c r="D148" s="174">
        <v>38.1623566962</v>
      </c>
      <c r="E148" s="174">
        <v>7.5200099254000001</v>
      </c>
      <c r="F148" s="174">
        <v>24.361699898800001</v>
      </c>
      <c r="G148" s="174">
        <v>37.7942734206</v>
      </c>
      <c r="H148" s="174">
        <v>31.409996136099998</v>
      </c>
      <c r="I148" s="174">
        <v>38.9460973204</v>
      </c>
      <c r="J148" s="174">
        <v>34.010933952000002</v>
      </c>
      <c r="K148" s="174">
        <v>33.175365521800003</v>
      </c>
      <c r="L148" s="174">
        <v>35.092640581600001</v>
      </c>
      <c r="M148" s="174">
        <v>29.133979907000001</v>
      </c>
      <c r="N148" s="174">
        <v>29.7914500561</v>
      </c>
      <c r="O148" s="174">
        <v>29.2085445232</v>
      </c>
      <c r="P148" s="146"/>
    </row>
    <row r="149" spans="2:16" ht="15"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4"/>
    </row>
    <row r="150" spans="2:16" ht="15">
      <c r="B150" s="118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14"/>
    </row>
    <row r="151" spans="2:16" ht="15"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4"/>
    </row>
    <row r="152" spans="2:16" ht="15"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4"/>
    </row>
    <row r="153" spans="2:16" ht="15"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09" t="s">
        <v>72</v>
      </c>
      <c r="O153" s="171">
        <f>(O127-C127)/C127</f>
        <v>0.99877529684116184</v>
      </c>
      <c r="P153" s="114"/>
    </row>
    <row r="154" spans="2:16" ht="15"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09" t="s">
        <v>73</v>
      </c>
      <c r="O154" s="171">
        <f>(O139-C139)/C139</f>
        <v>1.0026861732990076</v>
      </c>
      <c r="P154" s="114"/>
    </row>
    <row r="155" spans="2:16" ht="15"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09" t="s">
        <v>76</v>
      </c>
      <c r="O155" s="171">
        <f>((O127+O139)-(C127+C139))/(C127+C139)</f>
        <v>1.0018122471865112</v>
      </c>
      <c r="P155" s="114"/>
    </row>
    <row r="156" spans="2:16" ht="15"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09" t="s">
        <v>70</v>
      </c>
      <c r="O156" s="171">
        <f>(O147-C147)/C147</f>
        <v>0.2180441676355136</v>
      </c>
      <c r="P156" s="114"/>
    </row>
    <row r="157" spans="2:16" ht="15"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09" t="s">
        <v>71</v>
      </c>
      <c r="O157" s="171">
        <f>(O148-C148)/C148</f>
        <v>-0.15614397050298204</v>
      </c>
      <c r="P157" s="114"/>
    </row>
    <row r="159" spans="2:16">
      <c r="B159" s="106" t="s">
        <v>152</v>
      </c>
    </row>
    <row r="160" spans="2:16">
      <c r="B160" s="108" t="s">
        <v>31</v>
      </c>
      <c r="C160" s="108" t="s">
        <v>131</v>
      </c>
      <c r="D160" s="108" t="s">
        <v>131</v>
      </c>
      <c r="E160" s="108" t="s">
        <v>131</v>
      </c>
      <c r="F160" s="108" t="s">
        <v>131</v>
      </c>
      <c r="G160" s="108" t="s">
        <v>131</v>
      </c>
      <c r="H160" s="108" t="s">
        <v>131</v>
      </c>
      <c r="I160" s="108" t="s">
        <v>131</v>
      </c>
      <c r="J160" s="108" t="s">
        <v>131</v>
      </c>
      <c r="K160" s="108" t="s">
        <v>131</v>
      </c>
      <c r="L160" s="108" t="s">
        <v>131</v>
      </c>
      <c r="M160" s="108" t="s">
        <v>131</v>
      </c>
      <c r="N160" s="108" t="s">
        <v>131</v>
      </c>
      <c r="O160" s="108" t="s">
        <v>131</v>
      </c>
    </row>
    <row r="161" spans="2:15">
      <c r="B161" s="108" t="s">
        <v>119</v>
      </c>
      <c r="C161" s="108" t="s">
        <v>206</v>
      </c>
      <c r="D161" s="108" t="s">
        <v>207</v>
      </c>
      <c r="E161" s="108" t="s">
        <v>208</v>
      </c>
      <c r="F161" s="108" t="s">
        <v>209</v>
      </c>
      <c r="G161" s="108" t="s">
        <v>210</v>
      </c>
      <c r="H161" s="108" t="s">
        <v>211</v>
      </c>
      <c r="I161" s="108" t="s">
        <v>212</v>
      </c>
      <c r="J161" s="108" t="s">
        <v>213</v>
      </c>
      <c r="K161" s="108" t="s">
        <v>214</v>
      </c>
      <c r="L161" s="108" t="s">
        <v>215</v>
      </c>
      <c r="M161" s="108" t="s">
        <v>216</v>
      </c>
      <c r="N161" s="108" t="s">
        <v>217</v>
      </c>
      <c r="O161" s="108" t="s">
        <v>218</v>
      </c>
    </row>
    <row r="162" spans="2:15">
      <c r="B162" s="108" t="s">
        <v>124</v>
      </c>
      <c r="C162" s="108" t="s">
        <v>7</v>
      </c>
      <c r="D162" s="108" t="s">
        <v>9</v>
      </c>
      <c r="E162" s="108" t="s">
        <v>9</v>
      </c>
      <c r="F162" s="108" t="s">
        <v>8</v>
      </c>
      <c r="G162" s="108" t="s">
        <v>10</v>
      </c>
      <c r="H162" s="108" t="s">
        <v>11</v>
      </c>
      <c r="I162" s="108" t="s">
        <v>12</v>
      </c>
      <c r="J162" s="108" t="s">
        <v>13</v>
      </c>
      <c r="K162" s="108" t="s">
        <v>5</v>
      </c>
      <c r="L162" s="108" t="s">
        <v>6</v>
      </c>
      <c r="M162" s="108" t="s">
        <v>7</v>
      </c>
      <c r="N162" s="108" t="s">
        <v>8</v>
      </c>
      <c r="O162" s="108" t="s">
        <v>7</v>
      </c>
    </row>
    <row r="163" spans="2:15">
      <c r="B163" s="109" t="s">
        <v>243</v>
      </c>
      <c r="C163" s="119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</row>
    <row r="164" spans="2:15">
      <c r="B164" s="109" t="s">
        <v>233</v>
      </c>
      <c r="C164" s="119">
        <v>341</v>
      </c>
      <c r="D164" s="119">
        <v>4305</v>
      </c>
      <c r="E164" s="119">
        <v>0</v>
      </c>
      <c r="F164" s="119">
        <v>0</v>
      </c>
      <c r="G164" s="119">
        <v>3306.6</v>
      </c>
      <c r="H164" s="119">
        <v>27914.400000000001</v>
      </c>
      <c r="I164" s="119">
        <v>23926.9</v>
      </c>
      <c r="J164" s="119">
        <v>3200.6</v>
      </c>
      <c r="K164" s="119">
        <v>10696.2</v>
      </c>
      <c r="L164" s="119">
        <v>4341.8999999999996</v>
      </c>
      <c r="M164" s="119">
        <v>45246.3</v>
      </c>
      <c r="N164" s="119">
        <v>55123</v>
      </c>
      <c r="O164" s="119">
        <v>40054.5</v>
      </c>
    </row>
    <row r="165" spans="2:15">
      <c r="B165" s="109" t="s">
        <v>26</v>
      </c>
      <c r="C165" s="119">
        <v>2659</v>
      </c>
      <c r="D165" s="119">
        <v>11713</v>
      </c>
      <c r="E165" s="119">
        <v>0</v>
      </c>
      <c r="F165" s="119">
        <v>15430.5</v>
      </c>
      <c r="G165" s="119">
        <v>27967.5</v>
      </c>
      <c r="H165" s="119">
        <v>638167.19999999995</v>
      </c>
      <c r="I165" s="119">
        <v>455734.5</v>
      </c>
      <c r="J165" s="119">
        <v>67420.5</v>
      </c>
      <c r="K165" s="119">
        <v>39454.699999999997</v>
      </c>
      <c r="L165" s="119">
        <v>58215.4</v>
      </c>
      <c r="M165" s="119">
        <v>142680.5</v>
      </c>
      <c r="N165" s="119">
        <v>258682.2</v>
      </c>
      <c r="O165" s="119">
        <v>170347.3</v>
      </c>
    </row>
    <row r="166" spans="2:15">
      <c r="B166" s="109" t="s">
        <v>240</v>
      </c>
      <c r="C166" s="119">
        <v>0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</row>
    <row r="167" spans="2:15">
      <c r="B167" s="109" t="s">
        <v>235</v>
      </c>
      <c r="C167" s="119">
        <v>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</row>
    <row r="168" spans="2:15">
      <c r="B168" s="109" t="s">
        <v>244</v>
      </c>
      <c r="C168" s="119">
        <v>0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</row>
    <row r="169" spans="2:15">
      <c r="B169" s="109" t="s">
        <v>237</v>
      </c>
      <c r="C169" s="119">
        <v>0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</row>
    <row r="170" spans="2:15">
      <c r="B170" s="109" t="s">
        <v>245</v>
      </c>
      <c r="C170" s="119">
        <v>0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</row>
    <row r="171" spans="2:15">
      <c r="B171" s="109" t="s">
        <v>22</v>
      </c>
      <c r="C171" s="119">
        <v>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</row>
    <row r="172" spans="2:15">
      <c r="B172" s="109" t="s">
        <v>246</v>
      </c>
      <c r="C172" s="119">
        <v>0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</row>
    <row r="173" spans="2:15">
      <c r="B173" s="109" t="s">
        <v>247</v>
      </c>
      <c r="C173" s="119">
        <v>0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</row>
    <row r="174" spans="2:15">
      <c r="B174" s="109" t="s">
        <v>234</v>
      </c>
      <c r="C174" s="119">
        <v>0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</row>
    <row r="175" spans="2:15">
      <c r="B175" s="109" t="s">
        <v>248</v>
      </c>
      <c r="C175" s="119">
        <v>0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</row>
    <row r="176" spans="2:15">
      <c r="B176" s="109" t="s">
        <v>238</v>
      </c>
      <c r="C176" s="119">
        <v>0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</row>
    <row r="177" spans="2:15">
      <c r="B177" s="109" t="s">
        <v>239</v>
      </c>
      <c r="C177" s="119">
        <v>0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</row>
    <row r="178" spans="2:15">
      <c r="B178" s="109" t="s">
        <v>236</v>
      </c>
      <c r="C178" s="119">
        <v>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</row>
    <row r="179" spans="2:15">
      <c r="B179" s="109"/>
      <c r="C179" s="174">
        <v>3</v>
      </c>
      <c r="D179" s="174">
        <v>12.8</v>
      </c>
      <c r="E179" s="174" t="s">
        <v>191</v>
      </c>
      <c r="F179" s="174">
        <v>23.340193253599999</v>
      </c>
      <c r="G179" s="174">
        <v>21.599768498500001</v>
      </c>
      <c r="H179" s="174">
        <v>20.4834082251</v>
      </c>
      <c r="I179" s="174">
        <v>7.6688870712000003</v>
      </c>
      <c r="J179" s="174">
        <v>8.8270115871999995</v>
      </c>
      <c r="K179" s="174">
        <v>9.1079265776000007</v>
      </c>
      <c r="L179" s="174">
        <v>20.767300458899999</v>
      </c>
      <c r="M179" s="174">
        <v>23.806060237299999</v>
      </c>
      <c r="N179" s="174">
        <v>17.740267306</v>
      </c>
      <c r="O179" s="174">
        <v>13.0302566518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Q15" sqref="Q15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">
        <v>192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192" t="s">
        <v>48</v>
      </c>
    </row>
    <row r="8" spans="3:12" ht="10.5" customHeight="1">
      <c r="C8" s="192"/>
    </row>
    <row r="9" spans="3:12" ht="10.5" customHeight="1">
      <c r="C9" s="61" t="s">
        <v>16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>
        <v>41.289576654351698</v>
      </c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2" orientation="landscape" horizontalDpi="355" verticalDpi="35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L20" sqref="L2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">
        <v>192</v>
      </c>
    </row>
    <row r="4" spans="2:6" s="2" customFormat="1" ht="19.899999999999999" customHeight="1">
      <c r="B4" s="3"/>
      <c r="C4" s="21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192" t="s">
        <v>138</v>
      </c>
      <c r="D7" s="6"/>
      <c r="E7" s="7"/>
    </row>
    <row r="8" spans="2:6" s="2" customFormat="1" ht="12.75" customHeight="1">
      <c r="B8" s="3"/>
      <c r="C8" s="192"/>
      <c r="D8" s="6"/>
      <c r="E8" s="7"/>
    </row>
    <row r="9" spans="2:6" s="2" customFormat="1" ht="12.75" customHeight="1">
      <c r="B9" s="3"/>
      <c r="C9" s="192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 t="s">
        <v>90</v>
      </c>
    </row>
    <row r="12" spans="2:6" s="2" customFormat="1" ht="12.75" customHeight="1">
      <c r="B12" s="3"/>
      <c r="C12" s="41"/>
      <c r="D12" s="6"/>
      <c r="E12" s="7"/>
      <c r="F12" s="63" t="s">
        <v>91</v>
      </c>
    </row>
    <row r="13" spans="2:6" s="2" customFormat="1" ht="12.75" customHeight="1">
      <c r="B13" s="3"/>
      <c r="C13" s="5"/>
      <c r="D13" s="6"/>
      <c r="E13" s="7"/>
      <c r="F13" s="63" t="s">
        <v>92</v>
      </c>
    </row>
    <row r="14" spans="2:6" s="2" customFormat="1" ht="12.75" customHeight="1">
      <c r="B14" s="3"/>
      <c r="C14" s="5"/>
      <c r="D14" s="6"/>
      <c r="E14" s="7"/>
      <c r="F14" s="63" t="s">
        <v>93</v>
      </c>
    </row>
    <row r="15" spans="2:6" s="2" customFormat="1" ht="12.75" customHeight="1">
      <c r="B15" s="3"/>
      <c r="C15" s="5"/>
      <c r="D15" s="6"/>
      <c r="E15" s="7"/>
      <c r="F15" s="63" t="s">
        <v>94</v>
      </c>
    </row>
    <row r="16" spans="2:6" s="2" customFormat="1" ht="12.75" customHeight="1">
      <c r="B16" s="3"/>
      <c r="C16" s="5"/>
      <c r="D16" s="6"/>
      <c r="E16" s="7"/>
      <c r="F16" s="63" t="s">
        <v>93</v>
      </c>
    </row>
    <row r="17" spans="2:13" s="2" customFormat="1" ht="12.75" customHeight="1">
      <c r="B17" s="3"/>
      <c r="C17" s="5"/>
      <c r="D17" s="6"/>
      <c r="E17" s="7"/>
      <c r="F17" s="63" t="s">
        <v>95</v>
      </c>
    </row>
    <row r="18" spans="2:13" s="2" customFormat="1" ht="12.75" customHeight="1">
      <c r="B18" s="3"/>
      <c r="C18" s="5"/>
      <c r="D18" s="6"/>
      <c r="E18" s="7"/>
      <c r="F18" s="63" t="s">
        <v>95</v>
      </c>
    </row>
    <row r="19" spans="2:13" s="2" customFormat="1" ht="12.75" customHeight="1">
      <c r="B19" s="3"/>
      <c r="C19" s="5"/>
      <c r="D19" s="6"/>
      <c r="E19" s="7"/>
      <c r="F19" s="63" t="s">
        <v>94</v>
      </c>
    </row>
    <row r="20" spans="2:13" s="2" customFormat="1" ht="12.75" customHeight="1">
      <c r="B20" s="3"/>
      <c r="C20" s="5"/>
      <c r="D20" s="6"/>
      <c r="E20" s="7"/>
      <c r="F20" s="63" t="s">
        <v>96</v>
      </c>
    </row>
    <row r="21" spans="2:13" s="2" customFormat="1" ht="12.75" customHeight="1">
      <c r="B21" s="3"/>
      <c r="C21" s="5"/>
      <c r="D21" s="6"/>
      <c r="E21" s="7"/>
      <c r="F21" s="63" t="s">
        <v>97</v>
      </c>
    </row>
    <row r="22" spans="2:13">
      <c r="E22" s="7"/>
      <c r="F22" s="63" t="s">
        <v>98</v>
      </c>
    </row>
    <row r="23" spans="2:13">
      <c r="E23" s="7"/>
      <c r="F23" s="63" t="s">
        <v>90</v>
      </c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E33" sqref="E3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6" t="s">
        <v>192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192" t="s">
        <v>89</v>
      </c>
      <c r="D7" s="6"/>
      <c r="E7" s="14"/>
    </row>
    <row r="8" spans="2:19" s="2" customFormat="1" ht="12.75" customHeight="1">
      <c r="B8" s="3"/>
      <c r="C8" s="192"/>
      <c r="D8" s="6"/>
      <c r="E8" s="14"/>
    </row>
    <row r="9" spans="2:19" s="2" customFormat="1" ht="18" customHeight="1">
      <c r="B9" s="3"/>
      <c r="C9" s="192"/>
      <c r="D9" s="6"/>
      <c r="E9" s="14"/>
      <c r="F9" s="63" t="str">
        <f>MID('Data 1'!B62,1,1)</f>
        <v>M</v>
      </c>
      <c r="R9" s="97"/>
      <c r="S9" s="100"/>
    </row>
    <row r="10" spans="2:19" s="2" customFormat="1" ht="12.75" customHeight="1">
      <c r="B10" s="3"/>
      <c r="D10" s="6"/>
      <c r="E10" s="14"/>
      <c r="F10" s="63" t="str">
        <f>MID('Data 1'!B63,1,1)</f>
        <v>J</v>
      </c>
      <c r="R10" s="97"/>
      <c r="S10" s="100"/>
    </row>
    <row r="11" spans="2:19" s="2" customFormat="1" ht="12.75" customHeight="1">
      <c r="B11" s="3"/>
      <c r="C11" s="10"/>
      <c r="D11" s="6"/>
      <c r="E11" s="14"/>
      <c r="F11" s="63" t="str">
        <f>MID('Data 1'!B64,1,1)</f>
        <v>J</v>
      </c>
      <c r="R11" s="97"/>
      <c r="S11" s="100"/>
    </row>
    <row r="12" spans="2:19" s="2" customFormat="1" ht="12.75" customHeight="1">
      <c r="B12" s="3"/>
      <c r="C12" s="41"/>
      <c r="D12" s="6"/>
      <c r="E12" s="14"/>
      <c r="F12" s="63" t="str">
        <f>MID('Data 1'!B65,1,1)</f>
        <v>A</v>
      </c>
      <c r="R12" s="97"/>
      <c r="S12" s="100"/>
    </row>
    <row r="13" spans="2:19" s="2" customFormat="1" ht="12.75" customHeight="1">
      <c r="B13" s="3"/>
      <c r="C13" s="5"/>
      <c r="D13" s="6"/>
      <c r="E13" s="14"/>
      <c r="F13" s="63" t="str">
        <f>MID('Data 1'!B66,1,1)</f>
        <v>S</v>
      </c>
      <c r="R13" s="97"/>
      <c r="S13" s="100"/>
    </row>
    <row r="14" spans="2:19" s="2" customFormat="1" ht="12.75" customHeight="1">
      <c r="B14" s="3"/>
      <c r="C14" s="5"/>
      <c r="D14" s="6"/>
      <c r="E14" s="14"/>
      <c r="F14" s="63" t="str">
        <f>MID('Data 1'!B67,1,1)</f>
        <v>O</v>
      </c>
      <c r="R14" s="97"/>
      <c r="S14" s="100"/>
    </row>
    <row r="15" spans="2:19" s="2" customFormat="1" ht="12.75" customHeight="1">
      <c r="B15" s="3"/>
      <c r="C15" s="5"/>
      <c r="D15" s="6"/>
      <c r="E15" s="14"/>
      <c r="F15" s="63" t="str">
        <f>MID('Data 1'!B68,1,1)</f>
        <v>N</v>
      </c>
      <c r="R15" s="97"/>
      <c r="S15" s="100"/>
    </row>
    <row r="16" spans="2:19" s="2" customFormat="1" ht="12.75" customHeight="1">
      <c r="B16" s="3"/>
      <c r="C16" s="5"/>
      <c r="D16" s="6"/>
      <c r="E16" s="14"/>
      <c r="F16" s="63" t="str">
        <f>MID('Data 1'!B69,1,1)</f>
        <v>D</v>
      </c>
      <c r="R16" s="97"/>
      <c r="S16" s="100"/>
    </row>
    <row r="17" spans="2:19" s="2" customFormat="1" ht="12.75" customHeight="1">
      <c r="B17" s="3"/>
      <c r="C17" s="5"/>
      <c r="D17" s="6"/>
      <c r="E17" s="14"/>
      <c r="F17" s="63" t="str">
        <f>MID('Data 1'!B70,1,1)</f>
        <v>E</v>
      </c>
      <c r="R17" s="97"/>
      <c r="S17" s="100"/>
    </row>
    <row r="18" spans="2:19" s="2" customFormat="1" ht="12.75" customHeight="1">
      <c r="B18" s="3"/>
      <c r="C18" s="5"/>
      <c r="D18" s="6"/>
      <c r="E18" s="14"/>
      <c r="F18" s="63" t="str">
        <f>MID('Data 1'!B71,1,1)</f>
        <v>F</v>
      </c>
      <c r="R18" s="97"/>
      <c r="S18" s="100"/>
    </row>
    <row r="19" spans="2:19" s="2" customFormat="1" ht="12.75" customHeight="1">
      <c r="B19" s="3"/>
      <c r="C19" s="5"/>
      <c r="D19" s="6"/>
      <c r="E19" s="14"/>
      <c r="F19" s="63" t="str">
        <f>MID('Data 1'!B72,1,1)</f>
        <v>M</v>
      </c>
      <c r="R19" s="97"/>
      <c r="S19" s="100"/>
    </row>
    <row r="20" spans="2:19" s="2" customFormat="1" ht="12.75" customHeight="1">
      <c r="B20" s="3"/>
      <c r="C20" s="5"/>
      <c r="D20" s="6"/>
      <c r="E20" s="14"/>
      <c r="F20" s="63" t="str">
        <f>MID('Data 1'!B73,1,1)</f>
        <v>A</v>
      </c>
      <c r="R20" s="97"/>
      <c r="S20" s="100"/>
    </row>
    <row r="21" spans="2:19" s="2" customFormat="1" ht="12.75" customHeight="1">
      <c r="B21" s="3"/>
      <c r="C21" s="5"/>
      <c r="D21" s="6"/>
      <c r="E21" s="14"/>
      <c r="F21" s="63" t="str">
        <f>MID('Data 1'!B74,1,1)</f>
        <v>M</v>
      </c>
      <c r="R21" s="97"/>
      <c r="S21" s="100"/>
    </row>
    <row r="22" spans="2:19">
      <c r="E22" s="14"/>
      <c r="F22" s="2"/>
      <c r="R22" s="98"/>
    </row>
    <row r="23" spans="2:19">
      <c r="E23" s="14"/>
      <c r="F23" s="2"/>
      <c r="R23" s="99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M24" sqref="M24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6" t="s">
        <v>192</v>
      </c>
    </row>
    <row r="4" spans="1:8">
      <c r="B4" s="21" t="s">
        <v>35</v>
      </c>
    </row>
    <row r="7" spans="1:8" ht="12.75" customHeight="1">
      <c r="B7" s="193" t="s">
        <v>55</v>
      </c>
    </row>
    <row r="8" spans="1:8">
      <c r="B8" s="193"/>
    </row>
    <row r="9" spans="1:8">
      <c r="B9" s="52" t="s">
        <v>16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G28" sqref="G28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6" t="s">
        <v>192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193" t="s">
        <v>32</v>
      </c>
      <c r="D7" s="6"/>
      <c r="E7" s="14"/>
    </row>
    <row r="8" spans="2:39" s="2" customFormat="1" ht="12.75" customHeight="1">
      <c r="B8" s="3"/>
      <c r="C8" s="193"/>
      <c r="D8" s="6"/>
      <c r="E8" s="14"/>
    </row>
    <row r="9" spans="2:39" s="2" customFormat="1" ht="12.75" customHeight="1">
      <c r="B9" s="3"/>
      <c r="C9" s="193"/>
      <c r="D9" s="6"/>
      <c r="E9" s="14"/>
    </row>
    <row r="10" spans="2:39" s="2" customFormat="1" ht="12.75" customHeight="1">
      <c r="B10" s="3"/>
      <c r="C10" s="193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2" customFormat="1" ht="12.75" customHeight="1">
      <c r="C16" s="93"/>
      <c r="D16" s="94"/>
      <c r="E16" s="95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2"/>
      <c r="AM19" s="92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6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K18" sqref="K18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7.140625" style="8" bestFit="1" customWidth="1"/>
    <col min="7" max="7" width="17.140625" bestFit="1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194" t="s">
        <v>36</v>
      </c>
      <c r="F2" s="194"/>
      <c r="G2" s="194"/>
      <c r="H2" s="12"/>
      <c r="I2" s="12"/>
    </row>
    <row r="3" spans="2:9" s="1" customFormat="1" ht="15" customHeight="1">
      <c r="E3" s="195" t="s">
        <v>192</v>
      </c>
      <c r="F3" s="195"/>
      <c r="G3" s="195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1"/>
    </row>
    <row r="7" spans="2:9" s="71" customFormat="1" ht="15" customHeight="1">
      <c r="B7" s="68"/>
      <c r="C7" s="193" t="s">
        <v>135</v>
      </c>
      <c r="D7" s="69"/>
      <c r="E7" s="70"/>
      <c r="F7" s="90"/>
      <c r="G7" s="90"/>
    </row>
    <row r="8" spans="2:9" s="71" customFormat="1" ht="15" customHeight="1">
      <c r="B8" s="68"/>
      <c r="C8" s="193"/>
      <c r="D8" s="69"/>
      <c r="E8" s="72"/>
      <c r="F8" s="73" t="s">
        <v>229</v>
      </c>
      <c r="G8" s="73" t="s">
        <v>192</v>
      </c>
    </row>
    <row r="9" spans="2:9" s="2" customFormat="1" ht="15" customHeight="1">
      <c r="B9" s="3"/>
      <c r="C9" s="52"/>
      <c r="D9" s="6"/>
      <c r="E9" s="66" t="s">
        <v>63</v>
      </c>
      <c r="F9" s="103">
        <f>-VLOOKUP("Restricciones PBF - Coste",'Data 1'!F107:H125,3,FALSE)/1000000</f>
        <v>29.181824969999997</v>
      </c>
      <c r="G9" s="103">
        <f>-VLOOKUP("Restricciones PBF - Coste",'Data 1'!B107:D125,3,FALSE)/1000000</f>
        <v>42.335554139999999</v>
      </c>
    </row>
    <row r="10" spans="2:9" s="2" customFormat="1" ht="15" customHeight="1">
      <c r="B10" s="3"/>
      <c r="C10" s="193"/>
      <c r="D10" s="6"/>
      <c r="E10" s="66" t="s">
        <v>64</v>
      </c>
      <c r="F10" s="103">
        <f>-VLOOKUP("Restricciones tiempo real (SC)",'Data 1'!F107:H125,3,FALSE)/1000000</f>
        <v>0.69077535000000001</v>
      </c>
      <c r="G10" s="103">
        <f>-VLOOKUP("Restricciones tiempo real (SC)",'Data 1'!B107:D125,3,FALSE)/1000000</f>
        <v>2.26142032</v>
      </c>
    </row>
    <row r="11" spans="2:9" s="2" customFormat="1" ht="15" customHeight="1">
      <c r="B11" s="3"/>
      <c r="C11" s="193"/>
      <c r="D11" s="6"/>
      <c r="E11" s="66" t="s">
        <v>58</v>
      </c>
      <c r="F11" s="103">
        <f>SUM(F9:F10)</f>
        <v>29.872600319999997</v>
      </c>
      <c r="G11" s="103">
        <f>SUM(G9:G10)</f>
        <v>44.596974459999998</v>
      </c>
    </row>
    <row r="12" spans="2:9" s="2" customFormat="1" ht="15" customHeight="1">
      <c r="B12" s="3"/>
      <c r="C12" s="193"/>
      <c r="D12" s="6"/>
      <c r="E12" s="66" t="s">
        <v>24</v>
      </c>
      <c r="F12" s="103">
        <f>-VLOOKUP("Banda secundaria - CF",'Data 1'!F107:H125,3,FALSE)/1000000</f>
        <v>13.018145369999999</v>
      </c>
      <c r="G12" s="103">
        <f>-VLOOKUP("Banda secundaria - CF",'Data 1'!B107:D125,3,FALSE)/1000000</f>
        <v>10.484311050000001</v>
      </c>
    </row>
    <row r="13" spans="2:9" s="2" customFormat="1" ht="15" customHeight="1">
      <c r="B13" s="3"/>
      <c r="C13" s="5"/>
      <c r="D13" s="6"/>
      <c r="E13" s="66" t="s">
        <v>27</v>
      </c>
      <c r="F13" s="103">
        <f>-IFERROR(VLOOKUP("Reserva subir - Coste",'Data 1'!F107:H125,3,FALSE)/1000000,0)</f>
        <v>8.9999999999999993E-3</v>
      </c>
      <c r="G13" s="103">
        <f>-IFERROR(VLOOKUP("Reserva subir - Coste",'Data 1'!B107:D125,3,FALSE)/1000000,0)</f>
        <v>2.64800477</v>
      </c>
    </row>
    <row r="14" spans="2:9" s="2" customFormat="1" ht="15" customHeight="1">
      <c r="B14" s="3"/>
      <c r="C14" s="5"/>
      <c r="D14" s="6"/>
      <c r="E14" s="66" t="s">
        <v>17</v>
      </c>
      <c r="F14" s="103">
        <f>-(IFERROR(VLOOKUP("Gestión de desvíos",'Data 1'!F107:H125,3,FALSE)/1000000,0)+IFERROR(VLOOKUP("Regulación terciaria",'Data 1'!F107:H125,3,FALSE)/1000000,0)+IFERROR(VLOOKUP("Gestión de desvíos y terciaria (I)",'Data 1'!F107:H125,3,FALSE)/1000000,0)+IFERROR(VLOOKUP("Regulación secundaria",'Data 1'!F107:H125,3,FALSE)/1000000,0)+IFERROR(VLOOKUP("Servicios transfronterizos balance",'Data 1'!F107:H125,3,FALSE)/1000000,0)+IFERROR(VLOOKUP("Desvíos",'Data 1'!F107:H125,3,FALSE)/1000000,0)+IFERROR(VLOOKUP("Desvío entre sistemas",'Data 1'!F107:H125,3,FALSE)/1000000,0)+IFERROR(VLOOKUP("Reducción servicio interrumpibilidad",'Data 1'!F107:H125,3,FALSE)/1000000,0)+IFERROR(VLOOKUP("Enlace balear RP48",'Data 1'!F107:H125,3,FALSE)/1000000,0)+IFERROR(VLOOKUP("Acciones de balance",'Data 1'!F107:H125,3,FALSE)/1000000,0))</f>
        <v>0.79232723999999899</v>
      </c>
      <c r="G14" s="103">
        <f>-(IFERROR(VLOOKUP("Gestión de desvíos",'Data 1'!B107:D125,3,FALSE)/1000000,0)+IFERROR(VLOOKUP("Regulación terciaria",'Data 1'!B107:D125,3,FALSE)/1000000,0)+IFERROR(VLOOKUP("Gestión de desvíos y terciaria (I)",'Data 1'!B107:D125,3,FALSE)/1000000,0)+IFERROR(VLOOKUP("Regulación secundaria",'Data 1'!B107:D125,3,FALSE)/1000000,0)+IFERROR(VLOOKUP("Servicios transfronterizos balance",'Data 1'!B107:D125,3,FALSE)/1000000,0)+IFERROR(VLOOKUP("Desvíos",'Data 1'!B107:D125,3,FALSE)/1000000,0)+IFERROR(VLOOKUP("Desvío entre sistemas",'Data 1'!B107:D125,3,FALSE)/1000000,0)+IFERROR(VLOOKUP("Reducción servicio interrumpibilidad",'Data 1'!B107:D125,3,FALSE)/1000000,0)+IFERROR(VLOOKUP("Enlace balear RP48",'Data 1'!B107:D125,3,FALSE)/1000000,0)+IFERROR(VLOOKUP("Acciones de balance",'Data 1'!B107:D125,3,FALSE)/1000000,0))</f>
        <v>-1.1439888100000017</v>
      </c>
    </row>
    <row r="15" spans="2:9" s="2" customFormat="1" ht="15" customHeight="1">
      <c r="B15" s="3"/>
      <c r="C15" s="5"/>
      <c r="D15" s="6"/>
      <c r="E15" s="66" t="s">
        <v>41</v>
      </c>
      <c r="F15" s="103">
        <f>-IFERROR(VLOOKUP("Saldo desvíos",'Data 1'!F107:H125,3,FALSE)/1000000,0)</f>
        <v>-1.60593119</v>
      </c>
      <c r="G15" s="103">
        <f>-IFERROR(VLOOKUP("Saldo desvíos",'Data 1'!B107:D125,3,FALSE)/1000000,0)</f>
        <v>-0.55688327999999998</v>
      </c>
    </row>
    <row r="16" spans="2:9" s="2" customFormat="1" ht="15" customHeight="1">
      <c r="B16" s="3"/>
      <c r="C16" s="5"/>
      <c r="D16" s="6"/>
      <c r="E16" s="66" t="s">
        <v>59</v>
      </c>
      <c r="F16" s="103">
        <f>-IFERROR(VLOOKUP("Control del factor de potencia",'Data 1'!F107:H125,3,FALSE)/1000000,0)</f>
        <v>0</v>
      </c>
      <c r="G16" s="103">
        <f>-IFERROR(VLOOKUP("Control del factor de potencia",'Data 1'!B107:D125,3,FALSE)/1000000,0)</f>
        <v>0</v>
      </c>
    </row>
    <row r="17" spans="2:10" s="2" customFormat="1" ht="15" customHeight="1">
      <c r="B17" s="3"/>
      <c r="C17" s="5"/>
      <c r="D17" s="6"/>
      <c r="E17" s="67" t="s">
        <v>60</v>
      </c>
      <c r="F17" s="104">
        <f>SUM(F11:F16)</f>
        <v>42.086141739999995</v>
      </c>
      <c r="G17" s="104">
        <f>SUM(G11:G16)</f>
        <v>56.028418189999996</v>
      </c>
    </row>
    <row r="18" spans="2:10" s="2" customFormat="1" ht="15" customHeight="1">
      <c r="B18" s="3"/>
      <c r="C18" s="5"/>
      <c r="D18" s="5"/>
      <c r="E18" s="74" t="s">
        <v>155</v>
      </c>
      <c r="F18" s="65"/>
      <c r="G18" s="75">
        <f>(G17-F17)/F17</f>
        <v>0.3312795108692233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C10" sqref="C10:C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">
        <v>192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193" t="s">
        <v>61</v>
      </c>
      <c r="D7" s="6"/>
      <c r="E7" s="14"/>
    </row>
    <row r="8" spans="2:9" s="2" customFormat="1" ht="12.75" customHeight="1">
      <c r="B8" s="3"/>
      <c r="C8" s="193"/>
      <c r="D8" s="6"/>
      <c r="E8" s="14"/>
    </row>
    <row r="9" spans="2:9" s="2" customFormat="1" ht="12.75" customHeight="1">
      <c r="B9" s="3"/>
      <c r="C9" s="52" t="s">
        <v>62</v>
      </c>
      <c r="D9" s="6"/>
      <c r="E9" s="14"/>
    </row>
    <row r="10" spans="2:9" s="2" customFormat="1" ht="12.75" customHeight="1">
      <c r="B10" s="3"/>
      <c r="C10" s="193"/>
      <c r="D10" s="6"/>
      <c r="E10" s="14"/>
    </row>
    <row r="11" spans="2:9" s="2" customFormat="1" ht="12.75" customHeight="1">
      <c r="B11" s="3"/>
      <c r="C11" s="193"/>
      <c r="D11" s="6"/>
      <c r="E11" s="11"/>
    </row>
    <row r="12" spans="2:9" s="2" customFormat="1" ht="12.75" customHeight="1">
      <c r="B12" s="3"/>
      <c r="C12" s="193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topLeftCell="A20" zoomScaleNormal="100" workbookViewId="0">
      <selection activeCell="N12" sqref="N12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">
        <v>192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193" t="s">
        <v>43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86</v>
      </c>
      <c r="F9" s="35"/>
      <c r="G9" s="35"/>
    </row>
    <row r="10" spans="1:38">
      <c r="B10" s="193"/>
      <c r="F10" s="35"/>
      <c r="G10" s="35"/>
    </row>
    <row r="11" spans="1:38">
      <c r="B11" s="193"/>
      <c r="F11" s="35"/>
      <c r="G11" s="35"/>
    </row>
    <row r="12" spans="1:38" s="34" customFormat="1">
      <c r="B12" s="193"/>
      <c r="F12" s="35"/>
      <c r="G12" s="35"/>
    </row>
    <row r="13" spans="1:38">
      <c r="B13" s="193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'M1'!Área_de_impresión</vt:lpstr>
      <vt:lpstr>'M10'!Área_de_impresión</vt:lpstr>
      <vt:lpstr>'M11'!Área_de_impresión</vt:lpstr>
      <vt:lpstr>'M12'!Área_de_impresión</vt:lpstr>
      <vt:lpstr>'M13'!Área_de_impresión</vt:lpstr>
      <vt:lpstr>'M14'!Área_de_impresión</vt:lpstr>
      <vt:lpstr>'M2'!Área_de_impresión</vt:lpstr>
      <vt:lpstr>'M3'!Área_de_impresión</vt:lpstr>
      <vt:lpstr>'M5'!Área_de_impresión</vt:lpstr>
      <vt:lpstr>'M6'!Área_de_impresión</vt:lpstr>
      <vt:lpstr>'M7'!Área_de_impresión</vt:lpstr>
      <vt:lpstr>'M8'!Área_de_impresión</vt:lpstr>
      <vt:lpstr>'M9'!Área_de_impresión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2018-06-14T15:24:59Z</dcterms:modified>
</cp:coreProperties>
</file>