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JUN\INF_ELABORADA\"/>
    </mc:Choice>
  </mc:AlternateContent>
  <bookViews>
    <workbookView xWindow="0" yWindow="0" windowWidth="19395" windowHeight="7440" tabRatio="1000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P111" i="91" l="1"/>
  <c r="P78" i="91"/>
  <c r="P77" i="91"/>
  <c r="O30" i="91"/>
  <c r="O29" i="91"/>
  <c r="O91" i="88"/>
  <c r="M74" i="88" l="1"/>
  <c r="L74" i="88"/>
  <c r="K74" i="88"/>
  <c r="G39" i="88"/>
  <c r="O157" i="91" l="1"/>
  <c r="O156" i="91"/>
  <c r="O155" i="91"/>
  <c r="O154" i="91"/>
  <c r="O153" i="91"/>
  <c r="P113" i="91"/>
  <c r="P112" i="91"/>
  <c r="P110" i="91"/>
  <c r="P109" i="91"/>
  <c r="P76" i="91"/>
  <c r="P75" i="91"/>
  <c r="P74" i="91"/>
  <c r="O28" i="91"/>
  <c r="O27" i="91"/>
  <c r="O26" i="91"/>
  <c r="E165" i="88" l="1"/>
  <c r="E164" i="88"/>
  <c r="E163" i="88"/>
  <c r="E162" i="88"/>
  <c r="E161" i="88"/>
  <c r="G16" i="76"/>
  <c r="E3" i="92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G14" i="76" l="1"/>
  <c r="G15" i="76"/>
  <c r="F16" i="76"/>
  <c r="F15" i="76"/>
  <c r="F14" i="76"/>
  <c r="F9" i="76"/>
  <c r="F10" i="76"/>
  <c r="F12" i="76"/>
  <c r="F13" i="76"/>
  <c r="F11" i="76" l="1"/>
  <c r="F17" i="76" s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C13" i="91" l="1"/>
  <c r="C12" i="91"/>
  <c r="G13" i="76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O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L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H78" i="88" l="1"/>
  <c r="M78" i="88" s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G18" i="76" s="1"/>
  <c r="F62" i="88" l="1"/>
  <c r="K62" i="88" s="1"/>
  <c r="F63" i="88"/>
  <c r="K63" i="88" s="1"/>
  <c r="F64" i="88"/>
  <c r="K64" i="88" s="1"/>
  <c r="F65" i="88"/>
  <c r="K65" i="88" s="1"/>
  <c r="F66" i="88"/>
  <c r="K66" i="88" s="1"/>
  <c r="F67" i="88"/>
  <c r="K67" i="88" s="1"/>
  <c r="F68" i="88"/>
  <c r="K68" i="88" s="1"/>
  <c r="F69" i="88"/>
  <c r="K69" i="88" s="1"/>
  <c r="F70" i="88"/>
  <c r="K70" i="88" s="1"/>
  <c r="F71" i="88"/>
  <c r="K71" i="88" s="1"/>
  <c r="F72" i="88"/>
  <c r="K72" i="88" s="1"/>
  <c r="F73" i="88"/>
  <c r="K73" i="88" s="1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I74" i="88" l="1"/>
</calcChain>
</file>

<file path=xl/sharedStrings.xml><?xml version="1.0" encoding="utf-8"?>
<sst xmlns="http://schemas.openxmlformats.org/spreadsheetml/2006/main" count="941" uniqueCount="250">
  <si>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</si>
  <si>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</si>
  <si>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</si>
  <si>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</si>
  <si>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</si>
  <si>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</si>
  <si>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</si>
  <si>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</si>
  <si>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</si>
  <si>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</si>
  <si>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</si>
  <si>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</si>
  <si>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</si>
  <si>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</si>
  <si>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</si>
  <si>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</si>
  <si>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</si>
  <si>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</si>
  <si>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</si>
  <si>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</si>
  <si>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</si>
  <si>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</si>
  <si>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</si>
  <si>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</si>
  <si>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</si>
  <si>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</si>
  <si>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</si>
  <si>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</si>
  <si>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</si>
  <si>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</si>
  <si>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</si>
  <si>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</si>
  <si>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</si>
  <si>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</si>
  <si>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</si>
  <si>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</si>
  <si>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</si>
  <si>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</si>
  <si>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</si>
  <si>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</si>
  <si>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</si>
  <si>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</si>
  <si>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</si>
  <si>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</si>
  <si>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</si>
  <si>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</si>
  <si>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</si>
  <si>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</si>
  <si>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</si>
  <si>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</si>
  <si>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</si>
  <si>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</si>
  <si>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</si>
  <si>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</si>
  <si>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</si>
  <si>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</si>
  <si>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</si>
  <si>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</si>
  <si>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</si>
  <si>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</si>
  <si>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</si>
  <si>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</si>
  <si>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</si>
  <si>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</si>
  <si>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</si>
  <si>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</si>
  <si>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</si>
  <si>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</si>
  <si>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</si>
  <si>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</si>
  <si>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</si>
  <si>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</si>
  <si>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</si>
  <si>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</si>
  <si>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</si>
  <si>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</si>
  <si>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</si>
  <si>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</si>
  <si>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</si>
  <si>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</si>
  <si>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</si>
  <si>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</si>
  <si>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</si>
  <si>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</si>
  <si>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</si>
  <si>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</si>
  <si>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</si>
  <si>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</si>
  <si>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</si>
  <si>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</si>
  <si>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</si>
  <si>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</si>
  <si>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</si>
  <si>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</si>
  <si>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</si>
  <si>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</si>
  <si>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</si>
  <si>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</si>
  <si>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</si>
  <si>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</si>
  <si>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</si>
  <si>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</si>
  <si>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</si>
  <si>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</si>
  <si>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</si>
  <si>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</si>
  <si>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</si>
  <si>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</si>
  <si>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</si>
  <si>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</si>
  <si>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</si>
  <si>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</si>
  <si>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</si>
  <si>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</si>
  <si>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</si>
  <si>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</si>
  <si>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</si>
  <si>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</si>
  <si>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</si>
  <si>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</si>
  <si>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</si>
  <si>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</si>
  <si>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</si>
  <si>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</si>
  <si>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</si>
  <si>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</si>
  <si>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</si>
  <si>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</si>
  <si>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</si>
  <si>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</si>
  <si>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</si>
  <si>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</si>
  <si>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</si>
  <si>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</si>
  <si>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</si>
  <si>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</si>
  <si>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</si>
  <si>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</si>
  <si>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</si>
  <si>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</si>
  <si>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>M10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</si>
  <si>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</si>
  <si>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</si>
  <si>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</si>
  <si>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</si>
  <si>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</si>
  <si>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</si>
  <si>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</si>
  <si>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</si>
  <si>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</si>
  <si>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</si>
  <si>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</si>
  <si>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</si>
  <si>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</si>
  <si>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</si>
  <si>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</si>
  <si>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∆2018/2017</t>
  </si>
  <si>
    <t xml:space="preserve">Mercados diario e intradiario </t>
  </si>
  <si>
    <t>Subir</t>
  </si>
  <si>
    <t>Bajar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</si>
  <si>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</si>
  <si>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</si>
  <si>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</si>
  <si>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</si>
  <si>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</si>
  <si>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</si>
  <si>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</si>
  <si>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</si>
  <si>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</si>
  <si>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</si>
  <si>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</si>
  <si>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</si>
  <si>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</si>
  <si>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</si>
  <si>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</si>
  <si>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</si>
  <si>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</si>
  <si>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</si>
  <si>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</si>
  <si>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</si>
  <si>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</si>
  <si>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</si>
  <si>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</si>
  <si>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</si>
  <si>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</si>
  <si>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</si>
  <si>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</si>
  <si>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</si>
  <si>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</si>
  <si>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</si>
  <si>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Promedio</t>
  </si>
  <si>
    <t>-</t>
  </si>
  <si>
    <t>Junio 2018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</si>
  <si>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</si>
  <si>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</si>
  <si>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</si>
  <si>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</si>
  <si>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</si>
  <si>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</si>
  <si>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</si>
  <si>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</si>
  <si>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</si>
  <si>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MAR-18</t>
  </si>
  <si>
    <t>ABR-18</t>
  </si>
  <si>
    <t>MAY-18</t>
  </si>
  <si>
    <t>JUN-18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</si>
  <si>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</si>
  <si>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</si>
  <si>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</si>
  <si>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</si>
  <si>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</si>
  <si>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</si>
  <si>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</si>
  <si>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</si>
  <si>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</si>
  <si>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</si>
  <si>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</si>
  <si>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2018 Mayo</t>
  </si>
  <si>
    <t>2018 Junio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</si>
  <si>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</si>
  <si>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</si>
  <si>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</si>
  <si>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</si>
  <si>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</si>
  <si>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</si>
  <si>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</si>
  <si>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</si>
  <si>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</si>
  <si>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Reducción servicio interrumpibilidad</t>
  </si>
  <si>
    <t>Enlace balear RP48</t>
  </si>
  <si>
    <t>Junio 2017</t>
  </si>
  <si>
    <t>Restricciones Técnicas al PBF</t>
  </si>
  <si>
    <t>Restric. en Tiempo Real</t>
  </si>
  <si>
    <t>Junio</t>
  </si>
  <si>
    <t>Carbón</t>
  </si>
  <si>
    <t>Otras Renovables</t>
  </si>
  <si>
    <t>Consumo Bombeo</t>
  </si>
  <si>
    <t>Turbinación bombeo</t>
  </si>
  <si>
    <t>Eólica</t>
  </si>
  <si>
    <t>Solar fotovoltaica</t>
  </si>
  <si>
    <t>Solar térmica</t>
  </si>
  <si>
    <t>Cogeneración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</si>
  <si>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</si>
  <si>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</si>
  <si>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</si>
  <si>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</si>
  <si>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</si>
  <si>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</si>
  <si>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Nuclear</t>
  </si>
  <si>
    <t>Residuos no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</si>
</sst>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1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2" fontId="21" fillId="5" borderId="5" xfId="0" applyNumberFormat="1" applyFont="1" applyFill="1" applyBorder="1" applyAlignment="1" applyProtection="1">
      <alignment horizontal="right" vertical="center"/>
    </xf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2" fontId="49" fillId="0" borderId="0" xfId="0" applyNumberFormat="1" applyFont="1" applyFill="1" applyBorder="1" applyProtection="1"/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21" fillId="9" borderId="0" xfId="0" applyNumberFormat="1" applyFont="1" applyFill="1" applyBorder="1" applyAlignment="1" applyProtection="1">
      <alignment horizontal="left" vertical="center"/>
    </xf>
    <xf numFmtId="164" fontId="20" fillId="9" borderId="12" xfId="0" applyNumberFormat="1" applyFont="1" applyFill="1" applyBorder="1" applyAlignment="1">
      <alignment horizontal="right" vertical="center"/>
    </xf>
    <xf numFmtId="164" fontId="21" fillId="2" borderId="12" xfId="24" applyFont="1" applyFill="1" applyBorder="1" applyAlignment="1">
      <alignment horizontal="right" vertical="center"/>
    </xf>
    <xf numFmtId="0" fontId="54" fillId="0" borderId="0" xfId="0" applyFont="1" applyFill="1"/>
    <xf numFmtId="168" fontId="54" fillId="0" borderId="0" xfId="0" applyNumberFormat="1" applyFont="1" applyFill="1"/>
    <xf numFmtId="164" fontId="36" fillId="5" borderId="0" xfId="20" applyNumberFormat="1" applyFont="1" applyFill="1" applyBorder="1"/>
    <xf numFmtId="0" fontId="19" fillId="0" borderId="0" xfId="11" applyFont="1"/>
    <xf numFmtId="0" fontId="33" fillId="0" borderId="0" xfId="0" applyFont="1" applyFill="1"/>
    <xf numFmtId="2" fontId="33" fillId="0" borderId="0" xfId="0" applyNumberFormat="1" applyFont="1" applyFill="1" applyBorder="1" applyProtection="1"/>
    <xf numFmtId="166" fontId="33" fillId="0" borderId="0" xfId="0" applyNumberFormat="1" applyFont="1" applyFill="1" applyBorder="1" applyProtection="1"/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0" fontId="21" fillId="8" borderId="11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1C3D5"/>
      <color rgb="FFA99BBD"/>
      <color rgb="FF95B3D7"/>
      <color rgb="FFED7D31"/>
      <color rgb="FF0090D1"/>
      <color rgb="FF70AD47"/>
      <color rgb="FF2C4D75"/>
      <color rgb="FFCFA2CA"/>
      <color rgb="FF9933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1'!$C$5:$C$34</c:f>
              <c:numCache>
                <c:formatCode>General</c:formatCode>
                <c:ptCount val="30"/>
                <c:pt idx="0">
                  <c:v>66.260000000000005</c:v>
                </c:pt>
                <c:pt idx="1">
                  <c:v>66</c:v>
                </c:pt>
                <c:pt idx="2">
                  <c:v>64.97</c:v>
                </c:pt>
                <c:pt idx="3">
                  <c:v>64.53</c:v>
                </c:pt>
                <c:pt idx="4">
                  <c:v>64</c:v>
                </c:pt>
                <c:pt idx="5">
                  <c:v>65.650000000000006</c:v>
                </c:pt>
                <c:pt idx="6">
                  <c:v>65.959999999999994</c:v>
                </c:pt>
                <c:pt idx="7">
                  <c:v>64.67</c:v>
                </c:pt>
                <c:pt idx="8">
                  <c:v>63.51</c:v>
                </c:pt>
                <c:pt idx="9">
                  <c:v>63.3</c:v>
                </c:pt>
                <c:pt idx="10">
                  <c:v>63.44</c:v>
                </c:pt>
                <c:pt idx="11">
                  <c:v>60.51</c:v>
                </c:pt>
                <c:pt idx="12">
                  <c:v>55.77</c:v>
                </c:pt>
                <c:pt idx="13">
                  <c:v>60.11</c:v>
                </c:pt>
                <c:pt idx="14">
                  <c:v>61.9</c:v>
                </c:pt>
                <c:pt idx="15">
                  <c:v>57</c:v>
                </c:pt>
                <c:pt idx="16">
                  <c:v>53.07</c:v>
                </c:pt>
                <c:pt idx="17">
                  <c:v>57.47</c:v>
                </c:pt>
                <c:pt idx="18">
                  <c:v>60.78</c:v>
                </c:pt>
                <c:pt idx="19">
                  <c:v>62.83</c:v>
                </c:pt>
                <c:pt idx="20">
                  <c:v>61.99</c:v>
                </c:pt>
                <c:pt idx="21">
                  <c:v>62.01</c:v>
                </c:pt>
                <c:pt idx="22">
                  <c:v>60.4</c:v>
                </c:pt>
                <c:pt idx="23">
                  <c:v>61.14</c:v>
                </c:pt>
                <c:pt idx="24">
                  <c:v>64.36</c:v>
                </c:pt>
                <c:pt idx="25">
                  <c:v>64.2</c:v>
                </c:pt>
                <c:pt idx="26">
                  <c:v>64.3</c:v>
                </c:pt>
                <c:pt idx="27">
                  <c:v>63.9</c:v>
                </c:pt>
                <c:pt idx="28">
                  <c:v>63.19</c:v>
                </c:pt>
                <c:pt idx="29">
                  <c:v>62.96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1'!$D$5:$D$34</c:f>
              <c:numCache>
                <c:formatCode>General</c:formatCode>
                <c:ptCount val="30"/>
                <c:pt idx="0">
                  <c:v>59.72</c:v>
                </c:pt>
                <c:pt idx="1">
                  <c:v>54.54</c:v>
                </c:pt>
                <c:pt idx="2">
                  <c:v>46.75</c:v>
                </c:pt>
                <c:pt idx="3">
                  <c:v>49</c:v>
                </c:pt>
                <c:pt idx="4">
                  <c:v>50.01</c:v>
                </c:pt>
                <c:pt idx="5">
                  <c:v>56.64</c:v>
                </c:pt>
                <c:pt idx="6">
                  <c:v>56</c:v>
                </c:pt>
                <c:pt idx="7">
                  <c:v>58.12</c:v>
                </c:pt>
                <c:pt idx="8">
                  <c:v>50.34</c:v>
                </c:pt>
                <c:pt idx="9">
                  <c:v>49.64</c:v>
                </c:pt>
                <c:pt idx="10">
                  <c:v>51.07</c:v>
                </c:pt>
                <c:pt idx="11">
                  <c:v>50.66</c:v>
                </c:pt>
                <c:pt idx="12">
                  <c:v>48</c:v>
                </c:pt>
                <c:pt idx="13">
                  <c:v>54.87</c:v>
                </c:pt>
                <c:pt idx="14">
                  <c:v>53.12</c:v>
                </c:pt>
                <c:pt idx="15">
                  <c:v>51.1</c:v>
                </c:pt>
                <c:pt idx="16">
                  <c:v>41.58</c:v>
                </c:pt>
                <c:pt idx="17">
                  <c:v>46.89</c:v>
                </c:pt>
                <c:pt idx="18">
                  <c:v>42.6</c:v>
                </c:pt>
                <c:pt idx="19">
                  <c:v>59.7</c:v>
                </c:pt>
                <c:pt idx="20">
                  <c:v>58.68</c:v>
                </c:pt>
                <c:pt idx="21">
                  <c:v>55.01</c:v>
                </c:pt>
                <c:pt idx="22">
                  <c:v>51.02</c:v>
                </c:pt>
                <c:pt idx="23">
                  <c:v>56</c:v>
                </c:pt>
                <c:pt idx="24">
                  <c:v>52.87</c:v>
                </c:pt>
                <c:pt idx="25">
                  <c:v>59.89</c:v>
                </c:pt>
                <c:pt idx="26">
                  <c:v>60.17</c:v>
                </c:pt>
                <c:pt idx="27">
                  <c:v>58.18</c:v>
                </c:pt>
                <c:pt idx="28">
                  <c:v>59.01</c:v>
                </c:pt>
                <c:pt idx="29">
                  <c:v>54.15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191888"/>
        <c:axId val="351192280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1'!$E$5:$E$34</c:f>
              <c:numCache>
                <c:formatCode>0.00</c:formatCode>
                <c:ptCount val="30"/>
                <c:pt idx="0">
                  <c:v>63.2787699402</c:v>
                </c:pt>
                <c:pt idx="1">
                  <c:v>60.9431040857</c:v>
                </c:pt>
                <c:pt idx="2">
                  <c:v>54.571931516500001</c:v>
                </c:pt>
                <c:pt idx="3">
                  <c:v>58.5145230607</c:v>
                </c:pt>
                <c:pt idx="4">
                  <c:v>59.391869942200003</c:v>
                </c:pt>
                <c:pt idx="5">
                  <c:v>62.827333019900003</c:v>
                </c:pt>
                <c:pt idx="6">
                  <c:v>62.985069365100003</c:v>
                </c:pt>
                <c:pt idx="7">
                  <c:v>62.244764597299998</c:v>
                </c:pt>
                <c:pt idx="8">
                  <c:v>58.625308159100001</c:v>
                </c:pt>
                <c:pt idx="9">
                  <c:v>56.217831357400001</c:v>
                </c:pt>
                <c:pt idx="10">
                  <c:v>59.523166048299998</c:v>
                </c:pt>
                <c:pt idx="11">
                  <c:v>55.055718489199997</c:v>
                </c:pt>
                <c:pt idx="12">
                  <c:v>53.0376609383</c:v>
                </c:pt>
                <c:pt idx="13">
                  <c:v>58.026010599899998</c:v>
                </c:pt>
                <c:pt idx="14">
                  <c:v>57.848564886799998</c:v>
                </c:pt>
                <c:pt idx="15">
                  <c:v>52.900570042699997</c:v>
                </c:pt>
                <c:pt idx="16">
                  <c:v>44.943313576199998</c:v>
                </c:pt>
                <c:pt idx="17">
                  <c:v>54.903628995699997</c:v>
                </c:pt>
                <c:pt idx="18">
                  <c:v>54.964143897100001</c:v>
                </c:pt>
                <c:pt idx="19">
                  <c:v>61.557744439700002</c:v>
                </c:pt>
                <c:pt idx="20">
                  <c:v>60.955510579699997</c:v>
                </c:pt>
                <c:pt idx="21">
                  <c:v>59.9484054976</c:v>
                </c:pt>
                <c:pt idx="22">
                  <c:v>57.082213480299998</c:v>
                </c:pt>
                <c:pt idx="23">
                  <c:v>59.356223822700002</c:v>
                </c:pt>
                <c:pt idx="24">
                  <c:v>61.999921744399998</c:v>
                </c:pt>
                <c:pt idx="25">
                  <c:v>62.837363614899999</c:v>
                </c:pt>
                <c:pt idx="26">
                  <c:v>62.699155685699999</c:v>
                </c:pt>
                <c:pt idx="27">
                  <c:v>61.983626458700002</c:v>
                </c:pt>
                <c:pt idx="28">
                  <c:v>61.898474049599997</c:v>
                </c:pt>
                <c:pt idx="29">
                  <c:v>58.693441889500001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91888"/>
        <c:axId val="351192280"/>
      </c:lineChart>
      <c:catAx>
        <c:axId val="35119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51192280"/>
        <c:crosses val="autoZero"/>
        <c:auto val="1"/>
        <c:lblAlgn val="ctr"/>
        <c:lblOffset val="100"/>
        <c:noMultiLvlLbl val="0"/>
      </c:catAx>
      <c:valAx>
        <c:axId val="351192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5119188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46.087962962962969</c:v>
                </c:pt>
                <c:pt idx="1">
                  <c:v>37.298387096774199</c:v>
                </c:pt>
                <c:pt idx="2">
                  <c:v>36.04390681003585</c:v>
                </c:pt>
                <c:pt idx="3">
                  <c:v>38.946759259259267</c:v>
                </c:pt>
                <c:pt idx="4">
                  <c:v>39.807347670250891</c:v>
                </c:pt>
                <c:pt idx="5">
                  <c:v>33.518518518518519</c:v>
                </c:pt>
                <c:pt idx="6">
                  <c:v>37.141577060931901</c:v>
                </c:pt>
                <c:pt idx="7">
                  <c:v>34.65501792114695</c:v>
                </c:pt>
                <c:pt idx="8">
                  <c:v>48.387896825396837</c:v>
                </c:pt>
                <c:pt idx="9">
                  <c:v>44.055630327501127</c:v>
                </c:pt>
                <c:pt idx="10">
                  <c:v>51.574074074074069</c:v>
                </c:pt>
                <c:pt idx="11">
                  <c:v>59.36379928315413</c:v>
                </c:pt>
                <c:pt idx="12">
                  <c:v>54.212962962962962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3.981481481481481</c:v>
                </c:pt>
                <c:pt idx="1">
                  <c:v>4.7827060931899634</c:v>
                </c:pt>
                <c:pt idx="2">
                  <c:v>10.360663082437277</c:v>
                </c:pt>
                <c:pt idx="3">
                  <c:v>7.4074074074074066</c:v>
                </c:pt>
                <c:pt idx="4">
                  <c:v>6.25</c:v>
                </c:pt>
                <c:pt idx="5">
                  <c:v>10.11574074074074</c:v>
                </c:pt>
                <c:pt idx="6">
                  <c:v>8.736559139784946</c:v>
                </c:pt>
                <c:pt idx="7">
                  <c:v>14.448924731182796</c:v>
                </c:pt>
                <c:pt idx="8">
                  <c:v>4.8363095238095237</c:v>
                </c:pt>
                <c:pt idx="9">
                  <c:v>12.113055181695827</c:v>
                </c:pt>
                <c:pt idx="10">
                  <c:v>16.296296296296294</c:v>
                </c:pt>
                <c:pt idx="11">
                  <c:v>13.732078853046591</c:v>
                </c:pt>
                <c:pt idx="12">
                  <c:v>6.8055555555555554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</c:v>
                </c:pt>
                <c:pt idx="1">
                  <c:v>0.13440860215053765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13.032407407407407</c:v>
                </c:pt>
                <c:pt idx="1">
                  <c:v>17.6747311827957</c:v>
                </c:pt>
                <c:pt idx="2">
                  <c:v>17.517921146953402</c:v>
                </c:pt>
                <c:pt idx="3">
                  <c:v>19.201388888888893</c:v>
                </c:pt>
                <c:pt idx="4">
                  <c:v>10.483870967741936</c:v>
                </c:pt>
                <c:pt idx="5">
                  <c:v>17.546296296296298</c:v>
                </c:pt>
                <c:pt idx="6">
                  <c:v>15.770609318996415</c:v>
                </c:pt>
                <c:pt idx="7">
                  <c:v>11.312724014336919</c:v>
                </c:pt>
                <c:pt idx="8">
                  <c:v>7.9613095238095237</c:v>
                </c:pt>
                <c:pt idx="9">
                  <c:v>2.489905787348587</c:v>
                </c:pt>
                <c:pt idx="10">
                  <c:v>1.5277777777777777</c:v>
                </c:pt>
                <c:pt idx="11">
                  <c:v>2.1281362007168458</c:v>
                </c:pt>
                <c:pt idx="12">
                  <c:v>4.6296296296296298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25.462962962962965</c:v>
                </c:pt>
                <c:pt idx="1">
                  <c:v>28.59543010752688</c:v>
                </c:pt>
                <c:pt idx="2">
                  <c:v>17.708333333333336</c:v>
                </c:pt>
                <c:pt idx="3">
                  <c:v>17.187499999999996</c:v>
                </c:pt>
                <c:pt idx="4">
                  <c:v>25.963261648745522</c:v>
                </c:pt>
                <c:pt idx="5">
                  <c:v>26.087962962962962</c:v>
                </c:pt>
                <c:pt idx="6">
                  <c:v>19.153225806451612</c:v>
                </c:pt>
                <c:pt idx="7">
                  <c:v>18.637992831541222</c:v>
                </c:pt>
                <c:pt idx="8">
                  <c:v>25.992063492063487</c:v>
                </c:pt>
                <c:pt idx="9">
                  <c:v>8.1202332884701658</c:v>
                </c:pt>
                <c:pt idx="10">
                  <c:v>3.4722222222222223</c:v>
                </c:pt>
                <c:pt idx="11">
                  <c:v>7.2356630824372772</c:v>
                </c:pt>
                <c:pt idx="12">
                  <c:v>16.944444444444446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11.435185185185185</c:v>
                </c:pt>
                <c:pt idx="1">
                  <c:v>11.514336917562725</c:v>
                </c:pt>
                <c:pt idx="2">
                  <c:v>18.369175627240143</c:v>
                </c:pt>
                <c:pt idx="3">
                  <c:v>17.256944444444443</c:v>
                </c:pt>
                <c:pt idx="4">
                  <c:v>17.495519713261647</c:v>
                </c:pt>
                <c:pt idx="5">
                  <c:v>12.731481481481485</c:v>
                </c:pt>
                <c:pt idx="6">
                  <c:v>19.198028673835125</c:v>
                </c:pt>
                <c:pt idx="7">
                  <c:v>20.945340501792113</c:v>
                </c:pt>
                <c:pt idx="8">
                  <c:v>12.822420634920634</c:v>
                </c:pt>
                <c:pt idx="9">
                  <c:v>33.221175414984295</c:v>
                </c:pt>
                <c:pt idx="10">
                  <c:v>27.129629629629637</c:v>
                </c:pt>
                <c:pt idx="11">
                  <c:v>17.540322580645157</c:v>
                </c:pt>
                <c:pt idx="12">
                  <c:v>17.407407407407405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193064"/>
        <c:axId val="351193456"/>
      </c:barChart>
      <c:catAx>
        <c:axId val="35119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1193456"/>
        <c:crosses val="autoZero"/>
        <c:auto val="1"/>
        <c:lblAlgn val="ctr"/>
        <c:lblOffset val="100"/>
        <c:noMultiLvlLbl val="0"/>
      </c:catAx>
      <c:valAx>
        <c:axId val="351193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11930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50.77</c:v>
                </c:pt>
                <c:pt idx="1">
                  <c:v>49.13</c:v>
                </c:pt>
                <c:pt idx="2">
                  <c:v>48.03</c:v>
                </c:pt>
                <c:pt idx="3">
                  <c:v>49.519999999999996</c:v>
                </c:pt>
                <c:pt idx="4">
                  <c:v>57.56</c:v>
                </c:pt>
                <c:pt idx="5">
                  <c:v>60.56</c:v>
                </c:pt>
                <c:pt idx="6">
                  <c:v>60.14</c:v>
                </c:pt>
                <c:pt idx="7">
                  <c:v>51.77</c:v>
                </c:pt>
                <c:pt idx="8">
                  <c:v>55.760000000000005</c:v>
                </c:pt>
                <c:pt idx="9">
                  <c:v>41.75</c:v>
                </c:pt>
                <c:pt idx="10">
                  <c:v>43.51</c:v>
                </c:pt>
                <c:pt idx="11">
                  <c:v>55.4</c:v>
                </c:pt>
                <c:pt idx="12">
                  <c:v>58.79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1.2499999999999998</c:v>
                </c:pt>
                <c:pt idx="1">
                  <c:v>1.6499999999999997</c:v>
                </c:pt>
                <c:pt idx="2">
                  <c:v>2.5000000000000004</c:v>
                </c:pt>
                <c:pt idx="3">
                  <c:v>2.2000000000000006</c:v>
                </c:pt>
                <c:pt idx="4">
                  <c:v>2.7700000000000005</c:v>
                </c:pt>
                <c:pt idx="5">
                  <c:v>1.6799999999999997</c:v>
                </c:pt>
                <c:pt idx="6">
                  <c:v>2.25</c:v>
                </c:pt>
                <c:pt idx="7">
                  <c:v>1.9599999999999997</c:v>
                </c:pt>
                <c:pt idx="8">
                  <c:v>1.5699999999999998</c:v>
                </c:pt>
                <c:pt idx="9">
                  <c:v>4.21</c:v>
                </c:pt>
                <c:pt idx="10">
                  <c:v>3.68</c:v>
                </c:pt>
                <c:pt idx="11">
                  <c:v>2.88</c:v>
                </c:pt>
                <c:pt idx="12">
                  <c:v>2.1000000000000005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2.91</c:v>
                </c:pt>
                <c:pt idx="1">
                  <c:v>3.22</c:v>
                </c:pt>
                <c:pt idx="2">
                  <c:v>2.1800000000000002</c:v>
                </c:pt>
                <c:pt idx="3">
                  <c:v>2.42</c:v>
                </c:pt>
                <c:pt idx="4">
                  <c:v>2.35</c:v>
                </c:pt>
                <c:pt idx="5">
                  <c:v>2.4900000000000002</c:v>
                </c:pt>
                <c:pt idx="6">
                  <c:v>3.07</c:v>
                </c:pt>
                <c:pt idx="7">
                  <c:v>3.19</c:v>
                </c:pt>
                <c:pt idx="8">
                  <c:v>3.18</c:v>
                </c:pt>
                <c:pt idx="9">
                  <c:v>2.56</c:v>
                </c:pt>
                <c:pt idx="10">
                  <c:v>2.4300000000000002</c:v>
                </c:pt>
                <c:pt idx="11">
                  <c:v>2.37</c:v>
                </c:pt>
                <c:pt idx="12">
                  <c:v>2.85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2</c:v>
                </c:pt>
                <c:pt idx="1">
                  <c:v>1.93</c:v>
                </c:pt>
                <c:pt idx="2">
                  <c:v>1.99</c:v>
                </c:pt>
                <c:pt idx="3">
                  <c:v>2.14</c:v>
                </c:pt>
                <c:pt idx="4">
                  <c:v>2.15</c:v>
                </c:pt>
                <c:pt idx="5">
                  <c:v>2.0699999999999998</c:v>
                </c:pt>
                <c:pt idx="6">
                  <c:v>1.85</c:v>
                </c:pt>
                <c:pt idx="7">
                  <c:v>1.36</c:v>
                </c:pt>
                <c:pt idx="8">
                  <c:v>1.44</c:v>
                </c:pt>
                <c:pt idx="9">
                  <c:v>1.41</c:v>
                </c:pt>
                <c:pt idx="10">
                  <c:v>1.56</c:v>
                </c:pt>
                <c:pt idx="11">
                  <c:v>1.53</c:v>
                </c:pt>
                <c:pt idx="12">
                  <c:v>1.1299999999999999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1194632"/>
        <c:axId val="351195024"/>
      </c:barChart>
      <c:catAx>
        <c:axId val="35119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1195024"/>
        <c:crosses val="autoZero"/>
        <c:auto val="1"/>
        <c:lblAlgn val="ctr"/>
        <c:lblOffset val="100"/>
        <c:noMultiLvlLbl val="0"/>
      </c:catAx>
      <c:valAx>
        <c:axId val="351195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1194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5538553632213"/>
          <c:y val="4.5902076725796825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58.79</c:v>
                </c:pt>
                <c:pt idx="1">
                  <c:v>2.85</c:v>
                </c:pt>
                <c:pt idx="2">
                  <c:v>1.1299999999999999</c:v>
                </c:pt>
                <c:pt idx="3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0.69</c:v>
                </c:pt>
                <c:pt idx="1">
                  <c:v>1.1399999999999999</c:v>
                </c:pt>
                <c:pt idx="2">
                  <c:v>1.86</c:v>
                </c:pt>
                <c:pt idx="3">
                  <c:v>1.55</c:v>
                </c:pt>
                <c:pt idx="4">
                  <c:v>1.1299999999999999</c:v>
                </c:pt>
                <c:pt idx="5">
                  <c:v>0.78</c:v>
                </c:pt>
                <c:pt idx="6">
                  <c:v>1.08</c:v>
                </c:pt>
                <c:pt idx="7">
                  <c:v>1.08</c:v>
                </c:pt>
                <c:pt idx="8">
                  <c:v>0.88</c:v>
                </c:pt>
                <c:pt idx="9">
                  <c:v>2.92</c:v>
                </c:pt>
                <c:pt idx="10">
                  <c:v>2.61</c:v>
                </c:pt>
                <c:pt idx="11">
                  <c:v>2.12</c:v>
                </c:pt>
                <c:pt idx="12">
                  <c:v>1.5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0.02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0.12</c:v>
                </c:pt>
                <c:pt idx="5">
                  <c:v>0.08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0.17</c:v>
                </c:pt>
                <c:pt idx="10">
                  <c:v>0.09</c:v>
                </c:pt>
                <c:pt idx="11">
                  <c:v>0.11</c:v>
                </c:pt>
                <c:pt idx="12">
                  <c:v>0.05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0.01</c:v>
                </c:pt>
                <c:pt idx="1">
                  <c:v>0</c:v>
                </c:pt>
                <c:pt idx="2">
                  <c:v>0.02</c:v>
                </c:pt>
                <c:pt idx="3">
                  <c:v>0.03</c:v>
                </c:pt>
                <c:pt idx="4">
                  <c:v>0.66</c:v>
                </c:pt>
                <c:pt idx="5">
                  <c:v>0.17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0.2</c:v>
                </c:pt>
                <c:pt idx="10">
                  <c:v>0.27</c:v>
                </c:pt>
                <c:pt idx="11">
                  <c:v>0.13</c:v>
                </c:pt>
                <c:pt idx="12">
                  <c:v>0.08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0.5</c:v>
                </c:pt>
                <c:pt idx="1">
                  <c:v>0.43</c:v>
                </c:pt>
                <c:pt idx="2">
                  <c:v>0.46</c:v>
                </c:pt>
                <c:pt idx="3">
                  <c:v>0.47</c:v>
                </c:pt>
                <c:pt idx="4">
                  <c:v>0.81</c:v>
                </c:pt>
                <c:pt idx="5">
                  <c:v>0.6</c:v>
                </c:pt>
                <c:pt idx="6">
                  <c:v>0.94</c:v>
                </c:pt>
                <c:pt idx="7">
                  <c:v>0.7</c:v>
                </c:pt>
                <c:pt idx="8">
                  <c:v>0.49</c:v>
                </c:pt>
                <c:pt idx="9">
                  <c:v>0.89</c:v>
                </c:pt>
                <c:pt idx="10">
                  <c:v>0.68</c:v>
                </c:pt>
                <c:pt idx="11">
                  <c:v>0.52</c:v>
                </c:pt>
                <c:pt idx="12">
                  <c:v>0.49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0.18000000000000002</c:v>
                </c:pt>
                <c:pt idx="1">
                  <c:v>0.18</c:v>
                </c:pt>
                <c:pt idx="2">
                  <c:v>0.25</c:v>
                </c:pt>
                <c:pt idx="3">
                  <c:v>0.24000000000000002</c:v>
                </c:pt>
                <c:pt idx="4">
                  <c:v>0.21000000000000002</c:v>
                </c:pt>
                <c:pt idx="5">
                  <c:v>0.2</c:v>
                </c:pt>
                <c:pt idx="6">
                  <c:v>0.38</c:v>
                </c:pt>
                <c:pt idx="7">
                  <c:v>0.33999999999999997</c:v>
                </c:pt>
                <c:pt idx="8">
                  <c:v>0.22</c:v>
                </c:pt>
                <c:pt idx="9">
                  <c:v>0.15</c:v>
                </c:pt>
                <c:pt idx="10">
                  <c:v>0.17</c:v>
                </c:pt>
                <c:pt idx="11">
                  <c:v>0.11</c:v>
                </c:pt>
                <c:pt idx="12">
                  <c:v>0.06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</c:v>
                </c:pt>
                <c:pt idx="1">
                  <c:v>-0.1</c:v>
                </c:pt>
                <c:pt idx="2">
                  <c:v>-9.0000000000000011E-2</c:v>
                </c:pt>
                <c:pt idx="3">
                  <c:v>-9.0000000000000011E-2</c:v>
                </c:pt>
                <c:pt idx="4">
                  <c:v>-0.11000000000000001</c:v>
                </c:pt>
                <c:pt idx="5">
                  <c:v>-0.09</c:v>
                </c:pt>
                <c:pt idx="6">
                  <c:v>-0.15000000000000002</c:v>
                </c:pt>
                <c:pt idx="7">
                  <c:v>-0.16</c:v>
                </c:pt>
                <c:pt idx="8">
                  <c:v>-7.0000000000000007E-2</c:v>
                </c:pt>
                <c:pt idx="9">
                  <c:v>-0.04</c:v>
                </c:pt>
                <c:pt idx="10">
                  <c:v>-7.0000000000000007E-2</c:v>
                </c:pt>
                <c:pt idx="11">
                  <c:v>-0.05</c:v>
                </c:pt>
                <c:pt idx="12">
                  <c:v>-0.03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-0.06</c:v>
                </c:pt>
                <c:pt idx="6">
                  <c:v>-0.08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-0.08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505712"/>
        <c:axId val="350506104"/>
      </c:barChart>
      <c:catAx>
        <c:axId val="35050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050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50610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050571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Junio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1135.1012000000001</c:v>
                </c:pt>
                <c:pt idx="1">
                  <c:v>188.35008199999999</c:v>
                </c:pt>
                <c:pt idx="2">
                  <c:v>197.80779999999999</c:v>
                </c:pt>
                <c:pt idx="3">
                  <c:v>196.27600000000001</c:v>
                </c:pt>
                <c:pt idx="4">
                  <c:v>25.190899999999999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Junio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736.32920000000001</c:v>
                </c:pt>
                <c:pt idx="1">
                  <c:v>182.39728199999999</c:v>
                </c:pt>
                <c:pt idx="2">
                  <c:v>363.06760000000003</c:v>
                </c:pt>
                <c:pt idx="3">
                  <c:v>216.17</c:v>
                </c:pt>
                <c:pt idx="4">
                  <c:v>13.638400000000001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39896"/>
        <c:axId val="350940288"/>
      </c:barChart>
      <c:catAx>
        <c:axId val="35093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0940288"/>
        <c:crosses val="autoZero"/>
        <c:auto val="1"/>
        <c:lblAlgn val="ctr"/>
        <c:lblOffset val="100"/>
        <c:noMultiLvlLbl val="0"/>
      </c:catAx>
      <c:valAx>
        <c:axId val="3509402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0939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535700.19999999995</c:v>
                </c:pt>
                <c:pt idx="1">
                  <c:v>612390.30000000005</c:v>
                </c:pt>
                <c:pt idx="2">
                  <c:v>842008.2</c:v>
                </c:pt>
                <c:pt idx="3">
                  <c:v>659557.1</c:v>
                </c:pt>
                <c:pt idx="4">
                  <c:v>613794.4</c:v>
                </c:pt>
                <c:pt idx="5">
                  <c:v>428275.6</c:v>
                </c:pt>
                <c:pt idx="6">
                  <c:v>499810.1</c:v>
                </c:pt>
                <c:pt idx="7">
                  <c:v>535924.4</c:v>
                </c:pt>
                <c:pt idx="8">
                  <c:v>587965.4</c:v>
                </c:pt>
                <c:pt idx="9">
                  <c:v>766935.8</c:v>
                </c:pt>
                <c:pt idx="10">
                  <c:v>653437.19999999995</c:v>
                </c:pt>
                <c:pt idx="11">
                  <c:v>688216.9</c:v>
                </c:pt>
                <c:pt idx="12">
                  <c:v>680942.3</c:v>
                </c:pt>
              </c:numCache>
            </c:numRef>
          </c:val>
        </c:ser>
        <c:ser>
          <c:idx val="4"/>
          <c:order val="1"/>
          <c:tx>
            <c:strRef>
              <c:f>'Data 1'!$C$140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176734.4</c:v>
                </c:pt>
                <c:pt idx="1">
                  <c:v>221645.5</c:v>
                </c:pt>
                <c:pt idx="2">
                  <c:v>424631</c:v>
                </c:pt>
                <c:pt idx="3">
                  <c:v>419522.2</c:v>
                </c:pt>
                <c:pt idx="4">
                  <c:v>195163.5</c:v>
                </c:pt>
                <c:pt idx="5">
                  <c:v>99779.8</c:v>
                </c:pt>
                <c:pt idx="6">
                  <c:v>195559</c:v>
                </c:pt>
                <c:pt idx="7">
                  <c:v>323414.2</c:v>
                </c:pt>
                <c:pt idx="8">
                  <c:v>176086.6</c:v>
                </c:pt>
                <c:pt idx="9">
                  <c:v>469679.3</c:v>
                </c:pt>
                <c:pt idx="10">
                  <c:v>637382</c:v>
                </c:pt>
                <c:pt idx="11">
                  <c:v>356322</c:v>
                </c:pt>
                <c:pt idx="12">
                  <c:v>368722</c:v>
                </c:pt>
              </c:numCache>
            </c:numRef>
          </c:val>
        </c:ser>
        <c:ser>
          <c:idx val="6"/>
          <c:order val="2"/>
          <c:tx>
            <c:strRef>
              <c:f>'Data 1'!$C$143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0</c:v>
                </c:pt>
                <c:pt idx="1">
                  <c:v>1709.9</c:v>
                </c:pt>
                <c:pt idx="2">
                  <c:v>227.4</c:v>
                </c:pt>
                <c:pt idx="3">
                  <c:v>2247.5</c:v>
                </c:pt>
                <c:pt idx="4">
                  <c:v>2877.8</c:v>
                </c:pt>
                <c:pt idx="5">
                  <c:v>370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1000</c:v>
                </c:pt>
                <c:pt idx="11">
                  <c:v>5321</c:v>
                </c:pt>
                <c:pt idx="12">
                  <c:v>583.4</c:v>
                </c:pt>
              </c:numCache>
            </c:numRef>
          </c:val>
        </c:ser>
        <c:ser>
          <c:idx val="0"/>
          <c:order val="3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240</c:v>
                </c:pt>
                <c:pt idx="1">
                  <c:v>245</c:v>
                </c:pt>
                <c:pt idx="2">
                  <c:v>714.3</c:v>
                </c:pt>
                <c:pt idx="3">
                  <c:v>1903.2</c:v>
                </c:pt>
                <c:pt idx="4">
                  <c:v>1865.1</c:v>
                </c:pt>
                <c:pt idx="5">
                  <c:v>1458.4</c:v>
                </c:pt>
                <c:pt idx="6">
                  <c:v>237.7</c:v>
                </c:pt>
                <c:pt idx="7">
                  <c:v>0</c:v>
                </c:pt>
                <c:pt idx="8">
                  <c:v>0</c:v>
                </c:pt>
                <c:pt idx="9">
                  <c:v>790</c:v>
                </c:pt>
                <c:pt idx="10">
                  <c:v>0</c:v>
                </c:pt>
                <c:pt idx="11">
                  <c:v>6699</c:v>
                </c:pt>
                <c:pt idx="12">
                  <c:v>0</c:v>
                </c:pt>
              </c:numCache>
            </c:numRef>
          </c:val>
        </c:ser>
        <c:ser>
          <c:idx val="2"/>
          <c:order val="4"/>
          <c:tx>
            <c:strRef>
              <c:f>'Data 1'!$C$142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1096.8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506888"/>
        <c:axId val="350505320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69.048564800799994</c:v>
                </c:pt>
                <c:pt idx="1">
                  <c:v>78.254490438700003</c:v>
                </c:pt>
                <c:pt idx="2">
                  <c:v>77.994650132399997</c:v>
                </c:pt>
                <c:pt idx="3">
                  <c:v>76.517602623599998</c:v>
                </c:pt>
                <c:pt idx="4">
                  <c:v>81.795735348899996</c:v>
                </c:pt>
                <c:pt idx="5">
                  <c:v>84.904646773500005</c:v>
                </c:pt>
                <c:pt idx="6">
                  <c:v>84.624577850600005</c:v>
                </c:pt>
                <c:pt idx="7">
                  <c:v>74.514763412199997</c:v>
                </c:pt>
                <c:pt idx="8">
                  <c:v>78.626601016699993</c:v>
                </c:pt>
                <c:pt idx="9">
                  <c:v>93.5007353158</c:v>
                </c:pt>
                <c:pt idx="10">
                  <c:v>83.062835728099998</c:v>
                </c:pt>
                <c:pt idx="11">
                  <c:v>92.308901434600003</c:v>
                </c:pt>
                <c:pt idx="12">
                  <c:v>86.571554243799994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504536"/>
        <c:axId val="350504928"/>
      </c:lineChart>
      <c:catAx>
        <c:axId val="35050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505320"/>
        <c:crosses val="autoZero"/>
        <c:auto val="1"/>
        <c:lblAlgn val="ctr"/>
        <c:lblOffset val="100"/>
        <c:noMultiLvlLbl val="1"/>
      </c:catAx>
      <c:valAx>
        <c:axId val="350505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506888"/>
        <c:crosses val="autoZero"/>
        <c:crossBetween val="between"/>
        <c:dispUnits>
          <c:builtInUnit val="thousands"/>
        </c:dispUnits>
      </c:valAx>
      <c:valAx>
        <c:axId val="35050492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504536"/>
        <c:crosses val="max"/>
        <c:crossBetween val="between"/>
      </c:valAx>
      <c:catAx>
        <c:axId val="350504536"/>
        <c:scaling>
          <c:orientation val="minMax"/>
        </c:scaling>
        <c:delete val="1"/>
        <c:axPos val="b"/>
        <c:majorTickMark val="out"/>
        <c:minorTickMark val="none"/>
        <c:tickLblPos val="nextTo"/>
        <c:crossAx val="35050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8771</c:v>
                </c:pt>
                <c:pt idx="1">
                  <c:v>66423</c:v>
                </c:pt>
                <c:pt idx="2">
                  <c:v>75870.399999999994</c:v>
                </c:pt>
                <c:pt idx="3">
                  <c:v>802.5</c:v>
                </c:pt>
                <c:pt idx="4">
                  <c:v>7913</c:v>
                </c:pt>
                <c:pt idx="5">
                  <c:v>9798</c:v>
                </c:pt>
                <c:pt idx="6">
                  <c:v>40570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4460</c:v>
                </c:pt>
              </c:numCache>
            </c:numRef>
          </c:val>
        </c:ser>
        <c:ser>
          <c:idx val="2"/>
          <c:order val="1"/>
          <c:tx>
            <c:strRef>
              <c:f>'Data 1'!$C$148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12552</c:v>
                </c:pt>
                <c:pt idx="1">
                  <c:v>75034.899999999994</c:v>
                </c:pt>
                <c:pt idx="2">
                  <c:v>123130.8</c:v>
                </c:pt>
                <c:pt idx="3">
                  <c:v>67762.600000000006</c:v>
                </c:pt>
                <c:pt idx="4">
                  <c:v>45184</c:v>
                </c:pt>
                <c:pt idx="5">
                  <c:v>18106.5</c:v>
                </c:pt>
                <c:pt idx="6">
                  <c:v>3247</c:v>
                </c:pt>
                <c:pt idx="7">
                  <c:v>1230</c:v>
                </c:pt>
                <c:pt idx="8">
                  <c:v>16736</c:v>
                </c:pt>
                <c:pt idx="9">
                  <c:v>0</c:v>
                </c:pt>
                <c:pt idx="10">
                  <c:v>0</c:v>
                </c:pt>
                <c:pt idx="11">
                  <c:v>27663.3</c:v>
                </c:pt>
                <c:pt idx="12">
                  <c:v>52106</c:v>
                </c:pt>
              </c:numCache>
            </c:numRef>
          </c:val>
        </c:ser>
        <c:ser>
          <c:idx val="6"/>
          <c:order val="2"/>
          <c:tx>
            <c:strRef>
              <c:f>'Data 1'!$C$152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0</c:v>
                </c:pt>
                <c:pt idx="1">
                  <c:v>910.1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74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3"/>
          <c:order val="4"/>
          <c:tx>
            <c:strRef>
              <c:f>'Data 1'!$C$149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1652.9</c:v>
                </c:pt>
                <c:pt idx="1">
                  <c:v>19943.3</c:v>
                </c:pt>
                <c:pt idx="2">
                  <c:v>1278.3</c:v>
                </c:pt>
                <c:pt idx="3">
                  <c:v>9561.7000000000007</c:v>
                </c:pt>
                <c:pt idx="4">
                  <c:v>2732.2</c:v>
                </c:pt>
                <c:pt idx="5">
                  <c:v>568.29999999999995</c:v>
                </c:pt>
                <c:pt idx="6">
                  <c:v>1377.6</c:v>
                </c:pt>
                <c:pt idx="7">
                  <c:v>0</c:v>
                </c:pt>
                <c:pt idx="8">
                  <c:v>1262.8</c:v>
                </c:pt>
                <c:pt idx="9">
                  <c:v>2064.3000000000002</c:v>
                </c:pt>
                <c:pt idx="10">
                  <c:v>855.2</c:v>
                </c:pt>
                <c:pt idx="11">
                  <c:v>18.7</c:v>
                </c:pt>
                <c:pt idx="12">
                  <c:v>368.1</c:v>
                </c:pt>
              </c:numCache>
            </c:numRef>
          </c:val>
        </c:ser>
        <c:ser>
          <c:idx val="11"/>
          <c:order val="5"/>
          <c:tx>
            <c:v>Hidráulica</c:v>
          </c:tx>
          <c:spPr>
            <a:solidFill>
              <a:srgbClr val="00B0F0"/>
            </a:solidFill>
          </c:spPr>
          <c:invertIfNegative val="0"/>
          <c:val>
            <c:numRef>
              <c:f>'Data 1'!$D$145:$P$145</c:f>
              <c:numCache>
                <c:formatCode>#,##0.00</c:formatCode>
                <c:ptCount val="13"/>
                <c:pt idx="0">
                  <c:v>70</c:v>
                </c:pt>
                <c:pt idx="1">
                  <c:v>36</c:v>
                </c:pt>
                <c:pt idx="2">
                  <c:v>0</c:v>
                </c:pt>
                <c:pt idx="3">
                  <c:v>4762.5</c:v>
                </c:pt>
                <c:pt idx="4">
                  <c:v>54.3</c:v>
                </c:pt>
                <c:pt idx="5">
                  <c:v>428.4</c:v>
                </c:pt>
                <c:pt idx="6">
                  <c:v>0</c:v>
                </c:pt>
                <c:pt idx="7">
                  <c:v>0</c:v>
                </c:pt>
                <c:pt idx="8">
                  <c:v>563.70000000000005</c:v>
                </c:pt>
                <c:pt idx="9">
                  <c:v>0</c:v>
                </c:pt>
                <c:pt idx="10">
                  <c:v>637</c:v>
                </c:pt>
                <c:pt idx="11">
                  <c:v>1645.3</c:v>
                </c:pt>
                <c:pt idx="12">
                  <c:v>764.8</c:v>
                </c:pt>
              </c:numCache>
            </c:numRef>
          </c:val>
        </c:ser>
        <c:ser>
          <c:idx val="13"/>
          <c:order val="6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0"/>
          <c:order val="7"/>
          <c:tx>
            <c:strRef>
              <c:f>'Data 1'!$C$153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288.39999999999998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'Data 1'!$C$150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0</c:v>
                </c:pt>
                <c:pt idx="1">
                  <c:v>1820.4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25.9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</c:numCache>
            </c:numRef>
          </c:val>
        </c:ser>
        <c:ser>
          <c:idx val="5"/>
          <c:order val="9"/>
          <c:tx>
            <c:strRef>
              <c:f>'Data 1'!$C$151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608.70000000000005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784</c:v>
                </c:pt>
                <c:pt idx="5">
                  <c:v>944</c:v>
                </c:pt>
                <c:pt idx="6">
                  <c:v>0</c:v>
                </c:pt>
                <c:pt idx="7">
                  <c:v>0</c:v>
                </c:pt>
                <c:pt idx="8">
                  <c:v>0.7</c:v>
                </c:pt>
                <c:pt idx="9">
                  <c:v>0</c:v>
                </c:pt>
                <c:pt idx="10">
                  <c:v>0</c:v>
                </c:pt>
                <c:pt idx="11">
                  <c:v>221.4</c:v>
                </c:pt>
                <c:pt idx="12">
                  <c:v>0</c:v>
                </c:pt>
              </c:numCache>
            </c:numRef>
          </c:val>
        </c:ser>
        <c:ser>
          <c:idx val="0"/>
          <c:order val="10"/>
          <c:tx>
            <c:strRef>
              <c:f>'Data 1'!$C$146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0</c:v>
                </c:pt>
                <c:pt idx="1">
                  <c:v>2822.9</c:v>
                </c:pt>
                <c:pt idx="2">
                  <c:v>5090.1000000000004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200</c:v>
                </c:pt>
                <c:pt idx="10">
                  <c:v>3504.5</c:v>
                </c:pt>
                <c:pt idx="11">
                  <c:v>11565.1</c:v>
                </c:pt>
                <c:pt idx="12">
                  <c:v>27154.6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941464"/>
        <c:axId val="350941072"/>
      </c:barChart>
      <c:lineChart>
        <c:grouping val="standard"/>
        <c:varyColors val="0"/>
        <c:ser>
          <c:idx val="7"/>
          <c:order val="11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2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55.270262020899999</c:v>
                </c:pt>
                <c:pt idx="1">
                  <c:v>48.6004134963</c:v>
                </c:pt>
                <c:pt idx="2">
                  <c:v>49.077318314899998</c:v>
                </c:pt>
                <c:pt idx="3">
                  <c:v>48.041428748900003</c:v>
                </c:pt>
                <c:pt idx="4">
                  <c:v>55.133704327899999</c:v>
                </c:pt>
                <c:pt idx="5">
                  <c:v>59.679777987800001</c:v>
                </c:pt>
                <c:pt idx="6">
                  <c:v>74.139002447199999</c:v>
                </c:pt>
                <c:pt idx="7">
                  <c:v>62.761666666700002</c:v>
                </c:pt>
                <c:pt idx="8">
                  <c:v>56.593756556300001</c:v>
                </c:pt>
                <c:pt idx="9">
                  <c:v>51.773647484900003</c:v>
                </c:pt>
                <c:pt idx="10">
                  <c:v>52.901807192699998</c:v>
                </c:pt>
                <c:pt idx="11">
                  <c:v>52.979316580800003</c:v>
                </c:pt>
                <c:pt idx="12">
                  <c:v>57.660479296699997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2248"/>
        <c:axId val="350941856"/>
      </c:lineChart>
      <c:valAx>
        <c:axId val="35094107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0941464"/>
        <c:crosses val="autoZero"/>
        <c:crossBetween val="between"/>
        <c:majorUnit val="30000"/>
        <c:dispUnits>
          <c:builtInUnit val="thousands"/>
        </c:dispUnits>
      </c:valAx>
      <c:catAx>
        <c:axId val="35094146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50941072"/>
        <c:crossesAt val="0"/>
        <c:auto val="1"/>
        <c:lblAlgn val="ctr"/>
        <c:lblOffset val="100"/>
        <c:noMultiLvlLbl val="0"/>
      </c:catAx>
      <c:valAx>
        <c:axId val="35094185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0942248"/>
        <c:crosses val="max"/>
        <c:crossBetween val="between"/>
      </c:valAx>
      <c:catAx>
        <c:axId val="3509422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094185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3433954257008252E-3"/>
          <c:y val="0.78434526674093474"/>
          <c:w val="0.98848389713314511"/>
          <c:h val="0.2054564034431636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680.75416666670003</c:v>
                </c:pt>
                <c:pt idx="1">
                  <c:v>681.72177419349998</c:v>
                </c:pt>
                <c:pt idx="2">
                  <c:v>685.08333333329995</c:v>
                </c:pt>
                <c:pt idx="3">
                  <c:v>666.50138888890001</c:v>
                </c:pt>
                <c:pt idx="4">
                  <c:v>686.99597315439996</c:v>
                </c:pt>
                <c:pt idx="5">
                  <c:v>674.33472222219996</c:v>
                </c:pt>
                <c:pt idx="6">
                  <c:v>695.75403225809998</c:v>
                </c:pt>
                <c:pt idx="7">
                  <c:v>703.82795698919995</c:v>
                </c:pt>
                <c:pt idx="8">
                  <c:v>654.95089285710003</c:v>
                </c:pt>
                <c:pt idx="9">
                  <c:v>647.68775235529995</c:v>
                </c:pt>
                <c:pt idx="10">
                  <c:v>622.90138888889999</c:v>
                </c:pt>
                <c:pt idx="11">
                  <c:v>591.48118279569997</c:v>
                </c:pt>
                <c:pt idx="12">
                  <c:v>578.10694444440003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943032"/>
        <c:axId val="350943424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11.9237809565</c:v>
                </c:pt>
                <c:pt idx="1">
                  <c:v>10.3340536748</c:v>
                </c:pt>
                <c:pt idx="2">
                  <c:v>10.640429382000001</c:v>
                </c:pt>
                <c:pt idx="3">
                  <c:v>10.716390382</c:v>
                </c:pt>
                <c:pt idx="4">
                  <c:v>17.145887023699999</c:v>
                </c:pt>
                <c:pt idx="5">
                  <c:v>13.6975213023</c:v>
                </c:pt>
                <c:pt idx="6">
                  <c:v>21.612955502799998</c:v>
                </c:pt>
                <c:pt idx="7">
                  <c:v>15.876601324499999</c:v>
                </c:pt>
                <c:pt idx="8">
                  <c:v>11.467495272700001</c:v>
                </c:pt>
                <c:pt idx="9">
                  <c:v>20.438702328200002</c:v>
                </c:pt>
                <c:pt idx="10">
                  <c:v>14.863517378299999</c:v>
                </c:pt>
                <c:pt idx="11">
                  <c:v>11.7691759607</c:v>
                </c:pt>
                <c:pt idx="12">
                  <c:v>12.0123058224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2280"/>
        <c:axId val="351541888"/>
      </c:lineChart>
      <c:catAx>
        <c:axId val="35094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943424"/>
        <c:crosses val="autoZero"/>
        <c:auto val="1"/>
        <c:lblAlgn val="ctr"/>
        <c:lblOffset val="100"/>
        <c:noMultiLvlLbl val="1"/>
      </c:catAx>
      <c:valAx>
        <c:axId val="35094342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943032"/>
        <c:crosses val="autoZero"/>
        <c:crossBetween val="between"/>
        <c:majorUnit val="200"/>
      </c:valAx>
      <c:valAx>
        <c:axId val="35154188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1542280"/>
        <c:crosses val="max"/>
        <c:crossBetween val="between"/>
        <c:majorUnit val="10"/>
      </c:valAx>
      <c:catAx>
        <c:axId val="35154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541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519.46388888889999</c:v>
                </c:pt>
                <c:pt idx="1">
                  <c:v>510.7446236559</c:v>
                </c:pt>
                <c:pt idx="2">
                  <c:v>512.12365591399998</c:v>
                </c:pt>
                <c:pt idx="3">
                  <c:v>507.34166666670001</c:v>
                </c:pt>
                <c:pt idx="4">
                  <c:v>513.58791946309998</c:v>
                </c:pt>
                <c:pt idx="5">
                  <c:v>515.54861111109994</c:v>
                </c:pt>
                <c:pt idx="6">
                  <c:v>519.92069892469999</c:v>
                </c:pt>
                <c:pt idx="7">
                  <c:v>531.33064516130003</c:v>
                </c:pt>
                <c:pt idx="8">
                  <c:v>542.02380952379997</c:v>
                </c:pt>
                <c:pt idx="9">
                  <c:v>539.13593539700003</c:v>
                </c:pt>
                <c:pt idx="10">
                  <c:v>527.75833333330002</c:v>
                </c:pt>
                <c:pt idx="11">
                  <c:v>513.52016129030005</c:v>
                </c:pt>
                <c:pt idx="12">
                  <c:v>497.17222222219999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43456"/>
        <c:axId val="351543064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3456"/>
        <c:axId val="351543064"/>
      </c:lineChart>
      <c:valAx>
        <c:axId val="351543064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1543456"/>
        <c:crosses val="autoZero"/>
        <c:crossBetween val="between"/>
        <c:majorUnit val="200"/>
      </c:valAx>
      <c:catAx>
        <c:axId val="351543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15430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94559.540999999997</c:v>
                </c:pt>
                <c:pt idx="1">
                  <c:v>85673.202000000005</c:v>
                </c:pt>
                <c:pt idx="2">
                  <c:v>81536.076000000001</c:v>
                </c:pt>
                <c:pt idx="3">
                  <c:v>75102.289000000004</c:v>
                </c:pt>
                <c:pt idx="4">
                  <c:v>65089.595000000001</c:v>
                </c:pt>
                <c:pt idx="5">
                  <c:v>72290.070000000007</c:v>
                </c:pt>
                <c:pt idx="6">
                  <c:v>81049.796000000002</c:v>
                </c:pt>
                <c:pt idx="7">
                  <c:v>106846.751</c:v>
                </c:pt>
                <c:pt idx="8">
                  <c:v>95118.278999999995</c:v>
                </c:pt>
                <c:pt idx="9">
                  <c:v>142766.35800000001</c:v>
                </c:pt>
                <c:pt idx="10">
                  <c:v>118380.448</c:v>
                </c:pt>
                <c:pt idx="11">
                  <c:v>119519.43</c:v>
                </c:pt>
                <c:pt idx="12">
                  <c:v>103391.872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44240"/>
        <c:axId val="35154463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52.547676812399999</c:v>
                </c:pt>
                <c:pt idx="1">
                  <c:v>50.083044053800002</c:v>
                </c:pt>
                <c:pt idx="2">
                  <c:v>47.756106266400003</c:v>
                </c:pt>
                <c:pt idx="3">
                  <c:v>50.449034516099999</c:v>
                </c:pt>
                <c:pt idx="4">
                  <c:v>58.357759792499998</c:v>
                </c:pt>
                <c:pt idx="5">
                  <c:v>62.377222902100002</c:v>
                </c:pt>
                <c:pt idx="6">
                  <c:v>61.842100256499997</c:v>
                </c:pt>
                <c:pt idx="7">
                  <c:v>51.707705552999997</c:v>
                </c:pt>
                <c:pt idx="8">
                  <c:v>57.0513155521</c:v>
                </c:pt>
                <c:pt idx="9">
                  <c:v>47.7017188461</c:v>
                </c:pt>
                <c:pt idx="10">
                  <c:v>48.565099365099996</c:v>
                </c:pt>
                <c:pt idx="11">
                  <c:v>57.697992953899998</c:v>
                </c:pt>
                <c:pt idx="12">
                  <c:v>58.662034477900001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5416"/>
        <c:axId val="351545024"/>
      </c:lineChart>
      <c:catAx>
        <c:axId val="3515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1544632"/>
        <c:crosses val="autoZero"/>
        <c:auto val="1"/>
        <c:lblAlgn val="ctr"/>
        <c:lblOffset val="100"/>
        <c:noMultiLvlLbl val="1"/>
      </c:catAx>
      <c:valAx>
        <c:axId val="351544632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1544240"/>
        <c:crosses val="autoZero"/>
        <c:crossBetween val="between"/>
        <c:majorUnit val="50000"/>
        <c:dispUnits>
          <c:builtInUnit val="thousands"/>
        </c:dispUnits>
      </c:valAx>
      <c:valAx>
        <c:axId val="35154502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1545416"/>
        <c:crosses val="max"/>
        <c:crossBetween val="between"/>
        <c:majorUnit val="20"/>
      </c:valAx>
      <c:catAx>
        <c:axId val="35154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54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87837.740999999995</c:v>
                </c:pt>
                <c:pt idx="1">
                  <c:v>115472.265</c:v>
                </c:pt>
                <c:pt idx="2">
                  <c:v>110945.08</c:v>
                </c:pt>
                <c:pt idx="3">
                  <c:v>109933.033</c:v>
                </c:pt>
                <c:pt idx="4">
                  <c:v>138127.981</c:v>
                </c:pt>
                <c:pt idx="5">
                  <c:v>138345.883</c:v>
                </c:pt>
                <c:pt idx="6">
                  <c:v>143556.52499999999</c:v>
                </c:pt>
                <c:pt idx="7">
                  <c:v>117527.05499999999</c:v>
                </c:pt>
                <c:pt idx="8">
                  <c:v>136637.182</c:v>
                </c:pt>
                <c:pt idx="9">
                  <c:v>102576.868</c:v>
                </c:pt>
                <c:pt idx="10">
                  <c:v>92295.144</c:v>
                </c:pt>
                <c:pt idx="11">
                  <c:v>77249.592999999993</c:v>
                </c:pt>
                <c:pt idx="12">
                  <c:v>84958.21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397712"/>
        <c:axId val="35339732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42.375364024900001</c:v>
                </c:pt>
                <c:pt idx="1">
                  <c:v>40.013761746199997</c:v>
                </c:pt>
                <c:pt idx="2">
                  <c:v>38.090010931499997</c:v>
                </c:pt>
                <c:pt idx="3">
                  <c:v>39.002468893900001</c:v>
                </c:pt>
                <c:pt idx="4">
                  <c:v>45.204191538899998</c:v>
                </c:pt>
                <c:pt idx="5">
                  <c:v>53.3716975878</c:v>
                </c:pt>
                <c:pt idx="6">
                  <c:v>52.298940365100002</c:v>
                </c:pt>
                <c:pt idx="7">
                  <c:v>40.975879979299997</c:v>
                </c:pt>
                <c:pt idx="8">
                  <c:v>45.528719920500002</c:v>
                </c:pt>
                <c:pt idx="9">
                  <c:v>32.443740824700001</c:v>
                </c:pt>
                <c:pt idx="10">
                  <c:v>31.2592988641</c:v>
                </c:pt>
                <c:pt idx="11">
                  <c:v>50.325493106499998</c:v>
                </c:pt>
                <c:pt idx="12">
                  <c:v>52.233807656700002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98496"/>
        <c:axId val="353398104"/>
      </c:lineChart>
      <c:valAx>
        <c:axId val="353397320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3397712"/>
        <c:crosses val="autoZero"/>
        <c:crossBetween val="between"/>
        <c:majorUnit val="50000"/>
        <c:dispUnits>
          <c:builtInUnit val="thousands"/>
        </c:dispUnits>
      </c:valAx>
      <c:catAx>
        <c:axId val="353397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3397320"/>
        <c:crosses val="autoZero"/>
        <c:auto val="1"/>
        <c:lblAlgn val="ctr"/>
        <c:lblOffset val="100"/>
        <c:noMultiLvlLbl val="0"/>
      </c:catAx>
      <c:valAx>
        <c:axId val="353398104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53398496"/>
        <c:crosses val="max"/>
        <c:crossBetween val="between"/>
        <c:majorUnit val="20"/>
      </c:valAx>
      <c:catAx>
        <c:axId val="353398496"/>
        <c:scaling>
          <c:orientation val="minMax"/>
        </c:scaling>
        <c:delete val="1"/>
        <c:axPos val="t"/>
        <c:majorTickMark val="out"/>
        <c:minorTickMark val="none"/>
        <c:tickLblPos val="nextTo"/>
        <c:crossAx val="35339810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31856.5</c:v>
                </c:pt>
                <c:pt idx="1">
                  <c:v>64224.4</c:v>
                </c:pt>
                <c:pt idx="2">
                  <c:v>71875.8</c:v>
                </c:pt>
                <c:pt idx="3">
                  <c:v>46377.5</c:v>
                </c:pt>
                <c:pt idx="4">
                  <c:v>28352.7</c:v>
                </c:pt>
                <c:pt idx="5">
                  <c:v>20637.7</c:v>
                </c:pt>
                <c:pt idx="6">
                  <c:v>30371.3</c:v>
                </c:pt>
                <c:pt idx="7">
                  <c:v>49749</c:v>
                </c:pt>
                <c:pt idx="8">
                  <c:v>47780.9</c:v>
                </c:pt>
                <c:pt idx="9">
                  <c:v>18764.099999999999</c:v>
                </c:pt>
                <c:pt idx="10">
                  <c:v>19179.5</c:v>
                </c:pt>
                <c:pt idx="11">
                  <c:v>18994.099999999999</c:v>
                </c:pt>
                <c:pt idx="12">
                  <c:v>24116.3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21784.2</c:v>
                </c:pt>
                <c:pt idx="1">
                  <c:v>40730.5</c:v>
                </c:pt>
                <c:pt idx="2">
                  <c:v>44407.8</c:v>
                </c:pt>
                <c:pt idx="3">
                  <c:v>52485.1</c:v>
                </c:pt>
                <c:pt idx="4">
                  <c:v>33701.800000000003</c:v>
                </c:pt>
                <c:pt idx="5">
                  <c:v>33409.300000000003</c:v>
                </c:pt>
                <c:pt idx="6">
                  <c:v>38818.699999999997</c:v>
                </c:pt>
                <c:pt idx="7">
                  <c:v>21689</c:v>
                </c:pt>
                <c:pt idx="8">
                  <c:v>17066.099999999999</c:v>
                </c:pt>
                <c:pt idx="9">
                  <c:v>9673.7999999999993</c:v>
                </c:pt>
                <c:pt idx="10">
                  <c:v>6106.3</c:v>
                </c:pt>
                <c:pt idx="11">
                  <c:v>10277</c:v>
                </c:pt>
                <c:pt idx="12">
                  <c:v>8196.7000000000007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332.6</c:v>
                </c:pt>
                <c:pt idx="1">
                  <c:v>223.6</c:v>
                </c:pt>
                <c:pt idx="2">
                  <c:v>356.8</c:v>
                </c:pt>
                <c:pt idx="3">
                  <c:v>420.2</c:v>
                </c:pt>
                <c:pt idx="4">
                  <c:v>72.5</c:v>
                </c:pt>
                <c:pt idx="5">
                  <c:v>40.799999999999997</c:v>
                </c:pt>
                <c:pt idx="6">
                  <c:v>239.5</c:v>
                </c:pt>
                <c:pt idx="7">
                  <c:v>1091.7</c:v>
                </c:pt>
                <c:pt idx="8">
                  <c:v>83.8</c:v>
                </c:pt>
                <c:pt idx="9">
                  <c:v>444.5</c:v>
                </c:pt>
                <c:pt idx="10">
                  <c:v>488.3</c:v>
                </c:pt>
                <c:pt idx="11">
                  <c:v>353.4</c:v>
                </c:pt>
                <c:pt idx="12">
                  <c:v>265.7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25120.799999999999</c:v>
                </c:pt>
                <c:pt idx="1">
                  <c:v>39459.699999999997</c:v>
                </c:pt>
                <c:pt idx="2">
                  <c:v>41443.4</c:v>
                </c:pt>
                <c:pt idx="3">
                  <c:v>46799.1</c:v>
                </c:pt>
                <c:pt idx="4">
                  <c:v>27285.599999999999</c:v>
                </c:pt>
                <c:pt idx="5">
                  <c:v>17072.8</c:v>
                </c:pt>
                <c:pt idx="6">
                  <c:v>44331.3</c:v>
                </c:pt>
                <c:pt idx="7">
                  <c:v>44705.2</c:v>
                </c:pt>
                <c:pt idx="8">
                  <c:v>30784</c:v>
                </c:pt>
                <c:pt idx="9">
                  <c:v>62414.7</c:v>
                </c:pt>
                <c:pt idx="10">
                  <c:v>66560.399999999994</c:v>
                </c:pt>
                <c:pt idx="11">
                  <c:v>20633.900000000001</c:v>
                </c:pt>
                <c:pt idx="12">
                  <c:v>19665.3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3742.7</c:v>
                </c:pt>
                <c:pt idx="1">
                  <c:v>10048.700000000001</c:v>
                </c:pt>
                <c:pt idx="2">
                  <c:v>8916.4</c:v>
                </c:pt>
                <c:pt idx="3">
                  <c:v>11262.5</c:v>
                </c:pt>
                <c:pt idx="4">
                  <c:v>6968.9</c:v>
                </c:pt>
                <c:pt idx="5">
                  <c:v>3847.5</c:v>
                </c:pt>
                <c:pt idx="6">
                  <c:v>13873.3</c:v>
                </c:pt>
                <c:pt idx="7">
                  <c:v>51833.3</c:v>
                </c:pt>
                <c:pt idx="8">
                  <c:v>5603.4</c:v>
                </c:pt>
                <c:pt idx="9">
                  <c:v>19679.2</c:v>
                </c:pt>
                <c:pt idx="10">
                  <c:v>36687.300000000003</c:v>
                </c:pt>
                <c:pt idx="11">
                  <c:v>5611.8</c:v>
                </c:pt>
                <c:pt idx="12">
                  <c:v>5033.8999999999996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7869.8</c:v>
                </c:pt>
                <c:pt idx="1">
                  <c:v>2606.4</c:v>
                </c:pt>
                <c:pt idx="2">
                  <c:v>5181.1000000000004</c:v>
                </c:pt>
                <c:pt idx="3">
                  <c:v>3698.4</c:v>
                </c:pt>
                <c:pt idx="4">
                  <c:v>8057.2</c:v>
                </c:pt>
                <c:pt idx="5">
                  <c:v>8820.4</c:v>
                </c:pt>
                <c:pt idx="6">
                  <c:v>10280.700000000001</c:v>
                </c:pt>
                <c:pt idx="7">
                  <c:v>26560.6</c:v>
                </c:pt>
                <c:pt idx="8">
                  <c:v>24359.1</c:v>
                </c:pt>
                <c:pt idx="9">
                  <c:v>27422.5</c:v>
                </c:pt>
                <c:pt idx="10">
                  <c:v>16841.599999999999</c:v>
                </c:pt>
                <c:pt idx="11">
                  <c:v>15058.8</c:v>
                </c:pt>
                <c:pt idx="12">
                  <c:v>11035.4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320</c:v>
                </c:pt>
                <c:pt idx="1">
                  <c:v>130</c:v>
                </c:pt>
                <c:pt idx="2">
                  <c:v>179.2</c:v>
                </c:pt>
                <c:pt idx="3">
                  <c:v>178.3</c:v>
                </c:pt>
                <c:pt idx="4">
                  <c:v>1524.1</c:v>
                </c:pt>
                <c:pt idx="5">
                  <c:v>0</c:v>
                </c:pt>
                <c:pt idx="6">
                  <c:v>108.3</c:v>
                </c:pt>
                <c:pt idx="7">
                  <c:v>159.6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96.2</c:v>
                </c:pt>
                <c:pt idx="12">
                  <c:v>68.900000000000006</c:v>
                </c:pt>
              </c:numCache>
            </c:numRef>
          </c:val>
        </c:ser>
        <c:ser>
          <c:idx val="12"/>
          <c:order val="11"/>
          <c:tx>
            <c:strRef>
              <c:f>'Data 2'!$C$64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2'!$D$64:$P$64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736.2</c:v>
                </c:pt>
                <c:pt idx="5">
                  <c:v>757.7</c:v>
                </c:pt>
                <c:pt idx="6">
                  <c:v>133.80000000000001</c:v>
                </c:pt>
                <c:pt idx="7">
                  <c:v>521.70000000000005</c:v>
                </c:pt>
                <c:pt idx="8">
                  <c:v>286.60000000000002</c:v>
                </c:pt>
                <c:pt idx="9">
                  <c:v>20.9</c:v>
                </c:pt>
                <c:pt idx="10">
                  <c:v>122</c:v>
                </c:pt>
                <c:pt idx="11">
                  <c:v>322.7</c:v>
                </c:pt>
                <c:pt idx="12">
                  <c:v>6.7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1244.9000000000001</c:v>
                </c:pt>
                <c:pt idx="1">
                  <c:v>1680.4</c:v>
                </c:pt>
                <c:pt idx="2">
                  <c:v>4517</c:v>
                </c:pt>
                <c:pt idx="3">
                  <c:v>4969.7</c:v>
                </c:pt>
                <c:pt idx="4">
                  <c:v>3817.1</c:v>
                </c:pt>
                <c:pt idx="5">
                  <c:v>5932.4</c:v>
                </c:pt>
                <c:pt idx="6">
                  <c:v>8046.3</c:v>
                </c:pt>
                <c:pt idx="7">
                  <c:v>11348.4</c:v>
                </c:pt>
                <c:pt idx="8">
                  <c:v>5220.7</c:v>
                </c:pt>
                <c:pt idx="9">
                  <c:v>8766.7999999999993</c:v>
                </c:pt>
                <c:pt idx="10">
                  <c:v>6609.5</c:v>
                </c:pt>
                <c:pt idx="11">
                  <c:v>1709.2</c:v>
                </c:pt>
                <c:pt idx="12">
                  <c:v>99.1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59688"/>
        <c:axId val="1405604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36.435668434999997</c:v>
                </c:pt>
                <c:pt idx="1">
                  <c:v>36.143624378299997</c:v>
                </c:pt>
                <c:pt idx="2">
                  <c:v>33.497112747499997</c:v>
                </c:pt>
                <c:pt idx="3">
                  <c:v>30.933778283799999</c:v>
                </c:pt>
                <c:pt idx="4">
                  <c:v>35.307517909200001</c:v>
                </c:pt>
                <c:pt idx="5">
                  <c:v>45.196962723699997</c:v>
                </c:pt>
                <c:pt idx="6">
                  <c:v>36.297392464700003</c:v>
                </c:pt>
                <c:pt idx="7">
                  <c:v>24.798933392999999</c:v>
                </c:pt>
                <c:pt idx="8">
                  <c:v>39.032916008100003</c:v>
                </c:pt>
                <c:pt idx="9">
                  <c:v>22.945107465700001</c:v>
                </c:pt>
                <c:pt idx="10">
                  <c:v>15.694614761</c:v>
                </c:pt>
                <c:pt idx="11">
                  <c:v>38.9886902163</c:v>
                </c:pt>
                <c:pt idx="12">
                  <c:v>46.671459671800001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400064"/>
        <c:axId val="353399672"/>
      </c:lineChart>
      <c:catAx>
        <c:axId val="140559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140560472"/>
        <c:crosses val="autoZero"/>
        <c:auto val="1"/>
        <c:lblAlgn val="ctr"/>
        <c:lblOffset val="100"/>
        <c:noMultiLvlLbl val="0"/>
      </c:catAx>
      <c:valAx>
        <c:axId val="14056047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559688"/>
        <c:crosses val="autoZero"/>
        <c:crossBetween val="between"/>
        <c:dispUnits>
          <c:builtInUnit val="thousands"/>
        </c:dispUnits>
      </c:valAx>
      <c:valAx>
        <c:axId val="353399672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400064"/>
        <c:crosses val="max"/>
        <c:crossBetween val="between"/>
        <c:majorUnit val="15"/>
      </c:valAx>
      <c:catAx>
        <c:axId val="353400064"/>
        <c:scaling>
          <c:orientation val="minMax"/>
        </c:scaling>
        <c:delete val="1"/>
        <c:axPos val="t"/>
        <c:majorTickMark val="out"/>
        <c:minorTickMark val="none"/>
        <c:tickLblPos val="nextTo"/>
        <c:crossAx val="353399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39223.4</c:v>
                </c:pt>
                <c:pt idx="1">
                  <c:v>28227.7</c:v>
                </c:pt>
                <c:pt idx="2">
                  <c:v>23185.3</c:v>
                </c:pt>
                <c:pt idx="3">
                  <c:v>23990.400000000001</c:v>
                </c:pt>
                <c:pt idx="4">
                  <c:v>36235.599999999999</c:v>
                </c:pt>
                <c:pt idx="5">
                  <c:v>35124.9</c:v>
                </c:pt>
                <c:pt idx="6">
                  <c:v>25784.6</c:v>
                </c:pt>
                <c:pt idx="7">
                  <c:v>35353.199999999997</c:v>
                </c:pt>
                <c:pt idx="8">
                  <c:v>38501.599999999999</c:v>
                </c:pt>
                <c:pt idx="9">
                  <c:v>38546.800000000003</c:v>
                </c:pt>
                <c:pt idx="10">
                  <c:v>43196.7</c:v>
                </c:pt>
                <c:pt idx="11">
                  <c:v>33193.699999999997</c:v>
                </c:pt>
                <c:pt idx="12">
                  <c:v>15935.3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100710.5</c:v>
                </c:pt>
                <c:pt idx="1">
                  <c:v>53992.1</c:v>
                </c:pt>
                <c:pt idx="2">
                  <c:v>53888.3</c:v>
                </c:pt>
                <c:pt idx="3">
                  <c:v>55429.2</c:v>
                </c:pt>
                <c:pt idx="4">
                  <c:v>75955.399999999994</c:v>
                </c:pt>
                <c:pt idx="5">
                  <c:v>83653.399999999994</c:v>
                </c:pt>
                <c:pt idx="6">
                  <c:v>57877.3</c:v>
                </c:pt>
                <c:pt idx="7">
                  <c:v>57056.1</c:v>
                </c:pt>
                <c:pt idx="8">
                  <c:v>51366.400000000001</c:v>
                </c:pt>
                <c:pt idx="9">
                  <c:v>48796.7</c:v>
                </c:pt>
                <c:pt idx="10">
                  <c:v>55522.2</c:v>
                </c:pt>
                <c:pt idx="11">
                  <c:v>61920.1</c:v>
                </c:pt>
                <c:pt idx="12">
                  <c:v>35519.800000000003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17.3</c:v>
                </c:pt>
                <c:pt idx="1">
                  <c:v>2.7</c:v>
                </c:pt>
                <c:pt idx="2">
                  <c:v>1.1000000000000001</c:v>
                </c:pt>
                <c:pt idx="3">
                  <c:v>0.8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10.8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3498.8</c:v>
                </c:pt>
                <c:pt idx="1">
                  <c:v>1736.9</c:v>
                </c:pt>
                <c:pt idx="2">
                  <c:v>1823.4</c:v>
                </c:pt>
                <c:pt idx="3">
                  <c:v>1551.4</c:v>
                </c:pt>
                <c:pt idx="4">
                  <c:v>4285.8999999999996</c:v>
                </c:pt>
                <c:pt idx="5">
                  <c:v>7774.4</c:v>
                </c:pt>
                <c:pt idx="6">
                  <c:v>14602.9</c:v>
                </c:pt>
                <c:pt idx="7">
                  <c:v>4781.6000000000004</c:v>
                </c:pt>
                <c:pt idx="8">
                  <c:v>876.5</c:v>
                </c:pt>
                <c:pt idx="9">
                  <c:v>14986.9</c:v>
                </c:pt>
                <c:pt idx="10">
                  <c:v>6134.1</c:v>
                </c:pt>
                <c:pt idx="11">
                  <c:v>5137.3999999999996</c:v>
                </c:pt>
                <c:pt idx="12">
                  <c:v>1509.9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11518.7</c:v>
                </c:pt>
                <c:pt idx="1">
                  <c:v>5554.8</c:v>
                </c:pt>
                <c:pt idx="2">
                  <c:v>5883.3</c:v>
                </c:pt>
                <c:pt idx="3">
                  <c:v>5247.3</c:v>
                </c:pt>
                <c:pt idx="4">
                  <c:v>7050.1</c:v>
                </c:pt>
                <c:pt idx="5">
                  <c:v>7943.5</c:v>
                </c:pt>
                <c:pt idx="6">
                  <c:v>8236.4</c:v>
                </c:pt>
                <c:pt idx="7">
                  <c:v>5669.6</c:v>
                </c:pt>
                <c:pt idx="8">
                  <c:v>6719.4</c:v>
                </c:pt>
                <c:pt idx="9">
                  <c:v>13034.1</c:v>
                </c:pt>
                <c:pt idx="10">
                  <c:v>6758.4</c:v>
                </c:pt>
                <c:pt idx="11">
                  <c:v>7808.1</c:v>
                </c:pt>
                <c:pt idx="12">
                  <c:v>4554.3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88256.3</c:v>
                </c:pt>
                <c:pt idx="1">
                  <c:v>34688.699999999997</c:v>
                </c:pt>
                <c:pt idx="2">
                  <c:v>29023.599999999999</c:v>
                </c:pt>
                <c:pt idx="3">
                  <c:v>29358.5</c:v>
                </c:pt>
                <c:pt idx="4">
                  <c:v>42190.9</c:v>
                </c:pt>
                <c:pt idx="5">
                  <c:v>66112.3</c:v>
                </c:pt>
                <c:pt idx="6">
                  <c:v>50297.7</c:v>
                </c:pt>
                <c:pt idx="7">
                  <c:v>55012.6</c:v>
                </c:pt>
                <c:pt idx="8">
                  <c:v>74091.8</c:v>
                </c:pt>
                <c:pt idx="9">
                  <c:v>57129.4</c:v>
                </c:pt>
                <c:pt idx="10">
                  <c:v>46798.3</c:v>
                </c:pt>
                <c:pt idx="11">
                  <c:v>108282.8</c:v>
                </c:pt>
                <c:pt idx="12">
                  <c:v>58954.400000000001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69.8</c:v>
                </c:pt>
                <c:pt idx="1">
                  <c:v>310</c:v>
                </c:pt>
                <c:pt idx="2">
                  <c:v>148</c:v>
                </c:pt>
                <c:pt idx="3">
                  <c:v>3.1</c:v>
                </c:pt>
                <c:pt idx="4">
                  <c:v>700</c:v>
                </c:pt>
                <c:pt idx="5">
                  <c:v>0</c:v>
                </c:pt>
                <c:pt idx="6">
                  <c:v>1085.4000000000001</c:v>
                </c:pt>
                <c:pt idx="7">
                  <c:v>282.3</c:v>
                </c:pt>
                <c:pt idx="8">
                  <c:v>129.69999999999999</c:v>
                </c:pt>
                <c:pt idx="9">
                  <c:v>0</c:v>
                </c:pt>
                <c:pt idx="10">
                  <c:v>0</c:v>
                </c:pt>
                <c:pt idx="11">
                  <c:v>306.60000000000002</c:v>
                </c:pt>
                <c:pt idx="12">
                  <c:v>75</c:v>
                </c:pt>
              </c:numCache>
            </c:numRef>
          </c:val>
        </c:ser>
        <c:ser>
          <c:idx val="12"/>
          <c:order val="11"/>
          <c:tx>
            <c:strRef>
              <c:f>'Data 2'!$C$47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2'!$D$47:$P$47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131.30000000000001</c:v>
                </c:pt>
                <c:pt idx="5">
                  <c:v>299.10000000000002</c:v>
                </c:pt>
                <c:pt idx="6">
                  <c:v>57.5</c:v>
                </c:pt>
                <c:pt idx="7">
                  <c:v>69.8</c:v>
                </c:pt>
                <c:pt idx="8">
                  <c:v>8.1</c:v>
                </c:pt>
                <c:pt idx="9">
                  <c:v>7.9</c:v>
                </c:pt>
                <c:pt idx="10">
                  <c:v>0</c:v>
                </c:pt>
                <c:pt idx="11">
                  <c:v>16.5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27501.3</c:v>
                </c:pt>
                <c:pt idx="1">
                  <c:v>32397.1</c:v>
                </c:pt>
                <c:pt idx="2">
                  <c:v>29140</c:v>
                </c:pt>
                <c:pt idx="3">
                  <c:v>44532.5</c:v>
                </c:pt>
                <c:pt idx="4">
                  <c:v>30549.8</c:v>
                </c:pt>
                <c:pt idx="5">
                  <c:v>41077.1</c:v>
                </c:pt>
                <c:pt idx="6">
                  <c:v>54906.6</c:v>
                </c:pt>
                <c:pt idx="7">
                  <c:v>28937.8</c:v>
                </c:pt>
                <c:pt idx="8">
                  <c:v>42931.7</c:v>
                </c:pt>
                <c:pt idx="9">
                  <c:v>39005.1</c:v>
                </c:pt>
                <c:pt idx="10">
                  <c:v>36861.199999999997</c:v>
                </c:pt>
                <c:pt idx="11">
                  <c:v>20554.599999999999</c:v>
                </c:pt>
                <c:pt idx="12">
                  <c:v>12771.1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26768"/>
        <c:axId val="35362716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58.053899003700003</c:v>
                </c:pt>
                <c:pt idx="1">
                  <c:v>57.819714231100001</c:v>
                </c:pt>
                <c:pt idx="2">
                  <c:v>55.585096335899998</c:v>
                </c:pt>
                <c:pt idx="3">
                  <c:v>56.231510706199998</c:v>
                </c:pt>
                <c:pt idx="4">
                  <c:v>64.784309668600002</c:v>
                </c:pt>
                <c:pt idx="5">
                  <c:v>70.107599447400005</c:v>
                </c:pt>
                <c:pt idx="6">
                  <c:v>78.756404746300007</c:v>
                </c:pt>
                <c:pt idx="7">
                  <c:v>62.437006568199998</c:v>
                </c:pt>
                <c:pt idx="8">
                  <c:v>65.942944356799998</c:v>
                </c:pt>
                <c:pt idx="9">
                  <c:v>56.060312311300002</c:v>
                </c:pt>
                <c:pt idx="10">
                  <c:v>54.4493213274</c:v>
                </c:pt>
                <c:pt idx="11">
                  <c:v>62.5355007466</c:v>
                </c:pt>
                <c:pt idx="12">
                  <c:v>64.9082699633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27944"/>
        <c:axId val="353627552"/>
      </c:lineChart>
      <c:catAx>
        <c:axId val="35362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27160"/>
        <c:crosses val="autoZero"/>
        <c:auto val="1"/>
        <c:lblAlgn val="ctr"/>
        <c:lblOffset val="100"/>
        <c:noMultiLvlLbl val="0"/>
      </c:catAx>
      <c:valAx>
        <c:axId val="353627160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26768"/>
        <c:crosses val="autoZero"/>
        <c:crossBetween val="between"/>
        <c:dispUnits>
          <c:builtInUnit val="thousands"/>
        </c:dispUnits>
      </c:valAx>
      <c:valAx>
        <c:axId val="353627552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27944"/>
        <c:crosses val="max"/>
        <c:crossBetween val="between"/>
        <c:majorUnit val="15"/>
      </c:valAx>
      <c:catAx>
        <c:axId val="35362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627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10864.5</c:v>
                </c:pt>
                <c:pt idx="1">
                  <c:v>27924.7</c:v>
                </c:pt>
                <c:pt idx="2">
                  <c:v>43819.1</c:v>
                </c:pt>
                <c:pt idx="3">
                  <c:v>23995.8</c:v>
                </c:pt>
                <c:pt idx="4">
                  <c:v>6238.1</c:v>
                </c:pt>
                <c:pt idx="5">
                  <c:v>4345.3999999999996</c:v>
                </c:pt>
                <c:pt idx="6">
                  <c:v>11031.5</c:v>
                </c:pt>
                <c:pt idx="7">
                  <c:v>24843.5</c:v>
                </c:pt>
                <c:pt idx="8">
                  <c:v>9788.2999999999993</c:v>
                </c:pt>
                <c:pt idx="9">
                  <c:v>1915.7</c:v>
                </c:pt>
                <c:pt idx="10">
                  <c:v>5601.6</c:v>
                </c:pt>
                <c:pt idx="11">
                  <c:v>3825.2</c:v>
                </c:pt>
                <c:pt idx="12">
                  <c:v>20542.2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7378.2</c:v>
                </c:pt>
                <c:pt idx="1">
                  <c:v>18737.8</c:v>
                </c:pt>
                <c:pt idx="2">
                  <c:v>26947.4</c:v>
                </c:pt>
                <c:pt idx="3">
                  <c:v>23603.4</c:v>
                </c:pt>
                <c:pt idx="4">
                  <c:v>6107.2</c:v>
                </c:pt>
                <c:pt idx="5">
                  <c:v>8205.2999999999993</c:v>
                </c:pt>
                <c:pt idx="6">
                  <c:v>9660.7000000000007</c:v>
                </c:pt>
                <c:pt idx="7">
                  <c:v>12025</c:v>
                </c:pt>
                <c:pt idx="8">
                  <c:v>2896.9</c:v>
                </c:pt>
                <c:pt idx="9">
                  <c:v>883.7</c:v>
                </c:pt>
                <c:pt idx="10">
                  <c:v>1130.8</c:v>
                </c:pt>
                <c:pt idx="11">
                  <c:v>805.7</c:v>
                </c:pt>
                <c:pt idx="12">
                  <c:v>4950.3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88.1</c:v>
                </c:pt>
                <c:pt idx="1">
                  <c:v>26.5</c:v>
                </c:pt>
                <c:pt idx="2">
                  <c:v>131.4</c:v>
                </c:pt>
                <c:pt idx="3">
                  <c:v>120.4</c:v>
                </c:pt>
                <c:pt idx="4">
                  <c:v>11.4</c:v>
                </c:pt>
                <c:pt idx="5">
                  <c:v>0</c:v>
                </c:pt>
                <c:pt idx="6">
                  <c:v>0</c:v>
                </c:pt>
                <c:pt idx="7">
                  <c:v>139.19999999999999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40.5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16621.400000000001</c:v>
                </c:pt>
                <c:pt idx="1">
                  <c:v>21039.7</c:v>
                </c:pt>
                <c:pt idx="2">
                  <c:v>18038.2</c:v>
                </c:pt>
                <c:pt idx="3">
                  <c:v>18312.900000000001</c:v>
                </c:pt>
                <c:pt idx="4">
                  <c:v>8233.1</c:v>
                </c:pt>
                <c:pt idx="5">
                  <c:v>6736.7</c:v>
                </c:pt>
                <c:pt idx="6">
                  <c:v>16502.5</c:v>
                </c:pt>
                <c:pt idx="7">
                  <c:v>12696.1</c:v>
                </c:pt>
                <c:pt idx="8">
                  <c:v>5978.6</c:v>
                </c:pt>
                <c:pt idx="9">
                  <c:v>4789.3</c:v>
                </c:pt>
                <c:pt idx="10">
                  <c:v>19369.2</c:v>
                </c:pt>
                <c:pt idx="11">
                  <c:v>4108.2</c:v>
                </c:pt>
                <c:pt idx="12">
                  <c:v>10583.3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464.4</c:v>
                </c:pt>
                <c:pt idx="1">
                  <c:v>1083.3</c:v>
                </c:pt>
                <c:pt idx="2">
                  <c:v>700.3</c:v>
                </c:pt>
                <c:pt idx="3">
                  <c:v>630.70000000000005</c:v>
                </c:pt>
                <c:pt idx="4">
                  <c:v>466.1</c:v>
                </c:pt>
                <c:pt idx="5">
                  <c:v>204.5</c:v>
                </c:pt>
                <c:pt idx="6">
                  <c:v>1775.9</c:v>
                </c:pt>
                <c:pt idx="7">
                  <c:v>3036.8</c:v>
                </c:pt>
                <c:pt idx="8">
                  <c:v>470.2</c:v>
                </c:pt>
                <c:pt idx="9">
                  <c:v>395.2</c:v>
                </c:pt>
                <c:pt idx="10">
                  <c:v>3910.4</c:v>
                </c:pt>
                <c:pt idx="11">
                  <c:v>441.1</c:v>
                </c:pt>
                <c:pt idx="12">
                  <c:v>2263.6999999999998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2067.3000000000002</c:v>
                </c:pt>
                <c:pt idx="1">
                  <c:v>2318.1</c:v>
                </c:pt>
                <c:pt idx="2">
                  <c:v>5037</c:v>
                </c:pt>
                <c:pt idx="3">
                  <c:v>2095.3000000000002</c:v>
                </c:pt>
                <c:pt idx="4">
                  <c:v>1774.5</c:v>
                </c:pt>
                <c:pt idx="5">
                  <c:v>506</c:v>
                </c:pt>
                <c:pt idx="6">
                  <c:v>2151.1999999999998</c:v>
                </c:pt>
                <c:pt idx="7">
                  <c:v>14862.1</c:v>
                </c:pt>
                <c:pt idx="8">
                  <c:v>6144.5</c:v>
                </c:pt>
                <c:pt idx="9">
                  <c:v>2417.8000000000002</c:v>
                </c:pt>
                <c:pt idx="10">
                  <c:v>5534.9</c:v>
                </c:pt>
                <c:pt idx="11">
                  <c:v>2792</c:v>
                </c:pt>
                <c:pt idx="12">
                  <c:v>9147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1381.8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300.5</c:v>
                </c:pt>
                <c:pt idx="5">
                  <c:v>0</c:v>
                </c:pt>
                <c:pt idx="6">
                  <c:v>0</c:v>
                </c:pt>
                <c:pt idx="7">
                  <c:v>109.8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197.5</c:v>
                </c:pt>
              </c:numCache>
            </c:numRef>
          </c:val>
        </c:ser>
        <c:ser>
          <c:idx val="10"/>
          <c:order val="7"/>
          <c:tx>
            <c:strRef>
              <c:f>'Data 2'!$C$100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2'!$C$101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2'!$D$101:$P$101</c:f>
              <c:numCache>
                <c:formatCode>#,##0.0</c:formatCode>
                <c:ptCount val="13"/>
                <c:pt idx="0">
                  <c:v>160.4</c:v>
                </c:pt>
                <c:pt idx="1">
                  <c:v>4314</c:v>
                </c:pt>
                <c:pt idx="2">
                  <c:v>3400</c:v>
                </c:pt>
                <c:pt idx="3">
                  <c:v>1288.4000000000001</c:v>
                </c:pt>
                <c:pt idx="4">
                  <c:v>185</c:v>
                </c:pt>
                <c:pt idx="5">
                  <c:v>802.1</c:v>
                </c:pt>
                <c:pt idx="6">
                  <c:v>2234.6</c:v>
                </c:pt>
                <c:pt idx="7">
                  <c:v>13649</c:v>
                </c:pt>
                <c:pt idx="8">
                  <c:v>2006.5</c:v>
                </c:pt>
                <c:pt idx="9">
                  <c:v>2598.3000000000002</c:v>
                </c:pt>
                <c:pt idx="10">
                  <c:v>1362.4</c:v>
                </c:pt>
                <c:pt idx="11">
                  <c:v>67.3</c:v>
                </c:pt>
                <c:pt idx="12">
                  <c:v>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28728"/>
        <c:axId val="353629120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2'!$D$106:$P$106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2'!$D$105:$P$105</c:f>
              <c:numCache>
                <c:formatCode>#,##0.0</c:formatCode>
                <c:ptCount val="13"/>
                <c:pt idx="0">
                  <c:v>38.300981138300003</c:v>
                </c:pt>
                <c:pt idx="1">
                  <c:v>40.000333624500001</c:v>
                </c:pt>
                <c:pt idx="2">
                  <c:v>35.937440223300001</c:v>
                </c:pt>
                <c:pt idx="3">
                  <c:v>36.511317131799998</c:v>
                </c:pt>
                <c:pt idx="4">
                  <c:v>38.937077702300002</c:v>
                </c:pt>
                <c:pt idx="5">
                  <c:v>48.682983173099998</c:v>
                </c:pt>
                <c:pt idx="6">
                  <c:v>37.017880635799997</c:v>
                </c:pt>
                <c:pt idx="7">
                  <c:v>35.217388445399997</c:v>
                </c:pt>
                <c:pt idx="8">
                  <c:v>45.9572454212</c:v>
                </c:pt>
                <c:pt idx="9">
                  <c:v>31.268540000000002</c:v>
                </c:pt>
                <c:pt idx="10">
                  <c:v>19.696550733799999</c:v>
                </c:pt>
                <c:pt idx="11">
                  <c:v>42.9148424069</c:v>
                </c:pt>
                <c:pt idx="12">
                  <c:v>49.8809423135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29904"/>
        <c:axId val="353629512"/>
      </c:lineChart>
      <c:catAx>
        <c:axId val="353628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53629120"/>
        <c:crosses val="autoZero"/>
        <c:auto val="1"/>
        <c:lblAlgn val="ctr"/>
        <c:lblOffset val="100"/>
        <c:noMultiLvlLbl val="0"/>
      </c:catAx>
      <c:valAx>
        <c:axId val="353629120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28728"/>
        <c:crosses val="autoZero"/>
        <c:crossBetween val="between"/>
        <c:majorUnit val="50000"/>
        <c:dispUnits>
          <c:builtInUnit val="thousands"/>
        </c:dispUnits>
      </c:valAx>
      <c:valAx>
        <c:axId val="353629512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29904"/>
        <c:crosses val="max"/>
        <c:crossBetween val="between"/>
        <c:majorUnit val="20"/>
      </c:valAx>
      <c:catAx>
        <c:axId val="353629904"/>
        <c:scaling>
          <c:orientation val="minMax"/>
        </c:scaling>
        <c:delete val="1"/>
        <c:axPos val="t"/>
        <c:majorTickMark val="out"/>
        <c:minorTickMark val="none"/>
        <c:tickLblPos val="nextTo"/>
        <c:crossAx val="353629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621427341015143E-2"/>
          <c:y val="0.77638744615402289"/>
          <c:w val="0.89624050491465812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35897.1</c:v>
                </c:pt>
                <c:pt idx="1">
                  <c:v>15424.3</c:v>
                </c:pt>
                <c:pt idx="2">
                  <c:v>17604.099999999999</c:v>
                </c:pt>
                <c:pt idx="3">
                  <c:v>9030.9</c:v>
                </c:pt>
                <c:pt idx="4">
                  <c:v>13899.2</c:v>
                </c:pt>
                <c:pt idx="5">
                  <c:v>19298.3</c:v>
                </c:pt>
                <c:pt idx="6">
                  <c:v>36464.5</c:v>
                </c:pt>
                <c:pt idx="7">
                  <c:v>18538.8</c:v>
                </c:pt>
                <c:pt idx="8">
                  <c:v>33434.800000000003</c:v>
                </c:pt>
                <c:pt idx="9">
                  <c:v>25308.3</c:v>
                </c:pt>
                <c:pt idx="10">
                  <c:v>29845.7</c:v>
                </c:pt>
                <c:pt idx="11">
                  <c:v>12672</c:v>
                </c:pt>
                <c:pt idx="12">
                  <c:v>25536.3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86103.9</c:v>
                </c:pt>
                <c:pt idx="1">
                  <c:v>25298.7</c:v>
                </c:pt>
                <c:pt idx="2">
                  <c:v>20278.5</c:v>
                </c:pt>
                <c:pt idx="3">
                  <c:v>13355.9</c:v>
                </c:pt>
                <c:pt idx="4">
                  <c:v>20227.3</c:v>
                </c:pt>
                <c:pt idx="5">
                  <c:v>45604</c:v>
                </c:pt>
                <c:pt idx="6">
                  <c:v>72616.800000000003</c:v>
                </c:pt>
                <c:pt idx="7">
                  <c:v>25466.6</c:v>
                </c:pt>
                <c:pt idx="8">
                  <c:v>34817.699999999997</c:v>
                </c:pt>
                <c:pt idx="9">
                  <c:v>23702.3</c:v>
                </c:pt>
                <c:pt idx="10">
                  <c:v>24356.1</c:v>
                </c:pt>
                <c:pt idx="11">
                  <c:v>16812.400000000001</c:v>
                </c:pt>
                <c:pt idx="12">
                  <c:v>51382.8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4321.8999999999996</c:v>
                </c:pt>
                <c:pt idx="1">
                  <c:v>1196.5</c:v>
                </c:pt>
                <c:pt idx="2">
                  <c:v>1953.7</c:v>
                </c:pt>
                <c:pt idx="3">
                  <c:v>972.7</c:v>
                </c:pt>
                <c:pt idx="4">
                  <c:v>3473.9</c:v>
                </c:pt>
                <c:pt idx="5">
                  <c:v>3226</c:v>
                </c:pt>
                <c:pt idx="6">
                  <c:v>14393.3</c:v>
                </c:pt>
                <c:pt idx="7">
                  <c:v>6696</c:v>
                </c:pt>
                <c:pt idx="8">
                  <c:v>1704</c:v>
                </c:pt>
                <c:pt idx="9">
                  <c:v>21100.1</c:v>
                </c:pt>
                <c:pt idx="10">
                  <c:v>4947.8999999999996</c:v>
                </c:pt>
                <c:pt idx="11">
                  <c:v>952.5</c:v>
                </c:pt>
                <c:pt idx="12">
                  <c:v>1275.4000000000001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1499</c:v>
                </c:pt>
                <c:pt idx="1">
                  <c:v>694.8</c:v>
                </c:pt>
                <c:pt idx="2">
                  <c:v>1479</c:v>
                </c:pt>
                <c:pt idx="3">
                  <c:v>456.9</c:v>
                </c:pt>
                <c:pt idx="4">
                  <c:v>731.2</c:v>
                </c:pt>
                <c:pt idx="5">
                  <c:v>983.4</c:v>
                </c:pt>
                <c:pt idx="6">
                  <c:v>4195.1000000000004</c:v>
                </c:pt>
                <c:pt idx="7">
                  <c:v>686</c:v>
                </c:pt>
                <c:pt idx="8">
                  <c:v>1654.6</c:v>
                </c:pt>
                <c:pt idx="9">
                  <c:v>1712.3</c:v>
                </c:pt>
                <c:pt idx="10">
                  <c:v>1233.0999999999999</c:v>
                </c:pt>
                <c:pt idx="11">
                  <c:v>730.5</c:v>
                </c:pt>
                <c:pt idx="12">
                  <c:v>2784.2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35181.699999999997</c:v>
                </c:pt>
                <c:pt idx="1">
                  <c:v>12560.8</c:v>
                </c:pt>
                <c:pt idx="2">
                  <c:v>9282.6</c:v>
                </c:pt>
                <c:pt idx="3">
                  <c:v>7586.6</c:v>
                </c:pt>
                <c:pt idx="4">
                  <c:v>6859.3</c:v>
                </c:pt>
                <c:pt idx="5">
                  <c:v>22432</c:v>
                </c:pt>
                <c:pt idx="6">
                  <c:v>32118.7</c:v>
                </c:pt>
                <c:pt idx="7">
                  <c:v>14339.3</c:v>
                </c:pt>
                <c:pt idx="8">
                  <c:v>32219.8</c:v>
                </c:pt>
                <c:pt idx="9">
                  <c:v>27908.3</c:v>
                </c:pt>
                <c:pt idx="10">
                  <c:v>16888.599999999999</c:v>
                </c:pt>
                <c:pt idx="11">
                  <c:v>23001.200000000001</c:v>
                </c:pt>
                <c:pt idx="12">
                  <c:v>59979.3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537</c:v>
                </c:pt>
                <c:pt idx="1">
                  <c:v>231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1236</c:v>
                </c:pt>
                <c:pt idx="7">
                  <c:v>277</c:v>
                </c:pt>
                <c:pt idx="8">
                  <c:v>258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310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13587.3</c:v>
                </c:pt>
                <c:pt idx="1">
                  <c:v>9853.2999999999993</c:v>
                </c:pt>
                <c:pt idx="2">
                  <c:v>10537.6</c:v>
                </c:pt>
                <c:pt idx="3">
                  <c:v>7497.3</c:v>
                </c:pt>
                <c:pt idx="4">
                  <c:v>9809.2999999999993</c:v>
                </c:pt>
                <c:pt idx="5">
                  <c:v>16186.5</c:v>
                </c:pt>
                <c:pt idx="6">
                  <c:v>39485.4</c:v>
                </c:pt>
                <c:pt idx="7">
                  <c:v>7767.7</c:v>
                </c:pt>
                <c:pt idx="8">
                  <c:v>14790.9</c:v>
                </c:pt>
                <c:pt idx="9">
                  <c:v>16090.2</c:v>
                </c:pt>
                <c:pt idx="10">
                  <c:v>8367.7000000000007</c:v>
                </c:pt>
                <c:pt idx="11">
                  <c:v>5631.5</c:v>
                </c:pt>
                <c:pt idx="12">
                  <c:v>6998.5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30688"/>
        <c:axId val="353631080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2'!$D$104:$P$104</c:f>
              <c:numCache>
                <c:formatCode>#,##0.0</c:formatCode>
                <c:ptCount val="13"/>
                <c:pt idx="0">
                  <c:v>57.933831365300001</c:v>
                </c:pt>
                <c:pt idx="1">
                  <c:v>57.393478933700003</c:v>
                </c:pt>
                <c:pt idx="2">
                  <c:v>54.654758855300003</c:v>
                </c:pt>
                <c:pt idx="3">
                  <c:v>54.685032249099997</c:v>
                </c:pt>
                <c:pt idx="4">
                  <c:v>61.513323042499998</c:v>
                </c:pt>
                <c:pt idx="5">
                  <c:v>71.000344286000001</c:v>
                </c:pt>
                <c:pt idx="6">
                  <c:v>75.213326381100003</c:v>
                </c:pt>
                <c:pt idx="7">
                  <c:v>60.115528511000001</c:v>
                </c:pt>
                <c:pt idx="8">
                  <c:v>64.730818692499994</c:v>
                </c:pt>
                <c:pt idx="9">
                  <c:v>53.523070068999999</c:v>
                </c:pt>
                <c:pt idx="10">
                  <c:v>51.365419521600003</c:v>
                </c:pt>
                <c:pt idx="11">
                  <c:v>61.214905660699998</c:v>
                </c:pt>
                <c:pt idx="12">
                  <c:v>64.545211494200004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31864"/>
        <c:axId val="353631472"/>
      </c:lineChart>
      <c:catAx>
        <c:axId val="3536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31080"/>
        <c:crosses val="autoZero"/>
        <c:auto val="1"/>
        <c:lblAlgn val="ctr"/>
        <c:lblOffset val="100"/>
        <c:noMultiLvlLbl val="0"/>
      </c:catAx>
      <c:valAx>
        <c:axId val="353631080"/>
        <c:scaling>
          <c:orientation val="minMax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30688"/>
        <c:crosses val="autoZero"/>
        <c:crossBetween val="between"/>
        <c:majorUnit val="50000"/>
        <c:dispUnits>
          <c:builtInUnit val="thousands"/>
        </c:dispUnits>
      </c:valAx>
      <c:valAx>
        <c:axId val="3536314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631864"/>
        <c:crosses val="max"/>
        <c:crossBetween val="between"/>
        <c:majorUnit val="20"/>
      </c:valAx>
      <c:catAx>
        <c:axId val="35363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63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'Data 2'!$B$129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2'!$C$129:$O$129</c:f>
              <c:numCache>
                <c:formatCode>#,##0.0</c:formatCode>
                <c:ptCount val="13"/>
                <c:pt idx="0">
                  <c:v>294.2</c:v>
                </c:pt>
                <c:pt idx="1">
                  <c:v>516.70000000000005</c:v>
                </c:pt>
                <c:pt idx="2">
                  <c:v>0</c:v>
                </c:pt>
                <c:pt idx="3">
                  <c:v>0</c:v>
                </c:pt>
                <c:pt idx="4">
                  <c:v>8149.5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350.4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"/>
          <c:tx>
            <c:strRef>
              <c:f>'Data 2'!$B$130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2'!$C$130:$O$130</c:f>
              <c:numCache>
                <c:formatCode>#,##0.0</c:formatCode>
                <c:ptCount val="13"/>
                <c:pt idx="0">
                  <c:v>0</c:v>
                </c:pt>
                <c:pt idx="1">
                  <c:v>1537.9</c:v>
                </c:pt>
                <c:pt idx="2">
                  <c:v>2533.1</c:v>
                </c:pt>
                <c:pt idx="3">
                  <c:v>555.79999999999995</c:v>
                </c:pt>
                <c:pt idx="4">
                  <c:v>754.8</c:v>
                </c:pt>
                <c:pt idx="5">
                  <c:v>458.3</c:v>
                </c:pt>
                <c:pt idx="6">
                  <c:v>223.8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90</c:v>
                </c:pt>
                <c:pt idx="12">
                  <c:v>0</c:v>
                </c:pt>
              </c:numCache>
            </c:numRef>
          </c:val>
        </c:ser>
        <c:ser>
          <c:idx val="3"/>
          <c:order val="2"/>
          <c:tx>
            <c:strRef>
              <c:f>'Data 2'!$B$131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0</c:v>
                </c:pt>
                <c:pt idx="1">
                  <c:v>257</c:v>
                </c:pt>
                <c:pt idx="2">
                  <c:v>0</c:v>
                </c:pt>
                <c:pt idx="3">
                  <c:v>0</c:v>
                </c:pt>
                <c:pt idx="4">
                  <c:v>3.5</c:v>
                </c:pt>
                <c:pt idx="5">
                  <c:v>0</c:v>
                </c:pt>
                <c:pt idx="6">
                  <c:v>2.4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154.4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2'!$B$132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4310.8</c:v>
                </c:pt>
                <c:pt idx="1">
                  <c:v>809.6</c:v>
                </c:pt>
                <c:pt idx="2">
                  <c:v>2991.4</c:v>
                </c:pt>
                <c:pt idx="3">
                  <c:v>20748.5</c:v>
                </c:pt>
                <c:pt idx="4">
                  <c:v>31856.3</c:v>
                </c:pt>
                <c:pt idx="5">
                  <c:v>31829.7</c:v>
                </c:pt>
                <c:pt idx="6">
                  <c:v>30752.2</c:v>
                </c:pt>
                <c:pt idx="7">
                  <c:v>31097.5</c:v>
                </c:pt>
                <c:pt idx="8">
                  <c:v>30123.599999999999</c:v>
                </c:pt>
                <c:pt idx="9">
                  <c:v>16053.6</c:v>
                </c:pt>
                <c:pt idx="10">
                  <c:v>32084.5</c:v>
                </c:pt>
                <c:pt idx="11">
                  <c:v>34261.699999999997</c:v>
                </c:pt>
                <c:pt idx="12">
                  <c:v>11426.8</c:v>
                </c:pt>
              </c:numCache>
            </c:numRef>
          </c:val>
        </c:ser>
        <c:ser>
          <c:idx val="5"/>
          <c:order val="4"/>
          <c:tx>
            <c:strRef>
              <c:f>'Data 2'!$B$133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42.4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2'!$B$134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0.6</c:v>
                </c:pt>
                <c:pt idx="1">
                  <c:v>9502.9</c:v>
                </c:pt>
                <c:pt idx="2">
                  <c:v>42.6</c:v>
                </c:pt>
                <c:pt idx="3">
                  <c:v>1071</c:v>
                </c:pt>
                <c:pt idx="4">
                  <c:v>1760.6</c:v>
                </c:pt>
                <c:pt idx="5">
                  <c:v>671.7</c:v>
                </c:pt>
                <c:pt idx="6">
                  <c:v>2324.3000000000002</c:v>
                </c:pt>
                <c:pt idx="7">
                  <c:v>268.5</c:v>
                </c:pt>
                <c:pt idx="8">
                  <c:v>373.8</c:v>
                </c:pt>
                <c:pt idx="9">
                  <c:v>185.3</c:v>
                </c:pt>
                <c:pt idx="10">
                  <c:v>425.7</c:v>
                </c:pt>
                <c:pt idx="11">
                  <c:v>11163.7</c:v>
                </c:pt>
                <c:pt idx="12">
                  <c:v>1911.2</c:v>
                </c:pt>
              </c:numCache>
            </c:numRef>
          </c:val>
        </c:ser>
        <c:ser>
          <c:idx val="7"/>
          <c:order val="6"/>
          <c:tx>
            <c:strRef>
              <c:f>'Data 2'!$B$135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0</c:v>
                </c:pt>
                <c:pt idx="1">
                  <c:v>408.7</c:v>
                </c:pt>
                <c:pt idx="2">
                  <c:v>0</c:v>
                </c:pt>
                <c:pt idx="3">
                  <c:v>8.1999999999999993</c:v>
                </c:pt>
                <c:pt idx="4">
                  <c:v>0</c:v>
                </c:pt>
                <c:pt idx="5">
                  <c:v>189.5</c:v>
                </c:pt>
                <c:pt idx="6">
                  <c:v>0</c:v>
                </c:pt>
                <c:pt idx="7">
                  <c:v>0</c:v>
                </c:pt>
                <c:pt idx="8">
                  <c:v>1416.6</c:v>
                </c:pt>
                <c:pt idx="9">
                  <c:v>1837.6</c:v>
                </c:pt>
                <c:pt idx="10">
                  <c:v>531.20000000000005</c:v>
                </c:pt>
                <c:pt idx="11">
                  <c:v>589.5</c:v>
                </c:pt>
                <c:pt idx="12">
                  <c:v>1375.3</c:v>
                </c:pt>
              </c:numCache>
            </c:numRef>
          </c:val>
        </c:ser>
        <c:ser>
          <c:idx val="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</c:ser>
        <c:ser>
          <c:idx val="8"/>
          <c:order val="8"/>
          <c:tx>
            <c:strRef>
              <c:f>'Data 2'!$B$136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0</c:v>
                </c:pt>
                <c:pt idx="1">
                  <c:v>117.5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122.2</c:v>
                </c:pt>
                <c:pt idx="12">
                  <c:v>0</c:v>
                </c:pt>
              </c:numCache>
            </c:numRef>
          </c:val>
        </c:ser>
        <c:ser>
          <c:idx val="9"/>
          <c:order val="9"/>
          <c:tx>
            <c:strRef>
              <c:f>'Data 2'!$B$137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'Data 2'!$B$138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0</c:v>
                </c:pt>
                <c:pt idx="1">
                  <c:v>1254.7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44.1</c:v>
                </c:pt>
                <c:pt idx="1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'Data 2'!$B$139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2'!$C$139:$O$139</c:f>
              <c:numCache>
                <c:formatCode>#,##0.0</c:formatCode>
                <c:ptCount val="13"/>
                <c:pt idx="0">
                  <c:v>0</c:v>
                </c:pt>
                <c:pt idx="1">
                  <c:v>102.9</c:v>
                </c:pt>
                <c:pt idx="2">
                  <c:v>65</c:v>
                </c:pt>
                <c:pt idx="3">
                  <c:v>183.2</c:v>
                </c:pt>
                <c:pt idx="4">
                  <c:v>177.8</c:v>
                </c:pt>
                <c:pt idx="5">
                  <c:v>613.5</c:v>
                </c:pt>
                <c:pt idx="6">
                  <c:v>1135.9000000000001</c:v>
                </c:pt>
                <c:pt idx="7">
                  <c:v>1121.8</c:v>
                </c:pt>
                <c:pt idx="8">
                  <c:v>1190.9000000000001</c:v>
                </c:pt>
                <c:pt idx="9">
                  <c:v>606.6</c:v>
                </c:pt>
                <c:pt idx="10">
                  <c:v>413.1</c:v>
                </c:pt>
                <c:pt idx="11">
                  <c:v>171.5</c:v>
                </c:pt>
                <c:pt idx="12">
                  <c:v>67.5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083672"/>
        <c:axId val="354084064"/>
      </c:barChart>
      <c:lineChart>
        <c:grouping val="standard"/>
        <c:varyColors val="0"/>
        <c:ser>
          <c:idx val="1"/>
          <c:order val="12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3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2'!$C$148:$O$148</c:f>
              <c:numCache>
                <c:formatCode>#,##0.0</c:formatCode>
                <c:ptCount val="13"/>
                <c:pt idx="0">
                  <c:v>38.1623566962</c:v>
                </c:pt>
                <c:pt idx="1">
                  <c:v>7.5200099254000001</c:v>
                </c:pt>
                <c:pt idx="2">
                  <c:v>24.361699898800001</c:v>
                </c:pt>
                <c:pt idx="3">
                  <c:v>37.7942734206</c:v>
                </c:pt>
                <c:pt idx="4">
                  <c:v>31.409996136099998</c:v>
                </c:pt>
                <c:pt idx="5">
                  <c:v>38.9460973204</c:v>
                </c:pt>
                <c:pt idx="6">
                  <c:v>34.010933952000002</c:v>
                </c:pt>
                <c:pt idx="7">
                  <c:v>33.175365521800003</c:v>
                </c:pt>
                <c:pt idx="8">
                  <c:v>35.092640581600001</c:v>
                </c:pt>
                <c:pt idx="9">
                  <c:v>29.133979907000001</c:v>
                </c:pt>
                <c:pt idx="10">
                  <c:v>29.7914500561</c:v>
                </c:pt>
                <c:pt idx="11">
                  <c:v>29.2085445232</c:v>
                </c:pt>
                <c:pt idx="12">
                  <c:v>35.4605900898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84848"/>
        <c:axId val="354084456"/>
      </c:lineChart>
      <c:catAx>
        <c:axId val="3540836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54084064"/>
        <c:crosses val="autoZero"/>
        <c:auto val="1"/>
        <c:lblAlgn val="ctr"/>
        <c:lblOffset val="100"/>
        <c:noMultiLvlLbl val="0"/>
      </c:catAx>
      <c:valAx>
        <c:axId val="35408406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3672"/>
        <c:crosses val="autoZero"/>
        <c:crossBetween val="between"/>
        <c:majorUnit val="20000"/>
        <c:dispUnits>
          <c:builtInUnit val="thousands"/>
        </c:dispUnits>
      </c:valAx>
      <c:valAx>
        <c:axId val="354084456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4848"/>
        <c:crosses val="max"/>
        <c:crossBetween val="between"/>
        <c:majorUnit val="30"/>
      </c:valAx>
      <c:catAx>
        <c:axId val="354084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4084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2413726733086343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673.2</c:v>
                </c:pt>
                <c:pt idx="1">
                  <c:v>0</c:v>
                </c:pt>
                <c:pt idx="2">
                  <c:v>1372.5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374</c:v>
                </c:pt>
                <c:pt idx="7">
                  <c:v>0</c:v>
                </c:pt>
                <c:pt idx="8">
                  <c:v>0</c:v>
                </c:pt>
                <c:pt idx="9">
                  <c:v>1806.7</c:v>
                </c:pt>
                <c:pt idx="10">
                  <c:v>3485.4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2'!$B$119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5702.5</c:v>
                </c:pt>
                <c:pt idx="1">
                  <c:v>4906.7</c:v>
                </c:pt>
                <c:pt idx="2">
                  <c:v>12488.5</c:v>
                </c:pt>
                <c:pt idx="3">
                  <c:v>9962.2999999999993</c:v>
                </c:pt>
                <c:pt idx="4">
                  <c:v>10119.200000000001</c:v>
                </c:pt>
                <c:pt idx="5">
                  <c:v>8034.3</c:v>
                </c:pt>
                <c:pt idx="6">
                  <c:v>3967.2</c:v>
                </c:pt>
                <c:pt idx="7">
                  <c:v>4799.8</c:v>
                </c:pt>
                <c:pt idx="8">
                  <c:v>9167.2000000000007</c:v>
                </c:pt>
                <c:pt idx="9">
                  <c:v>43724.800000000003</c:v>
                </c:pt>
                <c:pt idx="10">
                  <c:v>16735.099999999999</c:v>
                </c:pt>
                <c:pt idx="11">
                  <c:v>12256.8</c:v>
                </c:pt>
                <c:pt idx="12">
                  <c:v>9234.9</c:v>
                </c:pt>
              </c:numCache>
            </c:numRef>
          </c:val>
        </c:ser>
        <c:ser>
          <c:idx val="5"/>
          <c:order val="2"/>
          <c:tx>
            <c:strRef>
              <c:f>'Data 2'!$B$120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2'!$B$121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1567.6</c:v>
                </c:pt>
                <c:pt idx="1">
                  <c:v>593.20000000000005</c:v>
                </c:pt>
                <c:pt idx="2">
                  <c:v>3675.7</c:v>
                </c:pt>
                <c:pt idx="3">
                  <c:v>123.8</c:v>
                </c:pt>
                <c:pt idx="4">
                  <c:v>1038.2</c:v>
                </c:pt>
                <c:pt idx="5">
                  <c:v>863.8</c:v>
                </c:pt>
                <c:pt idx="6">
                  <c:v>2746.1</c:v>
                </c:pt>
                <c:pt idx="7">
                  <c:v>3776.1</c:v>
                </c:pt>
                <c:pt idx="8">
                  <c:v>319.8</c:v>
                </c:pt>
                <c:pt idx="9">
                  <c:v>4108.1000000000004</c:v>
                </c:pt>
                <c:pt idx="10">
                  <c:v>3030.8</c:v>
                </c:pt>
                <c:pt idx="11">
                  <c:v>795.1</c:v>
                </c:pt>
                <c:pt idx="12">
                  <c:v>91.5</c:v>
                </c:pt>
              </c:numCache>
            </c:numRef>
          </c:val>
        </c:ser>
        <c:ser>
          <c:idx val="7"/>
          <c:order val="4"/>
          <c:tx>
            <c:strRef>
              <c:f>'Data 2'!$B$122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28.4</c:v>
                </c:pt>
                <c:pt idx="1">
                  <c:v>844.1</c:v>
                </c:pt>
                <c:pt idx="2">
                  <c:v>1561.2</c:v>
                </c:pt>
                <c:pt idx="3">
                  <c:v>0</c:v>
                </c:pt>
                <c:pt idx="4">
                  <c:v>495.2</c:v>
                </c:pt>
                <c:pt idx="5">
                  <c:v>0</c:v>
                </c:pt>
                <c:pt idx="6">
                  <c:v>58.6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149.4</c:v>
                </c:pt>
                <c:pt idx="1">
                  <c:v>376.7</c:v>
                </c:pt>
                <c:pt idx="2">
                  <c:v>359.5</c:v>
                </c:pt>
                <c:pt idx="3">
                  <c:v>40</c:v>
                </c:pt>
                <c:pt idx="4">
                  <c:v>208.4</c:v>
                </c:pt>
                <c:pt idx="5">
                  <c:v>0</c:v>
                </c:pt>
                <c:pt idx="6">
                  <c:v>52.1</c:v>
                </c:pt>
                <c:pt idx="7">
                  <c:v>0</c:v>
                </c:pt>
                <c:pt idx="8">
                  <c:v>367.5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0</c:v>
                </c:pt>
                <c:pt idx="1">
                  <c:v>973.2</c:v>
                </c:pt>
                <c:pt idx="2">
                  <c:v>1700.4</c:v>
                </c:pt>
                <c:pt idx="3">
                  <c:v>0</c:v>
                </c:pt>
                <c:pt idx="4">
                  <c:v>0</c:v>
                </c:pt>
                <c:pt idx="5">
                  <c:v>3635.7</c:v>
                </c:pt>
                <c:pt idx="6">
                  <c:v>0</c:v>
                </c:pt>
                <c:pt idx="7">
                  <c:v>5766.5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976</c:v>
                </c:pt>
              </c:numCache>
            </c:numRef>
          </c:val>
        </c:ser>
        <c:ser>
          <c:idx val="11"/>
          <c:order val="8"/>
          <c:tx>
            <c:strRef>
              <c:f>'Data 2'!$B$126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'Data 2'!$B$127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2'!$C$127:$O$127</c:f>
              <c:numCache>
                <c:formatCode>#,##0.0</c:formatCode>
                <c:ptCount val="13"/>
                <c:pt idx="0">
                  <c:v>940.1</c:v>
                </c:pt>
                <c:pt idx="1">
                  <c:v>7214.8</c:v>
                </c:pt>
                <c:pt idx="2">
                  <c:v>1397.9</c:v>
                </c:pt>
                <c:pt idx="3">
                  <c:v>759.3</c:v>
                </c:pt>
                <c:pt idx="4">
                  <c:v>2510.5</c:v>
                </c:pt>
                <c:pt idx="5">
                  <c:v>1650.6</c:v>
                </c:pt>
                <c:pt idx="6">
                  <c:v>774.9</c:v>
                </c:pt>
                <c:pt idx="7">
                  <c:v>1181.9000000000001</c:v>
                </c:pt>
                <c:pt idx="8">
                  <c:v>436</c:v>
                </c:pt>
                <c:pt idx="9">
                  <c:v>249</c:v>
                </c:pt>
                <c:pt idx="10">
                  <c:v>3717.6</c:v>
                </c:pt>
                <c:pt idx="11">
                  <c:v>330.9</c:v>
                </c:pt>
                <c:pt idx="12">
                  <c:v>107.7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085632"/>
        <c:axId val="354086024"/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2'!$C$147:$O$147</c:f>
              <c:numCache>
                <c:formatCode>#,##0.0</c:formatCode>
                <c:ptCount val="13"/>
                <c:pt idx="0">
                  <c:v>91.525396333399996</c:v>
                </c:pt>
                <c:pt idx="1">
                  <c:v>88.581907768400001</c:v>
                </c:pt>
                <c:pt idx="2">
                  <c:v>86.157873728799999</c:v>
                </c:pt>
                <c:pt idx="3">
                  <c:v>132.9255103166</c:v>
                </c:pt>
                <c:pt idx="4">
                  <c:v>162.3070364578</c:v>
                </c:pt>
                <c:pt idx="5">
                  <c:v>156.44702913059999</c:v>
                </c:pt>
                <c:pt idx="6">
                  <c:v>137.28795092429999</c:v>
                </c:pt>
                <c:pt idx="7">
                  <c:v>95.193314352300007</c:v>
                </c:pt>
                <c:pt idx="8">
                  <c:v>113.42185996790001</c:v>
                </c:pt>
                <c:pt idx="9">
                  <c:v>116.86911518860001</c:v>
                </c:pt>
                <c:pt idx="10">
                  <c:v>103.6372710789</c:v>
                </c:pt>
                <c:pt idx="11">
                  <c:v>144.02376109630001</c:v>
                </c:pt>
                <c:pt idx="12">
                  <c:v>140.18530945910001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86808"/>
        <c:axId val="354086416"/>
      </c:lineChart>
      <c:catAx>
        <c:axId val="3540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6024"/>
        <c:crosses val="autoZero"/>
        <c:auto val="1"/>
        <c:lblAlgn val="ctr"/>
        <c:lblOffset val="100"/>
        <c:noMultiLvlLbl val="0"/>
      </c:catAx>
      <c:valAx>
        <c:axId val="354086024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5632"/>
        <c:crosses val="autoZero"/>
        <c:crossBetween val="between"/>
        <c:majorUnit val="20000"/>
        <c:dispUnits>
          <c:builtInUnit val="thousands"/>
        </c:dispUnits>
      </c:valAx>
      <c:valAx>
        <c:axId val="354086416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6808"/>
        <c:crosses val="max"/>
        <c:crossBetween val="between"/>
        <c:majorUnit val="30"/>
      </c:valAx>
      <c:catAx>
        <c:axId val="35408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08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2'!$C$164:$O$164</c:f>
              <c:numCache>
                <c:formatCode>#,##0.0</c:formatCode>
                <c:ptCount val="13"/>
                <c:pt idx="0">
                  <c:v>4305</c:v>
                </c:pt>
                <c:pt idx="1">
                  <c:v>0</c:v>
                </c:pt>
                <c:pt idx="2">
                  <c:v>0</c:v>
                </c:pt>
                <c:pt idx="3">
                  <c:v>3306.6</c:v>
                </c:pt>
                <c:pt idx="4">
                  <c:v>27914.400000000001</c:v>
                </c:pt>
                <c:pt idx="5">
                  <c:v>23926.9</c:v>
                </c:pt>
                <c:pt idx="6">
                  <c:v>3200.6</c:v>
                </c:pt>
                <c:pt idx="7">
                  <c:v>10696.2</c:v>
                </c:pt>
                <c:pt idx="8">
                  <c:v>4341.8999999999996</c:v>
                </c:pt>
                <c:pt idx="9">
                  <c:v>45246.3</c:v>
                </c:pt>
                <c:pt idx="10">
                  <c:v>55123</c:v>
                </c:pt>
                <c:pt idx="11">
                  <c:v>40054.5</c:v>
                </c:pt>
                <c:pt idx="12">
                  <c:v>24939.8</c:v>
                </c:pt>
              </c:numCache>
            </c:numRef>
          </c:val>
        </c:ser>
        <c:ser>
          <c:idx val="5"/>
          <c:order val="2"/>
          <c:tx>
            <c:strRef>
              <c:f>'Data 2'!$B$165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2'!$C$165:$O$165</c:f>
              <c:numCache>
                <c:formatCode>#,##0.0</c:formatCode>
                <c:ptCount val="13"/>
                <c:pt idx="0">
                  <c:v>11713</c:v>
                </c:pt>
                <c:pt idx="1">
                  <c:v>0</c:v>
                </c:pt>
                <c:pt idx="2">
                  <c:v>15430.5</c:v>
                </c:pt>
                <c:pt idx="3">
                  <c:v>27967.5</c:v>
                </c:pt>
                <c:pt idx="4">
                  <c:v>638167.19999999995</c:v>
                </c:pt>
                <c:pt idx="5">
                  <c:v>455734.5</c:v>
                </c:pt>
                <c:pt idx="6">
                  <c:v>67420.5</c:v>
                </c:pt>
                <c:pt idx="7">
                  <c:v>39454.699999999997</c:v>
                </c:pt>
                <c:pt idx="8">
                  <c:v>58215.4</c:v>
                </c:pt>
                <c:pt idx="9">
                  <c:v>142680.5</c:v>
                </c:pt>
                <c:pt idx="10">
                  <c:v>258682.2</c:v>
                </c:pt>
                <c:pt idx="11">
                  <c:v>170347.3</c:v>
                </c:pt>
                <c:pt idx="12">
                  <c:v>227127.5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4087592"/>
        <c:axId val="35408798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2'!$C$163:$O$163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2'!$B$166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2'!$C$166:$O$166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2'!$B$167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2'!$C$167:$O$167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2'!$C$179:$O$179</c:f>
              <c:numCache>
                <c:formatCode>#,##0.0</c:formatCode>
                <c:ptCount val="13"/>
                <c:pt idx="0">
                  <c:v>12.8</c:v>
                </c:pt>
                <c:pt idx="1">
                  <c:v>0</c:v>
                </c:pt>
                <c:pt idx="2">
                  <c:v>23.340193253599999</c:v>
                </c:pt>
                <c:pt idx="3">
                  <c:v>21.599768498500001</c:v>
                </c:pt>
                <c:pt idx="4">
                  <c:v>20.4834082251</c:v>
                </c:pt>
                <c:pt idx="5">
                  <c:v>7.6688870712000003</c:v>
                </c:pt>
                <c:pt idx="6">
                  <c:v>8.8270115871999995</c:v>
                </c:pt>
                <c:pt idx="7">
                  <c:v>9.1079265776000007</c:v>
                </c:pt>
                <c:pt idx="8">
                  <c:v>20.767300458899999</c:v>
                </c:pt>
                <c:pt idx="9">
                  <c:v>23.806060237299999</c:v>
                </c:pt>
                <c:pt idx="10">
                  <c:v>17.740267306</c:v>
                </c:pt>
                <c:pt idx="11">
                  <c:v>13.0302566518</c:v>
                </c:pt>
                <c:pt idx="12">
                  <c:v>6.7044843975999999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62448"/>
        <c:axId val="354088376"/>
      </c:lineChart>
      <c:catAx>
        <c:axId val="35408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7984"/>
        <c:crosses val="autoZero"/>
        <c:auto val="1"/>
        <c:lblAlgn val="ctr"/>
        <c:lblOffset val="100"/>
        <c:noMultiLvlLbl val="0"/>
      </c:catAx>
      <c:valAx>
        <c:axId val="354087984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87592"/>
        <c:crosses val="autoZero"/>
        <c:crossBetween val="between"/>
        <c:majorUnit val="100000"/>
        <c:dispUnits>
          <c:builtInUnit val="thousands"/>
        </c:dispUnits>
      </c:valAx>
      <c:valAx>
        <c:axId val="3540883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2462448"/>
        <c:crosses val="max"/>
        <c:crossBetween val="between"/>
      </c:valAx>
      <c:catAx>
        <c:axId val="35246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54088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01236220449444"/>
          <c:y val="0.94186708327459767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0.6071</cdr:x>
      <cdr:y>0.1918</cdr:y>
    </cdr:from>
    <cdr:to>
      <cdr:x>0.7366</cdr:x>
      <cdr:y>0.2528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4272" y="460387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0.51119</cdr:x>
      <cdr:y>0.48265</cdr:y>
    </cdr:from>
    <cdr:to>
      <cdr:x>0.64069</cdr:x>
      <cdr:y>0.54365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665" y="1158494"/>
          <a:ext cx="747493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0.55223</cdr:x>
      <cdr:y>0.20496</cdr:y>
    </cdr:from>
    <cdr:to>
      <cdr:x>0.55358</cdr:x>
      <cdr:y>0.87888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3897634" y="628623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0.04094</cdr:x>
      <cdr:y>0.11284</cdr:y>
    </cdr:from>
    <cdr:to>
      <cdr:x>0.07749</cdr:x>
      <cdr:y>0.18377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288943" y="3460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0.25821</cdr:x>
      <cdr:y>0.9234</cdr:y>
    </cdr:from>
    <cdr:to>
      <cdr:x>0.33802</cdr:x>
      <cdr:y>0.98548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22476" y="283210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0.73324</cdr:x>
      <cdr:y>0.92339</cdr:y>
    </cdr:from>
    <cdr:to>
      <cdr:x>0.81305</cdr:x>
      <cdr:y>0.98547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75253" y="283209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0.73523</cdr:x>
      <cdr:y>0.90773</cdr:y>
    </cdr:from>
    <cdr:to>
      <cdr:x>0.81504</cdr:x>
      <cdr:y>0.97123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89249" y="272179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0.55358</cdr:x>
      <cdr:y>0.16519</cdr:y>
    </cdr:from>
    <cdr:to>
      <cdr:x>0.55376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3907156" y="49530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0.24471</cdr:x>
      <cdr:y>0.90322</cdr:y>
    </cdr:from>
    <cdr:to>
      <cdr:x>0.32452</cdr:x>
      <cdr:y>0.96672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27200" y="2708275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3838575</xdr:colOff>
      <xdr:row>10</xdr:row>
      <xdr:rowOff>19050</xdr:rowOff>
    </xdr:from>
    <xdr:to>
      <xdr:col>4</xdr:col>
      <xdr:colOff>3838575</xdr:colOff>
      <xdr:row>21</xdr:row>
      <xdr:rowOff>133350</xdr:rowOff>
    </xdr:to>
    <xdr:cxnSp macro="">
      <xdr:nvCxnSpPr>
        <xdr:cNvPr id="3" name="Conector recto 2"/>
        <xdr:cNvCxnSpPr/>
      </xdr:nvCxnSpPr>
      <xdr:spPr bwMode="auto">
        <a:xfrm flipV="1">
          <a:off x="5695950" y="1685925"/>
          <a:ext cx="0" cy="1895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0.20693</cdr:x>
      <cdr:y>0.93688</cdr:y>
    </cdr:from>
    <cdr:to>
      <cdr:x>0.29736</cdr:x>
      <cdr:y>0.99782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460500" y="2737820"/>
          <a:ext cx="638257" cy="178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0.73629</cdr:x>
      <cdr:y>0.93484</cdr:y>
    </cdr:from>
    <cdr:to>
      <cdr:x>0.8161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94996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0.54052</cdr:x>
      <cdr:y>0.12476</cdr:y>
    </cdr:from>
    <cdr:to>
      <cdr:x>0.54299</cdr:x>
      <cdr:y>0.81937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4137122" y="309227"/>
          <a:ext cx="18905" cy="17216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0.74342</cdr:x>
      <cdr:y>0.89144</cdr:y>
    </cdr:from>
    <cdr:to>
      <cdr:x>0.81705</cdr:x>
      <cdr:y>0.96489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690172" y="2209508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0.29835</cdr:x>
      <cdr:y>0.89725</cdr:y>
    </cdr:from>
    <cdr:to>
      <cdr:x>0.37197</cdr:x>
      <cdr:y>0.9707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283600" y="222390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0.53807</cdr:x>
      <cdr:y>0.06638</cdr:y>
    </cdr:from>
    <cdr:to>
      <cdr:x>0.53895</cdr:x>
      <cdr:y>0.76775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4118113" y="164278"/>
          <a:ext cx="6800" cy="17357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0.54167</cdr:x>
      <cdr:y>0.12526</cdr:y>
    </cdr:from>
    <cdr:to>
      <cdr:x>0.54257</cdr:x>
      <cdr:y>0.81297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81503" y="290179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0.71508</cdr:x>
      <cdr:y>0.87932</cdr:y>
    </cdr:from>
    <cdr:to>
      <cdr:x>0.78988</cdr:x>
      <cdr:y>0.95791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88189" y="2037080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0.25155</cdr:x>
      <cdr:y>0.8732</cdr:y>
    </cdr:from>
    <cdr:to>
      <cdr:x>0.32635</cdr:x>
      <cdr:y>0.95179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95467" y="2022892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0.54219</cdr:x>
      <cdr:y>0.03318</cdr:y>
    </cdr:from>
    <cdr:to>
      <cdr:x>0.54393</cdr:x>
      <cdr:y>0.8673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85953" y="56626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0.5429</cdr:x>
      <cdr:y>0.11643</cdr:y>
    </cdr:from>
    <cdr:to>
      <cdr:x>0.54309</cdr:x>
      <cdr:y>0.81585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4090771" y="272630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0.72485</cdr:x>
      <cdr:y>0.8822</cdr:y>
    </cdr:from>
    <cdr:to>
      <cdr:x>0.79966</cdr:x>
      <cdr:y>0.95998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61841" y="206567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0.30305</cdr:x>
      <cdr:y>0.87615</cdr:y>
    </cdr:from>
    <cdr:to>
      <cdr:x>0.37784</cdr:x>
      <cdr:y>0.95393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83519" y="205149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0.53951</cdr:x>
      <cdr:y>0.02642</cdr:y>
    </cdr:from>
    <cdr:to>
      <cdr:x>0.54061</cdr:x>
      <cdr:y>0.85353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65772" y="45951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0.54149</cdr:x>
      <cdr:y>0.09501</cdr:y>
    </cdr:from>
    <cdr:to>
      <cdr:x>0.54207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80273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0.54334</cdr:x>
      <cdr:y>0.17628</cdr:y>
    </cdr:from>
    <cdr:to>
      <cdr:x>0.54402</cdr:x>
      <cdr:y>0.85945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94199" y="472119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0.72711</cdr:x>
      <cdr:y>0.92954</cdr:y>
    </cdr:from>
    <cdr:to>
      <cdr:x>0.80191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78925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0.25227</cdr:x>
      <cdr:y>0.92955</cdr:y>
    </cdr:from>
    <cdr:to>
      <cdr:x>0.32706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900880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0.54199</cdr:x>
      <cdr:y>0.09077</cdr:y>
    </cdr:from>
    <cdr:to>
      <cdr:x>0.54373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83982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0.54118</cdr:x>
      <cdr:y>0.10022</cdr:y>
    </cdr:from>
    <cdr:to>
      <cdr:x>0.54334</cdr:x>
      <cdr:y>0.85046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4077923" y="258832"/>
          <a:ext cx="16281" cy="19377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0.72189</cdr:x>
      <cdr:y>0.92028</cdr:y>
    </cdr:from>
    <cdr:to>
      <cdr:x>0.79669</cdr:x>
      <cdr:y>0.99074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39588" y="2376874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0.24831</cdr:x>
      <cdr:y>0.90373</cdr:y>
    </cdr:from>
    <cdr:to>
      <cdr:x>0.3231</cdr:x>
      <cdr:y>0.97418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71068" y="2334136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0.53645</cdr:x>
      <cdr:y>0.09275</cdr:y>
    </cdr:from>
    <cdr:to>
      <cdr:x>0.53809</cdr:x>
      <cdr:y>0.75272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991186" y="276479"/>
          <a:ext cx="12201" cy="1967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0.54039</cdr:x>
      <cdr:y>0.09156</cdr:y>
    </cdr:from>
    <cdr:to>
      <cdr:x>0.54093</cdr:x>
      <cdr:y>0.85738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20489" y="236469"/>
          <a:ext cx="4034" cy="19779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0.7225</cdr:x>
      <cdr:y>0.91659</cdr:y>
    </cdr:from>
    <cdr:to>
      <cdr:x>0.79822</cdr:x>
      <cdr:y>0.98705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75350" y="2367348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0.30451</cdr:x>
      <cdr:y>0.91849</cdr:y>
    </cdr:from>
    <cdr:to>
      <cdr:x>0.38022</cdr:x>
      <cdr:y>0.98894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65576" y="237223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0.53461</cdr:x>
      <cdr:y>0.10767</cdr:y>
    </cdr:from>
    <cdr:to>
      <cdr:x>0.53952</cdr:x>
      <cdr:y>0.88449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027460" y="406358"/>
          <a:ext cx="36989" cy="293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0.74137</cdr:x>
      <cdr:y>0.93528</cdr:y>
    </cdr:from>
    <cdr:to>
      <cdr:x>0.81621</cdr:x>
      <cdr:y>0.98351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85097" y="3529703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0.22831</cdr:x>
      <cdr:y>0.94161</cdr:y>
    </cdr:from>
    <cdr:to>
      <cdr:x>0.30314</cdr:x>
      <cdr:y>0.98985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19992" y="3553607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E4" sqref="E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47"/>
      <c r="D2" s="147"/>
      <c r="E2" s="148" t="s">
        <v>36</v>
      </c>
    </row>
    <row r="3" spans="2:8" ht="15" customHeight="1">
      <c r="C3" s="147"/>
      <c r="D3" s="147"/>
      <c r="E3" s="144" t="str">
        <f>'M1'!L3</f>
        <v>Junio 2018</v>
      </c>
    </row>
    <row r="4" spans="2:8" s="2" customFormat="1" ht="20.25" customHeight="1">
      <c r="B4" s="3"/>
      <c r="C4" s="149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0"/>
      <c r="D7" s="11"/>
      <c r="E7" s="11"/>
    </row>
    <row r="8" spans="2:8" s="2" customFormat="1" ht="12.6" customHeight="1">
      <c r="B8" s="3"/>
      <c r="C8" s="151"/>
      <c r="D8" s="152" t="s">
        <v>141</v>
      </c>
      <c r="E8" s="153" t="s">
        <v>48</v>
      </c>
      <c r="F8" s="154"/>
      <c r="G8" s="92"/>
    </row>
    <row r="9" spans="2:8" s="2" customFormat="1" ht="12.6" customHeight="1">
      <c r="B9" s="3"/>
      <c r="C9" s="151"/>
      <c r="D9" s="152" t="s">
        <v>141</v>
      </c>
      <c r="E9" s="153" t="s">
        <v>142</v>
      </c>
      <c r="F9" s="154"/>
      <c r="G9" s="92"/>
    </row>
    <row r="10" spans="2:8" s="2" customFormat="1" ht="12.6" customHeight="1">
      <c r="B10" s="3"/>
      <c r="C10" s="151"/>
      <c r="D10" s="152" t="s">
        <v>141</v>
      </c>
      <c r="E10" s="153" t="s">
        <v>143</v>
      </c>
      <c r="F10" s="154"/>
      <c r="H10" s="155"/>
    </row>
    <row r="11" spans="2:8" s="2" customFormat="1" ht="12.6" customHeight="1">
      <c r="B11" s="3"/>
      <c r="C11" s="151"/>
      <c r="D11" s="152" t="s">
        <v>141</v>
      </c>
      <c r="E11" s="153" t="s">
        <v>144</v>
      </c>
      <c r="F11" s="154"/>
      <c r="H11" s="155"/>
    </row>
    <row r="12" spans="2:8" s="2" customFormat="1" ht="12.6" customHeight="1">
      <c r="B12" s="3"/>
      <c r="C12" s="151"/>
      <c r="D12" s="152" t="s">
        <v>141</v>
      </c>
      <c r="E12" s="153" t="s">
        <v>32</v>
      </c>
      <c r="F12" s="154"/>
    </row>
    <row r="13" spans="2:8" s="2" customFormat="1" ht="12.6" customHeight="1">
      <c r="B13" s="3"/>
      <c r="C13" s="151"/>
      <c r="D13" s="152" t="s">
        <v>141</v>
      </c>
      <c r="E13" s="153" t="s">
        <v>145</v>
      </c>
      <c r="F13" s="154"/>
    </row>
    <row r="14" spans="2:8" s="2" customFormat="1" ht="12.6" customHeight="1">
      <c r="B14" s="3"/>
      <c r="C14" s="151"/>
      <c r="D14" s="152" t="s">
        <v>141</v>
      </c>
      <c r="E14" s="153" t="s">
        <v>61</v>
      </c>
      <c r="F14" s="154"/>
    </row>
    <row r="15" spans="2:8" s="2" customFormat="1" ht="12.6" customHeight="1">
      <c r="B15" s="3"/>
      <c r="C15" s="151"/>
      <c r="D15" s="152" t="s">
        <v>141</v>
      </c>
      <c r="E15" s="153" t="s">
        <v>43</v>
      </c>
      <c r="F15" s="154"/>
    </row>
    <row r="16" spans="2:8" s="2" customFormat="1" ht="12.6" customHeight="1">
      <c r="B16" s="3"/>
      <c r="C16" s="151"/>
      <c r="D16" s="152" t="s">
        <v>141</v>
      </c>
      <c r="E16" s="153" t="s">
        <v>14</v>
      </c>
      <c r="F16" s="154"/>
    </row>
    <row r="17" spans="2:6" s="2" customFormat="1" ht="12.6" customHeight="1">
      <c r="B17" s="3"/>
      <c r="C17" s="151"/>
      <c r="D17" s="152" t="s">
        <v>141</v>
      </c>
      <c r="E17" s="153" t="s">
        <v>87</v>
      </c>
      <c r="F17" s="154"/>
    </row>
    <row r="18" spans="2:6" s="2" customFormat="1" ht="12.6" customHeight="1">
      <c r="B18" s="3"/>
      <c r="C18" s="151"/>
      <c r="D18" s="152" t="s">
        <v>141</v>
      </c>
      <c r="E18" s="153" t="s">
        <v>3</v>
      </c>
      <c r="F18" s="154"/>
    </row>
    <row r="19" spans="2:6" s="2" customFormat="1" ht="12.6" customHeight="1">
      <c r="B19" s="3"/>
      <c r="C19" s="151"/>
      <c r="D19" s="152" t="s">
        <v>141</v>
      </c>
      <c r="E19" s="153" t="s">
        <v>88</v>
      </c>
      <c r="F19" s="154"/>
    </row>
    <row r="20" spans="2:6" s="2" customFormat="1" ht="12.6" customHeight="1">
      <c r="B20" s="3"/>
      <c r="C20" s="151"/>
      <c r="D20" s="152" t="s">
        <v>141</v>
      </c>
      <c r="E20" s="153" t="s">
        <v>28</v>
      </c>
      <c r="F20" s="154"/>
    </row>
    <row r="21" spans="2:6" s="2" customFormat="1" ht="12.6" customHeight="1">
      <c r="B21" s="3"/>
      <c r="C21" s="151"/>
      <c r="D21" s="156" t="s">
        <v>141</v>
      </c>
      <c r="E21" s="153" t="s">
        <v>27</v>
      </c>
      <c r="F21" s="154"/>
    </row>
    <row r="22" spans="2:6" s="2" customFormat="1" ht="8.25" customHeight="1">
      <c r="B22" s="3"/>
      <c r="C22" s="151"/>
      <c r="D22" s="156"/>
      <c r="E22" s="157"/>
      <c r="F22" s="154"/>
    </row>
    <row r="23" spans="2:6" ht="11.25" customHeight="1"/>
    <row r="24" spans="2:6">
      <c r="C24" s="158" t="s">
        <v>146</v>
      </c>
      <c r="E24" s="2"/>
    </row>
    <row r="27" spans="2:6">
      <c r="E27" s="159"/>
    </row>
    <row r="28" spans="2:6">
      <c r="E28" s="159"/>
    </row>
    <row r="29" spans="2:6">
      <c r="E29" s="159"/>
    </row>
    <row r="30" spans="2:6">
      <c r="E30" s="7"/>
    </row>
    <row r="31" spans="2:6">
      <c r="E31" s="160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O18" sqref="O18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">
        <v>192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194" t="s">
        <v>48</v>
      </c>
    </row>
    <row r="8" spans="3:12" ht="10.5" customHeight="1">
      <c r="C8" s="194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I18" sqref="I1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">
        <v>192</v>
      </c>
    </row>
    <row r="4" spans="2:6" s="2" customFormat="1" ht="19.899999999999999" customHeight="1">
      <c r="B4" s="3"/>
      <c r="C4" s="21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194" t="s">
        <v>138</v>
      </c>
      <c r="D7" s="6"/>
      <c r="E7" s="7"/>
    </row>
    <row r="8" spans="2:6" s="2" customFormat="1" ht="12.75" customHeight="1">
      <c r="B8" s="3"/>
      <c r="C8" s="194"/>
      <c r="D8" s="6"/>
      <c r="E8" s="7"/>
    </row>
    <row r="9" spans="2:6" s="2" customFormat="1" ht="12.75" customHeight="1">
      <c r="B9" s="3"/>
      <c r="C9" s="194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L39" sqref="L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6" t="s">
        <v>192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194" t="s">
        <v>89</v>
      </c>
      <c r="D7" s="6"/>
      <c r="E7" s="14"/>
    </row>
    <row r="8" spans="2:19" s="2" customFormat="1" ht="12.75" customHeight="1">
      <c r="B8" s="3"/>
      <c r="C8" s="194"/>
      <c r="D8" s="6"/>
      <c r="E8" s="14"/>
    </row>
    <row r="9" spans="2:19" s="2" customFormat="1" ht="18" customHeight="1">
      <c r="B9" s="3"/>
      <c r="C9" s="194"/>
      <c r="D9" s="6"/>
      <c r="E9" s="14"/>
      <c r="F9" s="63" t="str">
        <f>MID('Data 1'!B62,1,1)</f>
        <v>J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J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A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S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O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N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D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E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F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M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A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M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J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N26" sqref="N26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6" t="s">
        <v>192</v>
      </c>
    </row>
    <row r="4" spans="1:8">
      <c r="B4" s="21" t="s">
        <v>35</v>
      </c>
    </row>
    <row r="7" spans="1:8" ht="12.75" customHeight="1">
      <c r="B7" s="195" t="s">
        <v>55</v>
      </c>
    </row>
    <row r="8" spans="1:8">
      <c r="B8" s="195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I26" sqref="I2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192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195" t="s">
        <v>32</v>
      </c>
      <c r="D7" s="6"/>
      <c r="E7" s="14"/>
    </row>
    <row r="8" spans="2:39" s="2" customFormat="1" ht="12.75" customHeight="1">
      <c r="B8" s="3"/>
      <c r="C8" s="195"/>
      <c r="D8" s="6"/>
      <c r="E8" s="14"/>
    </row>
    <row r="9" spans="2:39" s="2" customFormat="1" ht="12.75" customHeight="1">
      <c r="B9" s="3"/>
      <c r="C9" s="195"/>
      <c r="D9" s="6"/>
      <c r="E9" s="14"/>
    </row>
    <row r="10" spans="2:39" s="2" customFormat="1" ht="12.75" customHeight="1">
      <c r="B10" s="3"/>
      <c r="C10" s="195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6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J21" sqref="J2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196" t="s">
        <v>36</v>
      </c>
      <c r="F2" s="196"/>
      <c r="G2" s="196"/>
      <c r="H2" s="12"/>
      <c r="I2" s="12"/>
    </row>
    <row r="3" spans="2:9" s="1" customFormat="1" ht="15" customHeight="1">
      <c r="E3" s="197" t="s">
        <v>192</v>
      </c>
      <c r="F3" s="197"/>
      <c r="G3" s="197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1"/>
    </row>
    <row r="7" spans="2:9" s="71" customFormat="1" ht="15" customHeight="1">
      <c r="B7" s="68"/>
      <c r="C7" s="195" t="s">
        <v>135</v>
      </c>
      <c r="D7" s="69"/>
      <c r="E7" s="70"/>
      <c r="F7" s="90"/>
      <c r="G7" s="90"/>
    </row>
    <row r="8" spans="2:9" s="71" customFormat="1" ht="15" customHeight="1">
      <c r="B8" s="68"/>
      <c r="C8" s="195"/>
      <c r="D8" s="69"/>
      <c r="E8" s="72"/>
      <c r="F8" s="73" t="s">
        <v>230</v>
      </c>
      <c r="G8" s="73" t="s">
        <v>192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15.047395779999999</v>
      </c>
      <c r="G9" s="103">
        <f>-VLOOKUP("Restricciones PBF - Coste",'Data 1'!B107:D125,3,FALSE)/1000000</f>
        <v>30.483370480000001</v>
      </c>
    </row>
    <row r="10" spans="2:9" s="2" customFormat="1" ht="15" customHeight="1">
      <c r="B10" s="3"/>
      <c r="C10" s="195"/>
      <c r="D10" s="6"/>
      <c r="E10" s="66" t="s">
        <v>64</v>
      </c>
      <c r="F10" s="189">
        <f>-VLOOKUP("Restricciones tiempo real (SC)",'Data 1'!F107:H125,3,FALSE)/1000000</f>
        <v>0.42287985</v>
      </c>
      <c r="G10" s="103">
        <f>-VLOOKUP("Restricciones tiempo real (SC)",'Data 1'!B107:D125,3,FALSE)/1000000</f>
        <v>1.10793527</v>
      </c>
    </row>
    <row r="11" spans="2:9" s="2" customFormat="1" ht="15" customHeight="1">
      <c r="B11" s="3"/>
      <c r="C11" s="195"/>
      <c r="D11" s="6"/>
      <c r="E11" s="66" t="s">
        <v>58</v>
      </c>
      <c r="F11" s="103">
        <f>SUM(F9:F10)</f>
        <v>15.470275629999998</v>
      </c>
      <c r="G11" s="103">
        <f>SUM(G9:G10)</f>
        <v>31.59130575</v>
      </c>
    </row>
    <row r="12" spans="2:9" s="2" customFormat="1" ht="15" customHeight="1">
      <c r="B12" s="3"/>
      <c r="C12" s="195"/>
      <c r="D12" s="6"/>
      <c r="E12" s="66" t="s">
        <v>24</v>
      </c>
      <c r="F12" s="103">
        <f>-VLOOKUP("Banda secundaria - CF",'Data 1'!F107:H125,3,FALSE)/1000000</f>
        <v>10.804515070000001</v>
      </c>
      <c r="G12" s="103">
        <f>-VLOOKUP("Banda secundaria - CF",'Data 1'!B107:D125,3,FALSE)/1000000</f>
        <v>10.01442726</v>
      </c>
    </row>
    <row r="13" spans="2:9" s="2" customFormat="1" ht="15" customHeight="1">
      <c r="B13" s="3"/>
      <c r="C13" s="5"/>
      <c r="D13" s="6"/>
      <c r="E13" s="66" t="s">
        <v>27</v>
      </c>
      <c r="F13" s="189">
        <f>-IFERROR(VLOOKUP("Reserva subir - Coste",'Data 1'!F107:H125,3,FALSE)/1000000,0)</f>
        <v>0.2050304</v>
      </c>
      <c r="G13" s="103">
        <f>-IFERROR(VLOOKUP("Reserva subir - Coste",'Data 1'!B107:D125,3,FALSE)/1000000,0)</f>
        <v>1.67052892</v>
      </c>
    </row>
    <row r="14" spans="2:9" s="2" customFormat="1" ht="15" customHeight="1">
      <c r="B14" s="3"/>
      <c r="C14" s="5"/>
      <c r="D14" s="6"/>
      <c r="E14" s="66" t="s">
        <v>17</v>
      </c>
      <c r="F14" s="103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1.8001891300000001</v>
      </c>
      <c r="G14" s="189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-7.0794329999997185E-2</v>
      </c>
    </row>
    <row r="15" spans="2:9" s="2" customFormat="1" ht="15" customHeight="1">
      <c r="B15" s="3"/>
      <c r="C15" s="5"/>
      <c r="D15" s="6"/>
      <c r="E15" s="66" t="s">
        <v>41</v>
      </c>
      <c r="F15" s="103">
        <f>-IFERROR(VLOOKUP("Saldo desvíos",'Data 1'!F107:H125,3,FALSE)/1000000,0)</f>
        <v>-1.5917440700000001</v>
      </c>
      <c r="G15" s="189">
        <f>-IFERROR(VLOOKUP("Saldo desvíos",'Data 1'!B107:D125,3,FALSE)/1000000,0)</f>
        <v>-0.10641385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26.688266159999994</v>
      </c>
      <c r="G17" s="104">
        <f>SUM(G11:G16)</f>
        <v>43.099053750000003</v>
      </c>
    </row>
    <row r="18" spans="2:10" s="2" customFormat="1" ht="15" customHeight="1">
      <c r="B18" s="3"/>
      <c r="C18" s="5"/>
      <c r="D18" s="5"/>
      <c r="E18" s="74" t="s">
        <v>156</v>
      </c>
      <c r="F18" s="65"/>
      <c r="G18" s="75">
        <f>(G17-F17)/F17</f>
        <v>0.61490647206585014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C10" sqref="C10:C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">
        <v>192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195" t="s">
        <v>61</v>
      </c>
      <c r="D7" s="6"/>
      <c r="E7" s="14"/>
    </row>
    <row r="8" spans="2:9" s="2" customFormat="1" ht="12.75" customHeight="1">
      <c r="B8" s="3"/>
      <c r="C8" s="195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5"/>
      <c r="D10" s="6"/>
      <c r="E10" s="14"/>
    </row>
    <row r="11" spans="2:9" s="2" customFormat="1" ht="12.75" customHeight="1">
      <c r="B11" s="3"/>
      <c r="C11" s="195"/>
      <c r="D11" s="6"/>
      <c r="E11" s="11"/>
    </row>
    <row r="12" spans="2:9" s="2" customFormat="1" ht="12.75" customHeight="1">
      <c r="B12" s="3"/>
      <c r="C12" s="195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N34" sqref="N34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">
        <v>192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5" t="s">
        <v>43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5"/>
      <c r="F10" s="35"/>
      <c r="G10" s="35"/>
    </row>
    <row r="11" spans="1:38">
      <c r="B11" s="195"/>
      <c r="F11" s="35"/>
      <c r="G11" s="35"/>
    </row>
    <row r="12" spans="1:38" s="34" customFormat="1">
      <c r="B12" s="195"/>
      <c r="F12" s="35"/>
      <c r="G12" s="35"/>
    </row>
    <row r="13" spans="1:38">
      <c r="B13" s="195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Q25" sqref="Q25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">
        <v>192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5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5"/>
      <c r="F10" s="35"/>
      <c r="G10" s="35"/>
    </row>
    <row r="11" spans="1:37" s="34" customFormat="1">
      <c r="B11" s="195"/>
      <c r="F11" s="35"/>
      <c r="G11" s="35"/>
    </row>
    <row r="12" spans="1:37">
      <c r="B12" s="19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V16" sqref="V1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5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5"/>
      <c r="F10" s="35"/>
      <c r="G10" s="35"/>
    </row>
    <row r="11" spans="1:37" s="34" customFormat="1">
      <c r="B11" s="195"/>
      <c r="F11" s="35"/>
      <c r="G11" s="35"/>
    </row>
    <row r="12" spans="1:37">
      <c r="B12" s="19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6">
      <c r="F17" s="35"/>
      <c r="G17" s="35"/>
    </row>
    <row r="18" spans="6:16">
      <c r="F18" s="35"/>
      <c r="G18" s="35"/>
    </row>
    <row r="19" spans="6:16">
      <c r="F19" s="35"/>
      <c r="G19" s="35"/>
    </row>
    <row r="20" spans="6:16" ht="15">
      <c r="F20" s="35"/>
      <c r="G20" s="35"/>
      <c r="N20" s="82"/>
    </row>
    <row r="21" spans="6:16">
      <c r="F21" s="35"/>
      <c r="G21" s="35"/>
      <c r="N21" s="81"/>
    </row>
    <row r="22" spans="6:16">
      <c r="F22" s="35"/>
      <c r="G22" s="35"/>
    </row>
    <row r="23" spans="6:16">
      <c r="F23" s="35"/>
      <c r="G23" s="35"/>
    </row>
    <row r="24" spans="6:16">
      <c r="F24" s="35"/>
      <c r="G24" s="35"/>
    </row>
    <row r="25" spans="6:16">
      <c r="F25" s="35"/>
      <c r="G25" s="35"/>
    </row>
    <row r="26" spans="6:16">
      <c r="F26" s="35"/>
      <c r="G26" s="35"/>
      <c r="P26" s="190" t="s">
        <v>140</v>
      </c>
    </row>
    <row r="27" spans="6:16">
      <c r="F27" s="35"/>
      <c r="G27" s="35"/>
    </row>
    <row r="28" spans="6:16">
      <c r="F28" s="35"/>
      <c r="G28" s="35"/>
    </row>
    <row r="29" spans="6:16">
      <c r="F29" s="35"/>
      <c r="G29" s="35"/>
    </row>
    <row r="30" spans="6:16">
      <c r="F30" s="35"/>
      <c r="G30" s="35"/>
    </row>
    <row r="31" spans="6:16">
      <c r="F31" s="35"/>
      <c r="G31" s="35"/>
    </row>
    <row r="32" spans="6:16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N26" sqref="N26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5"/>
      <c r="F10" s="35"/>
      <c r="G10" s="35"/>
    </row>
    <row r="11" spans="1:38" s="34" customFormat="1" ht="12.75" customHeight="1">
      <c r="B11" s="195"/>
      <c r="F11" s="35"/>
      <c r="G11" s="35"/>
    </row>
    <row r="12" spans="1:38" ht="12.75" customHeight="1">
      <c r="B12" s="19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P23" sqref="P23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P7" s="30" t="s">
        <v>9</v>
      </c>
      <c r="Q7" s="30" t="s">
        <v>9</v>
      </c>
      <c r="R7" s="30" t="s">
        <v>8</v>
      </c>
      <c r="S7" s="30" t="s">
        <v>10</v>
      </c>
      <c r="T7" s="30" t="s">
        <v>11</v>
      </c>
      <c r="U7" s="30" t="s">
        <v>12</v>
      </c>
      <c r="V7" s="30" t="s">
        <v>13</v>
      </c>
      <c r="W7" s="30" t="s">
        <v>5</v>
      </c>
      <c r="X7" s="30" t="s">
        <v>6</v>
      </c>
      <c r="Y7" s="30" t="s">
        <v>7</v>
      </c>
      <c r="Z7" s="30" t="s">
        <v>8</v>
      </c>
      <c r="AA7" s="30" t="s">
        <v>7</v>
      </c>
      <c r="AB7" s="30" t="s">
        <v>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5"/>
      <c r="F10" s="35"/>
      <c r="G10" s="35"/>
    </row>
    <row r="11" spans="1:38" s="34" customFormat="1" ht="12.75" customHeight="1">
      <c r="B11" s="195"/>
      <c r="F11" s="35"/>
      <c r="G11" s="35"/>
    </row>
    <row r="12" spans="1:38" ht="12.75" customHeight="1">
      <c r="B12" s="19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9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N42" sqref="N42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5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5"/>
      <c r="F10" s="35"/>
      <c r="G10" s="35"/>
    </row>
    <row r="11" spans="1:38" s="34" customFormat="1" ht="12.75" customHeight="1">
      <c r="B11" s="195"/>
      <c r="F11" s="35"/>
      <c r="G11" s="35"/>
    </row>
    <row r="12" spans="1:38" ht="12.75" customHeight="1">
      <c r="B12" s="19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U32" sqref="U32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9</v>
      </c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</row>
    <row r="5" spans="1:37" s="34" customFormat="1"/>
    <row r="6" spans="1:37" s="34" customFormat="1"/>
    <row r="7" spans="1:37" ht="12.75" customHeight="1">
      <c r="B7" s="195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5"/>
      <c r="F10" s="35"/>
      <c r="G10" s="35"/>
    </row>
    <row r="11" spans="1:37" s="34" customFormat="1">
      <c r="B11" s="195"/>
      <c r="F11" s="35"/>
      <c r="G11" s="35"/>
    </row>
    <row r="12" spans="1:37">
      <c r="B12" s="19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topLeftCell="A70" zoomScale="115" zoomScaleNormal="115" workbookViewId="0">
      <selection activeCell="O92" sqref="O92"/>
    </sheetView>
  </sheetViews>
  <sheetFormatPr baseColWidth="10" defaultRowHeight="12.75"/>
  <cols>
    <col min="1" max="1" width="2.85546875" style="107" customWidth="1"/>
    <col min="2" max="2" width="27.5703125" style="107" customWidth="1"/>
    <col min="3" max="16" width="11.42578125" style="107"/>
    <col min="17" max="17" width="15" style="107" customWidth="1"/>
    <col min="18" max="16384" width="11.42578125" style="107"/>
  </cols>
  <sheetData>
    <row r="2" spans="1:5">
      <c r="B2" s="170" t="s">
        <v>132</v>
      </c>
      <c r="C2" s="171"/>
      <c r="D2" s="171"/>
      <c r="E2" s="171"/>
    </row>
    <row r="3" spans="1:5">
      <c r="B3" s="101" t="s">
        <v>42</v>
      </c>
      <c r="C3" s="101" t="s">
        <v>45</v>
      </c>
      <c r="D3" s="101"/>
      <c r="E3" s="101" t="s">
        <v>15</v>
      </c>
    </row>
    <row r="4" spans="1:5">
      <c r="A4" s="176"/>
      <c r="B4" s="101"/>
      <c r="C4" s="101" t="s">
        <v>46</v>
      </c>
      <c r="D4" s="101" t="s">
        <v>47</v>
      </c>
      <c r="E4" s="101"/>
    </row>
    <row r="5" spans="1:5">
      <c r="A5" s="176">
        <v>1</v>
      </c>
      <c r="B5" s="101" t="s">
        <v>160</v>
      </c>
      <c r="C5" s="101">
        <v>66.260000000000005</v>
      </c>
      <c r="D5" s="101">
        <v>59.72</v>
      </c>
      <c r="E5" s="162">
        <v>63.2787699402</v>
      </c>
    </row>
    <row r="6" spans="1:5">
      <c r="A6" s="176">
        <v>2</v>
      </c>
      <c r="B6" s="101" t="s">
        <v>161</v>
      </c>
      <c r="C6" s="101">
        <v>66</v>
      </c>
      <c r="D6" s="101">
        <v>54.54</v>
      </c>
      <c r="E6" s="162">
        <v>60.9431040857</v>
      </c>
    </row>
    <row r="7" spans="1:5">
      <c r="A7" s="176">
        <v>3</v>
      </c>
      <c r="B7" s="101" t="s">
        <v>162</v>
      </c>
      <c r="C7" s="101">
        <v>64.97</v>
      </c>
      <c r="D7" s="101">
        <v>46.75</v>
      </c>
      <c r="E7" s="162">
        <v>54.571931516500001</v>
      </c>
    </row>
    <row r="8" spans="1:5">
      <c r="A8" s="176">
        <v>4</v>
      </c>
      <c r="B8" s="101" t="s">
        <v>163</v>
      </c>
      <c r="C8" s="101">
        <v>64.53</v>
      </c>
      <c r="D8" s="101">
        <v>49</v>
      </c>
      <c r="E8" s="162">
        <v>58.5145230607</v>
      </c>
    </row>
    <row r="9" spans="1:5">
      <c r="A9" s="176">
        <v>5</v>
      </c>
      <c r="B9" s="101" t="s">
        <v>164</v>
      </c>
      <c r="C9" s="101">
        <v>64</v>
      </c>
      <c r="D9" s="101">
        <v>50.01</v>
      </c>
      <c r="E9" s="162">
        <v>59.391869942200003</v>
      </c>
    </row>
    <row r="10" spans="1:5">
      <c r="A10" s="176">
        <v>6</v>
      </c>
      <c r="B10" s="101" t="s">
        <v>165</v>
      </c>
      <c r="C10" s="101">
        <v>65.650000000000006</v>
      </c>
      <c r="D10" s="101">
        <v>56.64</v>
      </c>
      <c r="E10" s="162">
        <v>62.827333019900003</v>
      </c>
    </row>
    <row r="11" spans="1:5">
      <c r="A11" s="176">
        <v>7</v>
      </c>
      <c r="B11" s="101" t="s">
        <v>166</v>
      </c>
      <c r="C11" s="101">
        <v>65.959999999999994</v>
      </c>
      <c r="D11" s="101">
        <v>56</v>
      </c>
      <c r="E11" s="162">
        <v>62.985069365100003</v>
      </c>
    </row>
    <row r="12" spans="1:5">
      <c r="A12" s="176">
        <v>8</v>
      </c>
      <c r="B12" s="101" t="s">
        <v>167</v>
      </c>
      <c r="C12" s="101">
        <v>64.67</v>
      </c>
      <c r="D12" s="101">
        <v>58.12</v>
      </c>
      <c r="E12" s="162">
        <v>62.244764597299998</v>
      </c>
    </row>
    <row r="13" spans="1:5">
      <c r="A13" s="176">
        <v>9</v>
      </c>
      <c r="B13" s="101" t="s">
        <v>168</v>
      </c>
      <c r="C13" s="101">
        <v>63.51</v>
      </c>
      <c r="D13" s="101">
        <v>50.34</v>
      </c>
      <c r="E13" s="162">
        <v>58.625308159100001</v>
      </c>
    </row>
    <row r="14" spans="1:5">
      <c r="A14" s="176">
        <v>10</v>
      </c>
      <c r="B14" s="101" t="s">
        <v>169</v>
      </c>
      <c r="C14" s="101">
        <v>63.3</v>
      </c>
      <c r="D14" s="101">
        <v>49.64</v>
      </c>
      <c r="E14" s="162">
        <v>56.217831357400001</v>
      </c>
    </row>
    <row r="15" spans="1:5">
      <c r="A15" s="176">
        <v>11</v>
      </c>
      <c r="B15" s="101" t="s">
        <v>170</v>
      </c>
      <c r="C15" s="101">
        <v>63.44</v>
      </c>
      <c r="D15" s="101">
        <v>51.07</v>
      </c>
      <c r="E15" s="162">
        <v>59.523166048299998</v>
      </c>
    </row>
    <row r="16" spans="1:5">
      <c r="A16" s="176">
        <v>12</v>
      </c>
      <c r="B16" s="101" t="s">
        <v>171</v>
      </c>
      <c r="C16" s="101">
        <v>60.51</v>
      </c>
      <c r="D16" s="101">
        <v>50.66</v>
      </c>
      <c r="E16" s="162">
        <v>55.055718489199997</v>
      </c>
    </row>
    <row r="17" spans="1:5">
      <c r="A17" s="176">
        <v>13</v>
      </c>
      <c r="B17" s="101" t="s">
        <v>172</v>
      </c>
      <c r="C17" s="101">
        <v>55.77</v>
      </c>
      <c r="D17" s="101">
        <v>48</v>
      </c>
      <c r="E17" s="162">
        <v>53.0376609383</v>
      </c>
    </row>
    <row r="18" spans="1:5">
      <c r="A18" s="176">
        <v>14</v>
      </c>
      <c r="B18" s="101" t="s">
        <v>173</v>
      </c>
      <c r="C18" s="101">
        <v>60.11</v>
      </c>
      <c r="D18" s="101">
        <v>54.87</v>
      </c>
      <c r="E18" s="162">
        <v>58.026010599899998</v>
      </c>
    </row>
    <row r="19" spans="1:5">
      <c r="A19" s="176">
        <v>15</v>
      </c>
      <c r="B19" s="101" t="s">
        <v>174</v>
      </c>
      <c r="C19" s="101">
        <v>61.9</v>
      </c>
      <c r="D19" s="101">
        <v>53.12</v>
      </c>
      <c r="E19" s="162">
        <v>57.848564886799998</v>
      </c>
    </row>
    <row r="20" spans="1:5">
      <c r="A20" s="176">
        <v>16</v>
      </c>
      <c r="B20" s="101" t="s">
        <v>175</v>
      </c>
      <c r="C20" s="101">
        <v>57</v>
      </c>
      <c r="D20" s="101">
        <v>51.1</v>
      </c>
      <c r="E20" s="162">
        <v>52.900570042699997</v>
      </c>
    </row>
    <row r="21" spans="1:5">
      <c r="A21" s="176">
        <v>17</v>
      </c>
      <c r="B21" s="101" t="s">
        <v>176</v>
      </c>
      <c r="C21" s="101">
        <v>53.07</v>
      </c>
      <c r="D21" s="101">
        <v>41.58</v>
      </c>
      <c r="E21" s="162">
        <v>44.943313576199998</v>
      </c>
    </row>
    <row r="22" spans="1:5">
      <c r="A22" s="176">
        <v>18</v>
      </c>
      <c r="B22" s="101" t="s">
        <v>177</v>
      </c>
      <c r="C22" s="101">
        <v>57.47</v>
      </c>
      <c r="D22" s="101">
        <v>46.89</v>
      </c>
      <c r="E22" s="162">
        <v>54.903628995699997</v>
      </c>
    </row>
    <row r="23" spans="1:5">
      <c r="A23" s="176">
        <v>19</v>
      </c>
      <c r="B23" s="101" t="s">
        <v>178</v>
      </c>
      <c r="C23" s="101">
        <v>60.78</v>
      </c>
      <c r="D23" s="101">
        <v>42.6</v>
      </c>
      <c r="E23" s="162">
        <v>54.964143897100001</v>
      </c>
    </row>
    <row r="24" spans="1:5">
      <c r="A24" s="176">
        <v>20</v>
      </c>
      <c r="B24" s="101" t="s">
        <v>179</v>
      </c>
      <c r="C24" s="101">
        <v>62.83</v>
      </c>
      <c r="D24" s="101">
        <v>59.7</v>
      </c>
      <c r="E24" s="162">
        <v>61.557744439700002</v>
      </c>
    </row>
    <row r="25" spans="1:5">
      <c r="A25" s="176">
        <v>21</v>
      </c>
      <c r="B25" s="101" t="s">
        <v>180</v>
      </c>
      <c r="C25" s="101">
        <v>61.99</v>
      </c>
      <c r="D25" s="101">
        <v>58.68</v>
      </c>
      <c r="E25" s="162">
        <v>60.955510579699997</v>
      </c>
    </row>
    <row r="26" spans="1:5">
      <c r="A26" s="176">
        <v>22</v>
      </c>
      <c r="B26" s="101" t="s">
        <v>181</v>
      </c>
      <c r="C26" s="101">
        <v>62.01</v>
      </c>
      <c r="D26" s="101">
        <v>55.01</v>
      </c>
      <c r="E26" s="162">
        <v>59.9484054976</v>
      </c>
    </row>
    <row r="27" spans="1:5">
      <c r="A27" s="176">
        <v>23</v>
      </c>
      <c r="B27" s="101" t="s">
        <v>182</v>
      </c>
      <c r="C27" s="101">
        <v>60.4</v>
      </c>
      <c r="D27" s="101">
        <v>51.02</v>
      </c>
      <c r="E27" s="162">
        <v>57.082213480299998</v>
      </c>
    </row>
    <row r="28" spans="1:5">
      <c r="A28" s="176">
        <v>24</v>
      </c>
      <c r="B28" s="101" t="s">
        <v>183</v>
      </c>
      <c r="C28" s="101">
        <v>61.14</v>
      </c>
      <c r="D28" s="101">
        <v>56</v>
      </c>
      <c r="E28" s="162">
        <v>59.356223822700002</v>
      </c>
    </row>
    <row r="29" spans="1:5">
      <c r="A29" s="176">
        <v>25</v>
      </c>
      <c r="B29" s="101" t="s">
        <v>184</v>
      </c>
      <c r="C29" s="101">
        <v>64.36</v>
      </c>
      <c r="D29" s="101">
        <v>52.87</v>
      </c>
      <c r="E29" s="162">
        <v>61.999921744399998</v>
      </c>
    </row>
    <row r="30" spans="1:5">
      <c r="A30" s="176">
        <v>26</v>
      </c>
      <c r="B30" s="101" t="s">
        <v>185</v>
      </c>
      <c r="C30" s="101">
        <v>64.2</v>
      </c>
      <c r="D30" s="101">
        <v>59.89</v>
      </c>
      <c r="E30" s="162">
        <v>62.837363614899999</v>
      </c>
    </row>
    <row r="31" spans="1:5">
      <c r="A31" s="176">
        <v>27</v>
      </c>
      <c r="B31" s="101" t="s">
        <v>186</v>
      </c>
      <c r="C31" s="101">
        <v>64.3</v>
      </c>
      <c r="D31" s="101">
        <v>60.17</v>
      </c>
      <c r="E31" s="162">
        <v>62.699155685699999</v>
      </c>
    </row>
    <row r="32" spans="1:5">
      <c r="A32" s="176">
        <v>28</v>
      </c>
      <c r="B32" s="101" t="s">
        <v>187</v>
      </c>
      <c r="C32" s="101">
        <v>63.9</v>
      </c>
      <c r="D32" s="101">
        <v>58.18</v>
      </c>
      <c r="E32" s="162">
        <v>61.983626458700002</v>
      </c>
    </row>
    <row r="33" spans="1:10">
      <c r="A33" s="176">
        <v>29</v>
      </c>
      <c r="B33" s="101" t="s">
        <v>188</v>
      </c>
      <c r="C33" s="101">
        <v>63.19</v>
      </c>
      <c r="D33" s="101">
        <v>59.01</v>
      </c>
      <c r="E33" s="162">
        <v>61.898474049599997</v>
      </c>
    </row>
    <row r="34" spans="1:10">
      <c r="A34" s="176">
        <v>30</v>
      </c>
      <c r="B34" s="101" t="s">
        <v>189</v>
      </c>
      <c r="C34" s="101">
        <v>62.96</v>
      </c>
      <c r="D34" s="101">
        <v>54.15</v>
      </c>
      <c r="E34" s="162">
        <v>58.693441889500001</v>
      </c>
    </row>
    <row r="35" spans="1:10">
      <c r="A35" s="176"/>
      <c r="B35" s="101" t="s">
        <v>190</v>
      </c>
      <c r="C35" s="101" t="s">
        <v>191</v>
      </c>
      <c r="D35" s="101" t="s">
        <v>191</v>
      </c>
      <c r="E35" s="162">
        <v>58.839130971599999</v>
      </c>
    </row>
    <row r="36" spans="1:10">
      <c r="A36" s="176"/>
      <c r="B36" s="101"/>
      <c r="C36" s="101"/>
      <c r="D36" s="101"/>
      <c r="E36" s="162"/>
    </row>
    <row r="37" spans="1:10">
      <c r="A37" s="176"/>
      <c r="B37" s="101"/>
      <c r="C37" s="101"/>
      <c r="D37" s="101"/>
      <c r="E37" s="162"/>
    </row>
    <row r="38" spans="1:10">
      <c r="A38" s="176"/>
      <c r="B38" s="101"/>
      <c r="C38" s="101"/>
      <c r="D38" s="101"/>
      <c r="E38" s="162"/>
    </row>
    <row r="39" spans="1:10">
      <c r="A39" s="176"/>
      <c r="B39" s="101"/>
      <c r="C39" s="101"/>
      <c r="D39" s="101" t="s">
        <v>147</v>
      </c>
      <c r="E39" s="162">
        <v>58.46</v>
      </c>
      <c r="F39" s="187">
        <v>50.22</v>
      </c>
      <c r="G39" s="188">
        <f>(E39/F39-1)</f>
        <v>0.1640780565511748</v>
      </c>
    </row>
    <row r="40" spans="1:10">
      <c r="B40" s="101"/>
      <c r="C40" s="101"/>
      <c r="D40" s="101"/>
      <c r="E40" s="101"/>
    </row>
    <row r="41" spans="1:10">
      <c r="B41" s="124"/>
    </row>
    <row r="42" spans="1:10">
      <c r="A42" s="176"/>
      <c r="B42" s="165" t="s">
        <v>133</v>
      </c>
    </row>
    <row r="43" spans="1:10">
      <c r="A43" s="176"/>
      <c r="B43" s="16"/>
      <c r="C43" s="198" t="s">
        <v>22</v>
      </c>
      <c r="D43" s="198" t="s">
        <v>49</v>
      </c>
      <c r="E43" s="198" t="s">
        <v>50</v>
      </c>
      <c r="F43" s="198" t="s">
        <v>51</v>
      </c>
      <c r="G43" s="198" t="s">
        <v>26</v>
      </c>
      <c r="H43" s="198" t="s">
        <v>52</v>
      </c>
      <c r="I43" s="198" t="s">
        <v>53</v>
      </c>
      <c r="J43" s="198" t="s">
        <v>54</v>
      </c>
    </row>
    <row r="44" spans="1:10">
      <c r="A44" s="176"/>
      <c r="B44" s="17"/>
      <c r="C44" s="199"/>
      <c r="D44" s="199"/>
      <c r="E44" s="199"/>
      <c r="F44" s="199"/>
      <c r="G44" s="199"/>
      <c r="H44" s="199"/>
      <c r="I44" s="199"/>
      <c r="J44" s="199"/>
    </row>
    <row r="45" spans="1:10">
      <c r="A45" s="176" t="s">
        <v>9</v>
      </c>
      <c r="B45" s="18" t="s">
        <v>193</v>
      </c>
      <c r="C45" s="54">
        <v>46.087962962962969</v>
      </c>
      <c r="D45" s="54">
        <v>3.981481481481481</v>
      </c>
      <c r="E45" s="54">
        <v>0</v>
      </c>
      <c r="F45" s="54">
        <v>0</v>
      </c>
      <c r="G45" s="54">
        <v>13.032407407407407</v>
      </c>
      <c r="H45" s="54">
        <v>25.462962962962965</v>
      </c>
      <c r="I45" s="55">
        <v>0</v>
      </c>
      <c r="J45" s="59">
        <v>11.435185185185185</v>
      </c>
    </row>
    <row r="46" spans="1:10">
      <c r="A46" s="176" t="s">
        <v>9</v>
      </c>
      <c r="B46" s="18" t="s">
        <v>194</v>
      </c>
      <c r="C46" s="54">
        <v>37.298387096774199</v>
      </c>
      <c r="D46" s="54">
        <v>4.7827060931899634</v>
      </c>
      <c r="E46" s="54">
        <v>0</v>
      </c>
      <c r="F46" s="54">
        <v>0.13440860215053765</v>
      </c>
      <c r="G46" s="54">
        <v>17.6747311827957</v>
      </c>
      <c r="H46" s="54">
        <v>28.59543010752688</v>
      </c>
      <c r="I46" s="55">
        <v>0</v>
      </c>
      <c r="J46" s="59">
        <v>11.514336917562725</v>
      </c>
    </row>
    <row r="47" spans="1:10">
      <c r="A47" s="176" t="s">
        <v>8</v>
      </c>
      <c r="B47" s="18" t="s">
        <v>195</v>
      </c>
      <c r="C47" s="54">
        <v>36.04390681003585</v>
      </c>
      <c r="D47" s="54">
        <v>10.360663082437277</v>
      </c>
      <c r="E47" s="54">
        <v>0</v>
      </c>
      <c r="F47" s="54">
        <v>0</v>
      </c>
      <c r="G47" s="54">
        <v>17.517921146953402</v>
      </c>
      <c r="H47" s="54">
        <v>17.708333333333336</v>
      </c>
      <c r="I47" s="55">
        <v>0</v>
      </c>
      <c r="J47" s="59">
        <v>18.369175627240143</v>
      </c>
    </row>
    <row r="48" spans="1:10">
      <c r="A48" s="176" t="s">
        <v>10</v>
      </c>
      <c r="B48" s="18" t="s">
        <v>196</v>
      </c>
      <c r="C48" s="54">
        <v>38.946759259259267</v>
      </c>
      <c r="D48" s="54">
        <v>7.4074074074074066</v>
      </c>
      <c r="E48" s="54">
        <v>0</v>
      </c>
      <c r="F48" s="54">
        <v>0</v>
      </c>
      <c r="G48" s="54">
        <v>19.201388888888893</v>
      </c>
      <c r="H48" s="54">
        <v>17.187499999999996</v>
      </c>
      <c r="I48" s="55">
        <v>0</v>
      </c>
      <c r="J48" s="59">
        <v>17.256944444444443</v>
      </c>
    </row>
    <row r="49" spans="1:14">
      <c r="A49" s="176" t="s">
        <v>11</v>
      </c>
      <c r="B49" s="18" t="s">
        <v>197</v>
      </c>
      <c r="C49" s="54">
        <v>39.807347670250891</v>
      </c>
      <c r="D49" s="54">
        <v>6.25</v>
      </c>
      <c r="E49" s="54">
        <v>0</v>
      </c>
      <c r="F49" s="54">
        <v>0</v>
      </c>
      <c r="G49" s="54">
        <v>10.483870967741936</v>
      </c>
      <c r="H49" s="54">
        <v>25.963261648745522</v>
      </c>
      <c r="I49" s="55">
        <v>0</v>
      </c>
      <c r="J49" s="59">
        <v>17.495519713261647</v>
      </c>
    </row>
    <row r="50" spans="1:14">
      <c r="A50" s="176" t="s">
        <v>12</v>
      </c>
      <c r="B50" s="18" t="s">
        <v>198</v>
      </c>
      <c r="C50" s="54">
        <v>33.518518518518519</v>
      </c>
      <c r="D50" s="54">
        <v>10.11574074074074</v>
      </c>
      <c r="E50" s="54">
        <v>0</v>
      </c>
      <c r="F50" s="54">
        <v>0</v>
      </c>
      <c r="G50" s="54">
        <v>17.546296296296298</v>
      </c>
      <c r="H50" s="54">
        <v>26.087962962962962</v>
      </c>
      <c r="I50" s="55">
        <v>0</v>
      </c>
      <c r="J50" s="59">
        <v>12.731481481481485</v>
      </c>
    </row>
    <row r="51" spans="1:14">
      <c r="A51" s="176" t="s">
        <v>13</v>
      </c>
      <c r="B51" s="18" t="s">
        <v>199</v>
      </c>
      <c r="C51" s="54">
        <v>37.141577060931901</v>
      </c>
      <c r="D51" s="54">
        <v>8.736559139784946</v>
      </c>
      <c r="E51" s="54">
        <v>0</v>
      </c>
      <c r="F51" s="54">
        <v>0</v>
      </c>
      <c r="G51" s="54">
        <v>15.770609318996415</v>
      </c>
      <c r="H51" s="54">
        <v>19.153225806451612</v>
      </c>
      <c r="I51" s="55">
        <v>0</v>
      </c>
      <c r="J51" s="59">
        <v>19.198028673835125</v>
      </c>
    </row>
    <row r="52" spans="1:14">
      <c r="A52" s="176" t="s">
        <v>5</v>
      </c>
      <c r="B52" s="18" t="s">
        <v>200</v>
      </c>
      <c r="C52" s="54">
        <v>34.65501792114695</v>
      </c>
      <c r="D52" s="54">
        <v>14.448924731182796</v>
      </c>
      <c r="E52" s="54">
        <v>0</v>
      </c>
      <c r="F52" s="54">
        <v>0</v>
      </c>
      <c r="G52" s="54">
        <v>11.312724014336919</v>
      </c>
      <c r="H52" s="54">
        <v>18.637992831541222</v>
      </c>
      <c r="I52" s="55">
        <v>0</v>
      </c>
      <c r="J52" s="59">
        <v>20.945340501792113</v>
      </c>
    </row>
    <row r="53" spans="1:14">
      <c r="A53" s="176" t="s">
        <v>6</v>
      </c>
      <c r="B53" s="18" t="s">
        <v>201</v>
      </c>
      <c r="C53" s="54">
        <v>48.387896825396837</v>
      </c>
      <c r="D53" s="54">
        <v>4.8363095238095237</v>
      </c>
      <c r="E53" s="54">
        <v>0</v>
      </c>
      <c r="F53" s="54">
        <v>0</v>
      </c>
      <c r="G53" s="54">
        <v>7.9613095238095237</v>
      </c>
      <c r="H53" s="54">
        <v>25.992063492063487</v>
      </c>
      <c r="I53" s="55">
        <v>0</v>
      </c>
      <c r="J53" s="59">
        <v>12.822420634920634</v>
      </c>
    </row>
    <row r="54" spans="1:14">
      <c r="A54" s="176" t="s">
        <v>7</v>
      </c>
      <c r="B54" s="18" t="s">
        <v>202</v>
      </c>
      <c r="C54" s="54">
        <v>44.055630327501127</v>
      </c>
      <c r="D54" s="54">
        <v>12.113055181695827</v>
      </c>
      <c r="E54" s="54">
        <v>0</v>
      </c>
      <c r="F54" s="54">
        <v>0</v>
      </c>
      <c r="G54" s="54">
        <v>2.489905787348587</v>
      </c>
      <c r="H54" s="54">
        <v>8.1202332884701658</v>
      </c>
      <c r="I54" s="55">
        <v>0</v>
      </c>
      <c r="J54" s="59">
        <v>33.221175414984295</v>
      </c>
    </row>
    <row r="55" spans="1:14">
      <c r="A55" s="176" t="s">
        <v>8</v>
      </c>
      <c r="B55" s="18" t="s">
        <v>203</v>
      </c>
      <c r="C55" s="54">
        <v>51.574074074074069</v>
      </c>
      <c r="D55" s="54">
        <v>16.296296296296294</v>
      </c>
      <c r="E55" s="54">
        <v>0</v>
      </c>
      <c r="F55" s="54">
        <v>0</v>
      </c>
      <c r="G55" s="54">
        <v>1.5277777777777777</v>
      </c>
      <c r="H55" s="54">
        <v>3.4722222222222223</v>
      </c>
      <c r="I55" s="55">
        <v>0</v>
      </c>
      <c r="J55" s="59">
        <v>27.129629629629637</v>
      </c>
    </row>
    <row r="56" spans="1:14">
      <c r="A56" s="176" t="s">
        <v>7</v>
      </c>
      <c r="B56" s="18" t="s">
        <v>204</v>
      </c>
      <c r="C56" s="54">
        <v>59.36379928315413</v>
      </c>
      <c r="D56" s="54">
        <v>13.732078853046591</v>
      </c>
      <c r="E56" s="54">
        <v>0</v>
      </c>
      <c r="F56" s="54">
        <v>0</v>
      </c>
      <c r="G56" s="54">
        <v>2.1281362007168458</v>
      </c>
      <c r="H56" s="54">
        <v>7.2356630824372772</v>
      </c>
      <c r="I56" s="55">
        <v>0</v>
      </c>
      <c r="J56" s="59">
        <v>17.540322580645157</v>
      </c>
    </row>
    <row r="57" spans="1:14">
      <c r="A57" s="176" t="s">
        <v>9</v>
      </c>
      <c r="B57" s="56" t="s">
        <v>205</v>
      </c>
      <c r="C57" s="57">
        <v>54.212962962962962</v>
      </c>
      <c r="D57" s="57">
        <v>6.8055555555555554</v>
      </c>
      <c r="E57" s="57">
        <v>0</v>
      </c>
      <c r="F57" s="57">
        <v>0</v>
      </c>
      <c r="G57" s="57">
        <v>4.6296296296296298</v>
      </c>
      <c r="H57" s="57">
        <v>16.944444444444446</v>
      </c>
      <c r="I57" s="58">
        <v>0</v>
      </c>
      <c r="J57" s="60">
        <v>17.407407407407405</v>
      </c>
    </row>
    <row r="59" spans="1:14">
      <c r="B59" s="165" t="s">
        <v>134</v>
      </c>
    </row>
    <row r="60" spans="1:14">
      <c r="B60" s="16"/>
      <c r="C60" s="200" t="s">
        <v>1</v>
      </c>
      <c r="D60" s="200" t="s">
        <v>2</v>
      </c>
      <c r="E60" s="200" t="s">
        <v>157</v>
      </c>
      <c r="F60" s="200" t="s">
        <v>19</v>
      </c>
      <c r="G60" s="200" t="s">
        <v>20</v>
      </c>
      <c r="H60" s="200" t="s">
        <v>29</v>
      </c>
      <c r="I60" s="200" t="s">
        <v>30</v>
      </c>
      <c r="J60" s="200" t="s">
        <v>34</v>
      </c>
      <c r="K60" s="125"/>
      <c r="L60" s="125"/>
    </row>
    <row r="61" spans="1:14">
      <c r="B61" s="17"/>
      <c r="C61" s="201"/>
      <c r="D61" s="201"/>
      <c r="E61" s="201"/>
      <c r="F61" s="201"/>
      <c r="G61" s="201"/>
      <c r="H61" s="201"/>
      <c r="I61" s="201"/>
      <c r="J61" s="201"/>
      <c r="K61" s="63"/>
      <c r="L61" s="63"/>
      <c r="M61" s="191"/>
      <c r="N61" s="191"/>
    </row>
    <row r="62" spans="1:14">
      <c r="B62" s="18" t="str">
        <f>MID('Data 1'!R83,6,3)&amp; "-" &amp;MID('Data 1'!R83,3,2)</f>
        <v>Jun-17</v>
      </c>
      <c r="C62" s="163">
        <f>VLOOKUP("Mercado Diario",'Data 1'!Q86:AE102,2,FALSE)</f>
        <v>50.77</v>
      </c>
      <c r="D62" s="163">
        <f>VLOOKUP("Mercado Intradiario",'Data 1'!Q86:AE102,2,FALSE)</f>
        <v>0</v>
      </c>
      <c r="E62" s="163">
        <f t="shared" ref="E62:E74" si="0">SUM(C62:D62)</f>
        <v>50.77</v>
      </c>
      <c r="F62" s="163">
        <f>'Data 1'!C89</f>
        <v>1.2499999999999998</v>
      </c>
      <c r="G62" s="163">
        <f>VLOOKUP("Pago capacidad",'Data 1'!Q86:AE102,2,FALSE)</f>
        <v>2.91</v>
      </c>
      <c r="H62" s="163">
        <f>VLOOKUP("Servicio interrumpibilidad",'Data 1'!Q86:AE102,2,FALSE)</f>
        <v>2</v>
      </c>
      <c r="I62" s="163">
        <f t="shared" ref="I62:I74" si="1">SUM(E62:H62)</f>
        <v>56.930000000000007</v>
      </c>
      <c r="J62" s="85">
        <f>VLOOKUP("Energía final MWh",'Data 1'!Q84:AE102,2,FALSE)/1000</f>
        <v>21667.694546999999</v>
      </c>
      <c r="K62" s="192">
        <f>E62+F62+G62+H62-VLOOKUP("Coste medio final (€/MWh)",'Data 1'!Q86:AE102,2,FALSE)</f>
        <v>0</v>
      </c>
      <c r="L62" s="63"/>
      <c r="M62" s="191"/>
      <c r="N62" s="191"/>
    </row>
    <row r="63" spans="1:14">
      <c r="B63" s="18" t="str">
        <f>MID('Data 1'!S83,6,3)&amp; "-" &amp;MID('Data 1'!S83,3,2)</f>
        <v>Jul-17</v>
      </c>
      <c r="C63" s="163">
        <f>VLOOKUP("Mercado Diario",'Data 1'!Q86:AE102,3,FALSE)</f>
        <v>49.14</v>
      </c>
      <c r="D63" s="163">
        <f>VLOOKUP("Mercado Intradiario",'Data 1'!Q86:AE102,3,FALSE)</f>
        <v>-0.01</v>
      </c>
      <c r="E63" s="163">
        <f t="shared" si="0"/>
        <v>49.13</v>
      </c>
      <c r="F63" s="163">
        <f>'Data 1'!D89</f>
        <v>1.6499999999999997</v>
      </c>
      <c r="G63" s="163">
        <f>VLOOKUP("Pago capacidad",'Data 1'!Q86:AE102,3,FALSE)</f>
        <v>3.22</v>
      </c>
      <c r="H63" s="163">
        <f>VLOOKUP("Servicio interrumpibilidad",'Data 1'!Q86:AE102,3,FALSE)</f>
        <v>1.93</v>
      </c>
      <c r="I63" s="163">
        <f t="shared" si="1"/>
        <v>55.93</v>
      </c>
      <c r="J63" s="85">
        <f>VLOOKUP("Energía final MWh",'Data 1'!Q84:AE102,3,FALSE)/1000</f>
        <v>22400.087410999997</v>
      </c>
      <c r="K63" s="192">
        <f>E63+F63+G63+H63-VLOOKUP("Coste medio final (€/MWh)",'Data 1'!Q86:AE102,3,FALSE)</f>
        <v>0</v>
      </c>
      <c r="L63" s="63" t="str">
        <f>MID('Data 1'!S83,6,LEN('Data 1'!S83))&amp; " " &amp;MID('Data 1'!S83,1,4)</f>
        <v>Julio 2017</v>
      </c>
      <c r="M63" s="191"/>
      <c r="N63" s="191"/>
    </row>
    <row r="64" spans="1:14">
      <c r="B64" s="18" t="str">
        <f>MID('Data 1'!T83,6,3)&amp; "-" &amp;MID('Data 1'!T83,3,2)</f>
        <v>Ago-17</v>
      </c>
      <c r="C64" s="163">
        <f>VLOOKUP("Mercado Diario",'Data 1'!Q86:AE102,4,FALSE)</f>
        <v>48.04</v>
      </c>
      <c r="D64" s="163">
        <f>VLOOKUP("Mercado Intradiario",'Data 1'!Q86:AE102,4,FALSE)</f>
        <v>-0.01</v>
      </c>
      <c r="E64" s="163">
        <f t="shared" si="0"/>
        <v>48.03</v>
      </c>
      <c r="F64" s="163">
        <f>'Data 1'!E89</f>
        <v>2.5000000000000004</v>
      </c>
      <c r="G64" s="163">
        <f>VLOOKUP("Pago capacidad",'Data 1'!Q86:AE102,4,FALSE)</f>
        <v>2.1800000000000002</v>
      </c>
      <c r="H64" s="163">
        <f>VLOOKUP("Servicio interrumpibilidad",'Data 1'!Q86:AE102,4,FALSE)</f>
        <v>1.99</v>
      </c>
      <c r="I64" s="163">
        <f t="shared" si="1"/>
        <v>54.7</v>
      </c>
      <c r="J64" s="85">
        <f>VLOOKUP("Energía final MWh",'Data 1'!Q84:AE102,4,FALSE)/1000</f>
        <v>21754.733244999999</v>
      </c>
      <c r="K64" s="192">
        <f>E64+F64+G64+H64-VLOOKUP("Coste medio final (€/MWh)",'Data 1'!Q86:AE102,4,FALSE)</f>
        <v>0</v>
      </c>
      <c r="L64" s="63"/>
      <c r="M64" s="191"/>
      <c r="N64" s="191"/>
    </row>
    <row r="65" spans="2:32">
      <c r="B65" s="18" t="str">
        <f>MID('Data 1'!U83,6,3)&amp; "-" &amp;MID('Data 1'!U83,3,2)</f>
        <v>Sep-17</v>
      </c>
      <c r="C65" s="163">
        <f>VLOOKUP("Mercado Diario",'Data 1'!Q86:AE102,5,FALSE)</f>
        <v>49.55</v>
      </c>
      <c r="D65" s="163">
        <f>VLOOKUP("Mercado Intradiario",'Data 1'!Q86:AE102,5,FALSE)</f>
        <v>-0.03</v>
      </c>
      <c r="E65" s="163">
        <f t="shared" si="0"/>
        <v>49.519999999999996</v>
      </c>
      <c r="F65" s="163">
        <f>'Data 1'!F89</f>
        <v>2.2000000000000006</v>
      </c>
      <c r="G65" s="163">
        <f>VLOOKUP("Pago capacidad",'Data 1'!Q86:AE102,5,FALSE)</f>
        <v>2.42</v>
      </c>
      <c r="H65" s="163">
        <f>VLOOKUP("Servicio interrumpibilidad",'Data 1'!Q86:AE102,5,FALSE)</f>
        <v>2.14</v>
      </c>
      <c r="I65" s="163">
        <f t="shared" si="1"/>
        <v>56.28</v>
      </c>
      <c r="J65" s="85">
        <f>VLOOKUP("Energía final MWh",'Data 1'!Q84:AE102,5,FALSE)/1000</f>
        <v>20129.590419</v>
      </c>
      <c r="K65" s="192">
        <f>E65+F65+G65+H65-VLOOKUP("Coste medio final (€/MWh)",'Data 1'!Q86:AE102,5,FALSE)</f>
        <v>0</v>
      </c>
      <c r="L65" s="63"/>
      <c r="M65" s="191"/>
      <c r="N65" s="191"/>
    </row>
    <row r="66" spans="2:32">
      <c r="B66" s="18" t="str">
        <f>MID('Data 1'!V83,6,3)&amp; "-" &amp;MID('Data 1'!V83,3,2)</f>
        <v>Oct-17</v>
      </c>
      <c r="C66" s="163">
        <f>VLOOKUP("Mercado Diario",'Data 1'!Q86:AE102,6,FALSE)</f>
        <v>57.59</v>
      </c>
      <c r="D66" s="163">
        <f>VLOOKUP("Mercado Intradiario",'Data 1'!Q86:AE102,6,FALSE)</f>
        <v>-0.03</v>
      </c>
      <c r="E66" s="163">
        <f t="shared" si="0"/>
        <v>57.56</v>
      </c>
      <c r="F66" s="163">
        <f>'Data 1'!G89</f>
        <v>2.7700000000000005</v>
      </c>
      <c r="G66" s="163">
        <f>VLOOKUP("Pago capacidad",'Data 1'!Q86:AE102,6,FALSE)</f>
        <v>2.35</v>
      </c>
      <c r="H66" s="163">
        <f>VLOOKUP("Servicio interrumpibilidad",'Data 1'!Q86:AE102,6,FALSE)</f>
        <v>2.15</v>
      </c>
      <c r="I66" s="163">
        <f t="shared" si="1"/>
        <v>64.830000000000013</v>
      </c>
      <c r="J66" s="85">
        <f>VLOOKUP("Energía final MWh",'Data 1'!Q84:AE102,6,FALSE)/1000</f>
        <v>20149.152209</v>
      </c>
      <c r="K66" s="192">
        <f>E66+F66+G66+H66-VLOOKUP("Coste medio final (€/MWh)",'Data 1'!Q86:AE102,6,FALSE)</f>
        <v>0</v>
      </c>
      <c r="L66" s="63"/>
      <c r="M66" s="191"/>
      <c r="N66" s="191"/>
    </row>
    <row r="67" spans="2:32">
      <c r="B67" s="18" t="str">
        <f>MID('Data 1'!W83,6,3)&amp; "-" &amp;MID('Data 1'!W83,3,2)</f>
        <v>Nov-17</v>
      </c>
      <c r="C67" s="163">
        <f>VLOOKUP("Mercado Diario",'Data 1'!Q86:AE102,7,FALSE)</f>
        <v>60.54</v>
      </c>
      <c r="D67" s="163">
        <f>VLOOKUP("Mercado Intradiario",'Data 1'!Q86:AE102,7,FALSE)</f>
        <v>0.02</v>
      </c>
      <c r="E67" s="163">
        <f t="shared" si="0"/>
        <v>60.56</v>
      </c>
      <c r="F67" s="163">
        <f>'Data 1'!H89</f>
        <v>1.6799999999999997</v>
      </c>
      <c r="G67" s="163">
        <f>VLOOKUP("Pago capacidad",'Data 1'!Q86:AE102,7,FALSE)</f>
        <v>2.4900000000000002</v>
      </c>
      <c r="H67" s="163">
        <f>VLOOKUP("Servicio interrumpibilidad",'Data 1'!Q86:AE102,7,FALSE)</f>
        <v>2.0699999999999998</v>
      </c>
      <c r="I67" s="163">
        <f t="shared" si="1"/>
        <v>66.8</v>
      </c>
      <c r="J67" s="85">
        <f>VLOOKUP("Energía final MWh",'Data 1'!Q84:AE102,7,FALSE)/1000</f>
        <v>20870.638943999998</v>
      </c>
      <c r="K67" s="192">
        <f>E67+F67+G67+H67-VLOOKUP("Coste medio final (€/MWh)",'Data 1'!Q86:AE102,7,FALSE)</f>
        <v>0</v>
      </c>
      <c r="L67" s="63"/>
      <c r="M67" s="191"/>
      <c r="N67" s="191"/>
    </row>
    <row r="68" spans="2:32">
      <c r="B68" s="18" t="str">
        <f>MID('Data 1'!X83,6,3)&amp; "-" &amp;MID('Data 1'!X83,3,2)</f>
        <v>Dic-17</v>
      </c>
      <c r="C68" s="163">
        <f>VLOOKUP("Mercado Diario",'Data 1'!Q86:AE102,8,FALSE)</f>
        <v>60.14</v>
      </c>
      <c r="D68" s="163">
        <f>VLOOKUP("Mercado Intradiario",'Data 1'!Q86:AE102,8,FALSE)</f>
        <v>0</v>
      </c>
      <c r="E68" s="163">
        <f t="shared" si="0"/>
        <v>60.14</v>
      </c>
      <c r="F68" s="163">
        <f>'Data 1'!I89</f>
        <v>2.25</v>
      </c>
      <c r="G68" s="163">
        <f>VLOOKUP("Pago capacidad",'Data 1'!Q86:AE102,8,FALSE)</f>
        <v>3.07</v>
      </c>
      <c r="H68" s="163">
        <f>VLOOKUP("Servicio interrumpibilidad",'Data 1'!Q86:AE102,8,FALSE)</f>
        <v>1.85</v>
      </c>
      <c r="I68" s="163">
        <f t="shared" si="1"/>
        <v>67.309999999999988</v>
      </c>
      <c r="J68" s="85">
        <f>VLOOKUP("Energía final MWh",'Data 1'!Q84:AE102,8,FALSE)/1000</f>
        <v>22134.643344</v>
      </c>
      <c r="K68" s="192">
        <f>E68+F68+G68+H68-VLOOKUP("Coste medio final (€/MWh)",'Data 1'!Q86:AE102,8,FALSE)</f>
        <v>0</v>
      </c>
      <c r="L68" s="63"/>
      <c r="M68" s="191"/>
      <c r="N68" s="191"/>
    </row>
    <row r="69" spans="2:32">
      <c r="B69" s="18" t="str">
        <f>MID('Data 1'!Y83,6,3)&amp; "-" &amp;MID('Data 1'!Y83,3,2)</f>
        <v>Ene-18</v>
      </c>
      <c r="C69" s="163">
        <f>VLOOKUP("Mercado Diario",'Data 1'!Q86:AE102,9,FALSE)</f>
        <v>51.78</v>
      </c>
      <c r="D69" s="163">
        <f>VLOOKUP("Mercado Intradiario",'Data 1'!Q86:AE102,9,FALSE)</f>
        <v>-0.01</v>
      </c>
      <c r="E69" s="163">
        <f t="shared" si="0"/>
        <v>51.77</v>
      </c>
      <c r="F69" s="163">
        <f>'Data 1'!J89</f>
        <v>1.9599999999999997</v>
      </c>
      <c r="G69" s="163">
        <f>VLOOKUP("Pago capacidad",'Data 1'!Q86:AE102,9,FALSE)</f>
        <v>3.19</v>
      </c>
      <c r="H69" s="163">
        <f>VLOOKUP("Servicio interrumpibilidad",'Data 1'!Q86:AE102,9,FALSE)</f>
        <v>1.36</v>
      </c>
      <c r="I69" s="163">
        <f t="shared" si="1"/>
        <v>58.28</v>
      </c>
      <c r="J69" s="85">
        <f>VLOOKUP("Energía final MWh",'Data 1'!Q84:AE102,9,FALSE)/1000</f>
        <v>22547.512504000002</v>
      </c>
      <c r="K69" s="192">
        <f>E69+F69+G69+H69-VLOOKUP("Coste medio final (€/MWh)",'Data 1'!Q86:AE102,9,FALSE)</f>
        <v>0</v>
      </c>
      <c r="L69" s="63"/>
      <c r="M69" s="191"/>
      <c r="N69" s="191"/>
    </row>
    <row r="70" spans="2:32">
      <c r="B70" s="18" t="str">
        <f>MID('Data 1'!Z83,6,3)&amp; "-" &amp;MID('Data 1'!Z83,3,2)</f>
        <v>Feb-18</v>
      </c>
      <c r="C70" s="163">
        <f>VLOOKUP("Mercado Diario",'Data 1'!Q86:AE102,10,FALSE)</f>
        <v>55.77</v>
      </c>
      <c r="D70" s="163">
        <f>VLOOKUP("Mercado Intradiario",'Data 1'!Q86:AE102,10,FALSE)</f>
        <v>-0.01</v>
      </c>
      <c r="E70" s="163">
        <f t="shared" si="0"/>
        <v>55.760000000000005</v>
      </c>
      <c r="F70" s="163">
        <f>'Data 1'!K89</f>
        <v>1.5699999999999998</v>
      </c>
      <c r="G70" s="163">
        <f>VLOOKUP("Pago capacidad",'Data 1'!Q86:AE102,10,FALSE)</f>
        <v>3.18</v>
      </c>
      <c r="H70" s="163">
        <f>VLOOKUP("Servicio interrumpibilidad",'Data 1'!Q86:AE102,10,FALSE)</f>
        <v>1.44</v>
      </c>
      <c r="I70" s="163">
        <f t="shared" si="1"/>
        <v>61.95</v>
      </c>
      <c r="J70" s="85">
        <f>VLOOKUP("Energía final MWh",'Data 1'!Q84:AE102,10,FALSE)/1000</f>
        <v>21248.855955999999</v>
      </c>
      <c r="K70" s="192">
        <f>E70+F70+G70+H70-VLOOKUP("Coste medio final (€/MWh)",'Data 1'!Q86:AE102,10,FALSE)</f>
        <v>0</v>
      </c>
      <c r="L70" s="63"/>
      <c r="M70" s="191"/>
      <c r="N70" s="191"/>
    </row>
    <row r="71" spans="2:32">
      <c r="B71" s="18" t="str">
        <f>MID('Data 1'!AA83,6,3)&amp; "-" &amp;MID('Data 1'!AA83,3,2)</f>
        <v>Mar-18</v>
      </c>
      <c r="C71" s="163">
        <f>VLOOKUP("Mercado Diario",'Data 1'!Q86:AE102,11,FALSE)</f>
        <v>41.76</v>
      </c>
      <c r="D71" s="163">
        <f>VLOOKUP("Mercado Intradiario",'Data 1'!Q86:AE102,11,FALSE)</f>
        <v>-0.01</v>
      </c>
      <c r="E71" s="163">
        <f t="shared" si="0"/>
        <v>41.75</v>
      </c>
      <c r="F71" s="163">
        <f>'Data 1'!L89</f>
        <v>4.21</v>
      </c>
      <c r="G71" s="163">
        <f>VLOOKUP("Pago capacidad",'Data 1'!Q86:AE102,11,FALSE)</f>
        <v>2.56</v>
      </c>
      <c r="H71" s="163">
        <f>VLOOKUP("Servicio interrumpibilidad",'Data 1'!Q86:AE102,11,FALSE)</f>
        <v>1.41</v>
      </c>
      <c r="I71" s="163">
        <f t="shared" si="1"/>
        <v>49.93</v>
      </c>
      <c r="J71" s="85">
        <f>VLOOKUP("Energía final MWh",'Data 1'!Q84:AE102,11,FALSE)/1000</f>
        <v>21999.535199999998</v>
      </c>
      <c r="K71" s="192">
        <f>E71+F71+G71+H71-VLOOKUP("Coste medio final (€/MWh)",'Data 1'!Q86:AE102,11,FALSE)</f>
        <v>0</v>
      </c>
      <c r="L71" s="63"/>
      <c r="M71" s="191"/>
      <c r="N71" s="191"/>
    </row>
    <row r="72" spans="2:32">
      <c r="B72" s="18" t="str">
        <f>MID('Data 1'!AB83,6,3)&amp; "-" &amp;MID('Data 1'!AB83,3,2)</f>
        <v>Abr-18</v>
      </c>
      <c r="C72" s="163">
        <f>VLOOKUP("Mercado Diario",'Data 1'!Q86:AE102,12,FALSE)</f>
        <v>43.53</v>
      </c>
      <c r="D72" s="163">
        <f>VLOOKUP("Mercado Intradiario",'Data 1'!Q86:AE102,12,FALSE)</f>
        <v>-0.02</v>
      </c>
      <c r="E72" s="163">
        <f t="shared" si="0"/>
        <v>43.51</v>
      </c>
      <c r="F72" s="163">
        <f>'Data 1'!M89</f>
        <v>3.68</v>
      </c>
      <c r="G72" s="163">
        <f>VLOOKUP("Pago capacidad",'Data 1'!Q86:AE102,12,FALSE)</f>
        <v>2.4300000000000002</v>
      </c>
      <c r="H72" s="163">
        <f>VLOOKUP("Servicio interrumpibilidad",'Data 1'!Q86:AE102,12,FALSE)</f>
        <v>1.56</v>
      </c>
      <c r="I72" s="163">
        <f t="shared" si="1"/>
        <v>51.18</v>
      </c>
      <c r="J72" s="85">
        <f>VLOOKUP("Energía final MWh",'Data 1'!Q84:AE102,12,FALSE)/1000</f>
        <v>19770.672578000002</v>
      </c>
      <c r="K72" s="192">
        <f>E72+F72+G72+H72-VLOOKUP("Coste medio final (€/MWh)",'Data 1'!Q86:AE102,12,FALSE)</f>
        <v>0</v>
      </c>
      <c r="L72" s="63"/>
      <c r="M72" s="191"/>
      <c r="N72" s="191"/>
    </row>
    <row r="73" spans="2:32">
      <c r="B73" s="18" t="str">
        <f>MID('Data 1'!AC83,6,3)&amp; "-" &amp;MID('Data 1'!AC83,3,2)</f>
        <v>May-18</v>
      </c>
      <c r="C73" s="163">
        <f>VLOOKUP("Mercado Diario",'Data 1'!Q86:AE102,13,FALSE)</f>
        <v>55.41</v>
      </c>
      <c r="D73" s="163">
        <f>VLOOKUP("Mercado Intradiario",'Data 1'!Q86:AE102,13,FALSE)</f>
        <v>-0.01</v>
      </c>
      <c r="E73" s="163">
        <f t="shared" si="0"/>
        <v>55.4</v>
      </c>
      <c r="F73" s="163">
        <f>'Data 1'!N89</f>
        <v>2.88</v>
      </c>
      <c r="G73" s="163">
        <f>VLOOKUP("Pago capacidad",'Data 1'!Q86:AE102,13,FALSE)</f>
        <v>2.37</v>
      </c>
      <c r="H73" s="163">
        <f>VLOOKUP("Servicio interrumpibilidad",'Data 1'!Q86:AE102,13,FALSE)</f>
        <v>1.53</v>
      </c>
      <c r="I73" s="163">
        <f t="shared" si="1"/>
        <v>62.18</v>
      </c>
      <c r="J73" s="85">
        <f>VLOOKUP("Energía final MWh",'Data 1'!Q84:AE102,13,FALSE)/1000</f>
        <v>20013.739109999999</v>
      </c>
      <c r="K73" s="192">
        <f>E73+F73+G73+H73-VLOOKUP("Coste medio final (€/MWh)",'Data 1'!Q86:AE102,13,FALSE)</f>
        <v>0</v>
      </c>
      <c r="L73" s="191"/>
      <c r="M73" s="191"/>
      <c r="N73" s="191"/>
    </row>
    <row r="74" spans="2:32">
      <c r="B74" s="56" t="str">
        <f>MID('Data 1'!AD83,6,3)&amp; "-" &amp;MID('Data 1'!AD83,3,2)</f>
        <v>Jun-18</v>
      </c>
      <c r="C74" s="179">
        <f>VLOOKUP("Mercado Diario",'Data 1'!Q86:AE102,14,FALSE)</f>
        <v>58.86</v>
      </c>
      <c r="D74" s="179">
        <f>VLOOKUP("Mercado Intradiario",'Data 1'!Q86:AE102,14,FALSE)</f>
        <v>-7.0000000000000007E-2</v>
      </c>
      <c r="E74" s="179">
        <f t="shared" si="0"/>
        <v>58.79</v>
      </c>
      <c r="F74" s="179">
        <f>'Data 1'!O89</f>
        <v>2.1000000000000005</v>
      </c>
      <c r="G74" s="179">
        <f>VLOOKUP("Pago capacidad",'Data 1'!Q86:AE102,14,FALSE)</f>
        <v>2.85</v>
      </c>
      <c r="H74" s="179">
        <f>VLOOKUP("Servicio interrumpibilidad",'Data 1'!Q86:AE102,14,FALSE)</f>
        <v>1.1299999999999999</v>
      </c>
      <c r="I74" s="179">
        <f t="shared" si="1"/>
        <v>64.87</v>
      </c>
      <c r="J74" s="180">
        <f>VLOOKUP("Energía final MWh",'Data 1'!Q84:AE102,14,FALSE)/1000</f>
        <v>20268.564347</v>
      </c>
      <c r="K74" s="192">
        <f>E74+F74+G74+H74-VLOOKUP("Coste medio final (€/MWh)",'Data 1'!Q86:AE102,14,FALSE)</f>
        <v>0</v>
      </c>
      <c r="L74" s="193">
        <f>(I74/I73-1)*100</f>
        <v>4.3261498874236137</v>
      </c>
      <c r="M74" s="193">
        <f>(I74/I62-1)*100</f>
        <v>13.946952397681356</v>
      </c>
      <c r="N74" s="191"/>
    </row>
    <row r="75" spans="2:32">
      <c r="B75" s="125"/>
      <c r="C75" s="125"/>
      <c r="L75" s="125"/>
    </row>
    <row r="76" spans="2:32">
      <c r="B76" s="165" t="s">
        <v>55</v>
      </c>
    </row>
    <row r="77" spans="2:32" ht="45">
      <c r="B77" s="105"/>
      <c r="C77" s="105" t="s">
        <v>1</v>
      </c>
      <c r="D77" s="105" t="s">
        <v>2</v>
      </c>
      <c r="E77" s="105" t="s">
        <v>56</v>
      </c>
      <c r="F77" s="105" t="s">
        <v>38</v>
      </c>
      <c r="G77" s="105" t="s">
        <v>39</v>
      </c>
      <c r="H77" s="105" t="s">
        <v>19</v>
      </c>
      <c r="I77" s="105" t="s">
        <v>37</v>
      </c>
      <c r="J77" s="105" t="s">
        <v>24</v>
      </c>
      <c r="K77" s="105" t="s">
        <v>44</v>
      </c>
      <c r="L77" s="105" t="s">
        <v>0</v>
      </c>
    </row>
    <row r="78" spans="2:32">
      <c r="B78" s="102" t="s">
        <v>40</v>
      </c>
      <c r="C78" s="161">
        <f>VLOOKUP("Mercado Diario",'Data 1'!Q86:AE102,14,FALSE)</f>
        <v>58.86</v>
      </c>
      <c r="D78" s="161">
        <f>VLOOKUP("Mercado Intradiario",'Data 1'!Q86:AE102,14,FALSE)</f>
        <v>-7.0000000000000007E-2</v>
      </c>
      <c r="E78" s="161">
        <f>SUM(C78:D78)</f>
        <v>58.79</v>
      </c>
      <c r="F78" s="161">
        <f>VLOOKUP("Pago capacidad",'Data 1'!Q86:AE102,14,FALSE)</f>
        <v>2.85</v>
      </c>
      <c r="G78" s="161">
        <f>VLOOKUP("Servicio interrumpibilidad",'Data 1'!Q86:AE102,14,FALSE)</f>
        <v>1.1299999999999999</v>
      </c>
      <c r="H78" s="161">
        <f>SUM(I78,J78:K78)</f>
        <v>2.1</v>
      </c>
      <c r="I78" s="161">
        <f>VLOOKUP("Restricciones PBF",'Data 1'!Q86:AE102,14,FALSE)</f>
        <v>1.5</v>
      </c>
      <c r="J78" s="161">
        <f>VLOOKUP("Banda secundaria",'Data 1'!Q86:AE102,14,FALSE)</f>
        <v>0.49</v>
      </c>
      <c r="K78" s="161">
        <f>'Data 1'!O83+'Data 1'!O86+'Data 1'!O87+'Data 1'!O88+O84</f>
        <v>0.11</v>
      </c>
      <c r="L78" s="161">
        <f>'Data 1'!AD102</f>
        <v>64.87</v>
      </c>
      <c r="M78" s="164">
        <f>L78-SUM(E78:H78)</f>
        <v>0</v>
      </c>
    </row>
    <row r="80" spans="2:32">
      <c r="B80" s="106" t="s">
        <v>21</v>
      </c>
      <c r="C80" s="126"/>
      <c r="D80" s="126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5"/>
      <c r="Q80" s="125"/>
      <c r="R80" s="125" t="s">
        <v>9</v>
      </c>
      <c r="S80" s="125" t="s">
        <v>9</v>
      </c>
      <c r="T80" s="125" t="s">
        <v>8</v>
      </c>
      <c r="U80" s="125" t="s">
        <v>10</v>
      </c>
      <c r="V80" s="125" t="s">
        <v>11</v>
      </c>
      <c r="W80" s="125" t="s">
        <v>12</v>
      </c>
      <c r="X80" s="125" t="s">
        <v>13</v>
      </c>
      <c r="Y80" s="125" t="s">
        <v>5</v>
      </c>
      <c r="Z80" s="125" t="s">
        <v>6</v>
      </c>
      <c r="AA80" s="125" t="s">
        <v>7</v>
      </c>
      <c r="AB80" s="125" t="s">
        <v>8</v>
      </c>
      <c r="AC80" s="125" t="s">
        <v>7</v>
      </c>
      <c r="AD80" s="125" t="s">
        <v>9</v>
      </c>
      <c r="AE80" s="125"/>
      <c r="AF80" s="125"/>
    </row>
    <row r="81" spans="2:32">
      <c r="B81" s="108"/>
      <c r="C81" s="128" t="str">
        <f t="shared" ref="C81:O81" si="2">MID(R83,6,1)</f>
        <v>J</v>
      </c>
      <c r="D81" s="128" t="str">
        <f t="shared" si="2"/>
        <v>J</v>
      </c>
      <c r="E81" s="128" t="str">
        <f t="shared" si="2"/>
        <v>A</v>
      </c>
      <c r="F81" s="128" t="str">
        <f t="shared" si="2"/>
        <v>S</v>
      </c>
      <c r="G81" s="128" t="str">
        <f t="shared" si="2"/>
        <v>O</v>
      </c>
      <c r="H81" s="128" t="str">
        <f t="shared" si="2"/>
        <v>N</v>
      </c>
      <c r="I81" s="128" t="str">
        <f t="shared" si="2"/>
        <v>D</v>
      </c>
      <c r="J81" s="128" t="str">
        <f t="shared" si="2"/>
        <v>E</v>
      </c>
      <c r="K81" s="128" t="str">
        <f t="shared" si="2"/>
        <v>F</v>
      </c>
      <c r="L81" s="128" t="str">
        <f t="shared" si="2"/>
        <v>M</v>
      </c>
      <c r="M81" s="128" t="str">
        <f t="shared" si="2"/>
        <v>A</v>
      </c>
      <c r="N81" s="128" t="str">
        <f t="shared" si="2"/>
        <v>M</v>
      </c>
      <c r="O81" s="128" t="str">
        <f t="shared" si="2"/>
        <v>J</v>
      </c>
      <c r="P81" s="125"/>
      <c r="Q81" s="109" t="s">
        <v>31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29"/>
      <c r="AF81" s="125"/>
    </row>
    <row r="82" spans="2:32">
      <c r="B82" s="109" t="s">
        <v>23</v>
      </c>
      <c r="C82" s="130">
        <f>VLOOKUP("Restricciones PBF",$Q$86:$AE$102,2,FALSE)</f>
        <v>0.69</v>
      </c>
      <c r="D82" s="130">
        <f>VLOOKUP("Restricciones PBF",$Q$86:$AE$102,3,FALSE)</f>
        <v>1.1399999999999999</v>
      </c>
      <c r="E82" s="130">
        <f>VLOOKUP("Restricciones PBF",$Q$86:$AE$102,4,FALSE)</f>
        <v>1.86</v>
      </c>
      <c r="F82" s="130">
        <f>VLOOKUP("Restricciones PBF",$Q$86:$AE$102,5,FALSE)</f>
        <v>1.55</v>
      </c>
      <c r="G82" s="130">
        <f>VLOOKUP("Restricciones PBF",$Q$86:$AE$102,6,FALSE)</f>
        <v>1.1299999999999999</v>
      </c>
      <c r="H82" s="130">
        <f>VLOOKUP("Restricciones PBF",$Q$86:$AE$102,7,FALSE)</f>
        <v>0.78</v>
      </c>
      <c r="I82" s="130">
        <f>VLOOKUP("Restricciones PBF",$Q$86:$AE$102,8,FALSE)</f>
        <v>1.08</v>
      </c>
      <c r="J82" s="130">
        <f>VLOOKUP("Restricciones PBF",$Q$86:$AE$102,9,FALSE)</f>
        <v>1.08</v>
      </c>
      <c r="K82" s="130">
        <f>VLOOKUP("Restricciones PBF",$Q$86:$AE$102,10,FALSE)</f>
        <v>0.88</v>
      </c>
      <c r="L82" s="130">
        <f>VLOOKUP("Restricciones PBF",$Q$86:$AE$102,11,FALSE)</f>
        <v>2.92</v>
      </c>
      <c r="M82" s="130">
        <f>VLOOKUP("Restricciones PBF",$Q$86:$AE$102,12,FALSE)</f>
        <v>2.61</v>
      </c>
      <c r="N82" s="130">
        <f>VLOOKUP("Restricciones PBF",$Q$86:$AE$102,13,FALSE)</f>
        <v>2.12</v>
      </c>
      <c r="O82" s="130">
        <f>VLOOKUP("Restricciones PBF",$Q$86:$AE$102,14,FALSE)</f>
        <v>1.5</v>
      </c>
      <c r="P82" s="125"/>
      <c r="Q82" s="109" t="s">
        <v>100</v>
      </c>
      <c r="R82" s="109">
        <v>201706</v>
      </c>
      <c r="S82" s="109">
        <v>201707</v>
      </c>
      <c r="T82" s="109">
        <v>201708</v>
      </c>
      <c r="U82" s="109">
        <v>201709</v>
      </c>
      <c r="V82" s="109">
        <v>201710</v>
      </c>
      <c r="W82" s="109">
        <v>201711</v>
      </c>
      <c r="X82" s="109">
        <v>201712</v>
      </c>
      <c r="Y82" s="109">
        <v>201801</v>
      </c>
      <c r="Z82" s="109">
        <v>201802</v>
      </c>
      <c r="AA82" s="109">
        <v>201803</v>
      </c>
      <c r="AB82" s="109">
        <v>201804</v>
      </c>
      <c r="AC82" s="109">
        <v>201805</v>
      </c>
      <c r="AD82" s="109">
        <v>201806</v>
      </c>
      <c r="AE82" s="129"/>
      <c r="AF82" s="125"/>
    </row>
    <row r="83" spans="2:32">
      <c r="B83" s="109" t="s">
        <v>28</v>
      </c>
      <c r="C83" s="130">
        <f>VLOOKUP("Restricciones TR",$Q$86:$AE$102,2,FALSE)</f>
        <v>0.02</v>
      </c>
      <c r="D83" s="130">
        <f>VLOOKUP("Restricciones TR",$Q$86:$AE$102,3,FALSE)</f>
        <v>0.05</v>
      </c>
      <c r="E83" s="130">
        <f>VLOOKUP("Restricciones TR",$Q$86:$AE$102,4,FALSE)</f>
        <v>0.05</v>
      </c>
      <c r="F83" s="130">
        <f>VLOOKUP("Restricciones TR",$Q$86:$AE$102,5,FALSE)</f>
        <v>0.05</v>
      </c>
      <c r="G83" s="130">
        <f>VLOOKUP("Restricciones TR",$Q$86:$AE$102,6,FALSE)</f>
        <v>0.12</v>
      </c>
      <c r="H83" s="130">
        <f>VLOOKUP("Restricciones TR",$Q$86:$AE$102,7,FALSE)</f>
        <v>0.08</v>
      </c>
      <c r="I83" s="130">
        <f>VLOOKUP("Restricciones TR",$Q$86:$AE$102,8,FALSE)</f>
        <v>0.05</v>
      </c>
      <c r="J83" s="130">
        <f>VLOOKUP("Restricciones TR",$Q$86:$AE$102,9,FALSE)</f>
        <v>0.05</v>
      </c>
      <c r="K83" s="130">
        <f>VLOOKUP("Restricciones TR",$Q$86:$AE$102,10,FALSE)</f>
        <v>0.05</v>
      </c>
      <c r="L83" s="130">
        <f>VLOOKUP("Restricciones TR",$Q$86:$AE$102,11,FALSE)</f>
        <v>0.17</v>
      </c>
      <c r="M83" s="130">
        <f>VLOOKUP("Restricciones TR",$Q$86:$AE$102,12,FALSE)</f>
        <v>0.09</v>
      </c>
      <c r="N83" s="130">
        <f>VLOOKUP("Restricciones TR",$Q$86:$AE$102,13,FALSE)</f>
        <v>0.11</v>
      </c>
      <c r="O83" s="130">
        <f>VLOOKUP("Restricciones TR",$Q$86:$AE$102,14,FALSE)</f>
        <v>0.05</v>
      </c>
      <c r="P83" s="125"/>
      <c r="Q83" s="109" t="s">
        <v>101</v>
      </c>
      <c r="R83" s="109" t="s">
        <v>206</v>
      </c>
      <c r="S83" s="109" t="s">
        <v>207</v>
      </c>
      <c r="T83" s="109" t="s">
        <v>208</v>
      </c>
      <c r="U83" s="109" t="s">
        <v>209</v>
      </c>
      <c r="V83" s="109" t="s">
        <v>210</v>
      </c>
      <c r="W83" s="109" t="s">
        <v>211</v>
      </c>
      <c r="X83" s="109" t="s">
        <v>212</v>
      </c>
      <c r="Y83" s="109" t="s">
        <v>213</v>
      </c>
      <c r="Z83" s="109" t="s">
        <v>214</v>
      </c>
      <c r="AA83" s="109" t="s">
        <v>215</v>
      </c>
      <c r="AB83" s="109" t="s">
        <v>216</v>
      </c>
      <c r="AC83" s="109" t="s">
        <v>217</v>
      </c>
      <c r="AD83" s="109" t="s">
        <v>218</v>
      </c>
      <c r="AE83" s="129"/>
      <c r="AF83" s="125"/>
    </row>
    <row r="84" spans="2:32">
      <c r="B84" s="109" t="s">
        <v>27</v>
      </c>
      <c r="C84" s="130">
        <f>VLOOKUP("Reserva subir",$Q$86:$AE$102,2,FALSE)</f>
        <v>0.01</v>
      </c>
      <c r="D84" s="130">
        <f>VLOOKUP("Reserva subir",$Q$86:$AE$102,3,FALSE)</f>
        <v>0</v>
      </c>
      <c r="E84" s="130">
        <f>VLOOKUP("Reserva subir",$Q$86:$AE$102,4,FALSE)</f>
        <v>0.02</v>
      </c>
      <c r="F84" s="130">
        <f>VLOOKUP("Reserva subir",$Q$86:$AE$102,5,FALSE)</f>
        <v>0.03</v>
      </c>
      <c r="G84" s="130">
        <f>VLOOKUP("Reserva subir",$Q$86:$AE$102,6,FALSE)</f>
        <v>0.66</v>
      </c>
      <c r="H84" s="130">
        <f>VLOOKUP("Reserva subir",$Q$86:$AE$102,7,FALSE)</f>
        <v>0.17</v>
      </c>
      <c r="I84" s="130">
        <f>VLOOKUP("Reserva subir",$Q$86:$AE$102,8,FALSE)</f>
        <v>0.03</v>
      </c>
      <c r="J84" s="130">
        <f>VLOOKUP("Reserva subir",$Q$86:$AE$102,9,FALSE)</f>
        <v>0.02</v>
      </c>
      <c r="K84" s="130">
        <f>VLOOKUP("Reserva subir",$Q$86:$AE$102,10,FALSE)</f>
        <v>0.06</v>
      </c>
      <c r="L84" s="130">
        <f>VLOOKUP("Reserva subir",$Q$86:$AE$102,11,FALSE)</f>
        <v>0.2</v>
      </c>
      <c r="M84" s="130">
        <f>VLOOKUP("Reserva subir",$Q$86:$AE$102,12,FALSE)</f>
        <v>0.27</v>
      </c>
      <c r="N84" s="130">
        <f>VLOOKUP("Reserva subir",$Q$86:$AE$102,13,FALSE)</f>
        <v>0.13</v>
      </c>
      <c r="O84" s="130">
        <f>VLOOKUP("Reserva subir",$Q$86:$AE$102,14,FALSE)</f>
        <v>0.08</v>
      </c>
      <c r="P84" s="125"/>
      <c r="Q84" s="109" t="s">
        <v>102</v>
      </c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125"/>
    </row>
    <row r="85" spans="2:32">
      <c r="B85" s="109" t="s">
        <v>14</v>
      </c>
      <c r="C85" s="130">
        <f>VLOOKUP("Banda Secundaria",$Q$86:$AE$102,2,FALSE)</f>
        <v>0.5</v>
      </c>
      <c r="D85" s="130">
        <f>VLOOKUP("Banda Secundaria",$Q$86:$AE$102,3,FALSE)</f>
        <v>0.43</v>
      </c>
      <c r="E85" s="130">
        <f>VLOOKUP("Banda Secundaria",$Q$86:$AE$102,4,FALSE)</f>
        <v>0.46</v>
      </c>
      <c r="F85" s="130">
        <f>VLOOKUP("Banda Secundaria",$Q$86:$AE$102,5,FALSE)</f>
        <v>0.47</v>
      </c>
      <c r="G85" s="130">
        <f>VLOOKUP("Banda Secundaria",$Q$86:$AE$102,6,FALSE)</f>
        <v>0.81</v>
      </c>
      <c r="H85" s="130">
        <f>VLOOKUP("Banda Secundaria",$Q$86:$AE$102,7,FALSE)</f>
        <v>0.6</v>
      </c>
      <c r="I85" s="130">
        <f>VLOOKUP("Banda Secundaria",$Q$86:$AE$102,8,FALSE)</f>
        <v>0.94</v>
      </c>
      <c r="J85" s="130">
        <f>VLOOKUP("Banda Secundaria",$Q$86:$AE$102,9,FALSE)</f>
        <v>0.7</v>
      </c>
      <c r="K85" s="130">
        <f>VLOOKUP("Banda Secundaria",$Q$86:$AE$102,10,FALSE)</f>
        <v>0.49</v>
      </c>
      <c r="L85" s="130">
        <f>VLOOKUP("Banda Secundaria",$Q$86:$AE$102,11,FALSE)</f>
        <v>0.89</v>
      </c>
      <c r="M85" s="130">
        <f>VLOOKUP("Banda Secundaria",$Q$86:$AE$102,12,FALSE)</f>
        <v>0.68</v>
      </c>
      <c r="N85" s="130">
        <f>VLOOKUP("Banda Secundaria",$Q$86:$AE$102,13,FALSE)</f>
        <v>0.52</v>
      </c>
      <c r="O85" s="130">
        <f>VLOOKUP("Banda Secundaria",$Q$86:$AE$102,14,FALSE)</f>
        <v>0.49</v>
      </c>
      <c r="P85" s="125"/>
      <c r="Q85" s="109" t="s">
        <v>103</v>
      </c>
      <c r="R85" s="130">
        <v>21667694.546999998</v>
      </c>
      <c r="S85" s="130">
        <v>22400087.410999998</v>
      </c>
      <c r="T85" s="130">
        <v>21754733.245000001</v>
      </c>
      <c r="U85" s="130">
        <v>20129590.419</v>
      </c>
      <c r="V85" s="130">
        <v>20149152.208999999</v>
      </c>
      <c r="W85" s="130">
        <v>20870638.943999998</v>
      </c>
      <c r="X85" s="130">
        <v>22134643.344000001</v>
      </c>
      <c r="Y85" s="130">
        <v>22547512.504000001</v>
      </c>
      <c r="Z85" s="130">
        <v>21248855.956</v>
      </c>
      <c r="AA85" s="130">
        <v>21999535.199999999</v>
      </c>
      <c r="AB85" s="130">
        <v>19770672.578000002</v>
      </c>
      <c r="AC85" s="130">
        <v>20013739.109999999</v>
      </c>
      <c r="AD85" s="130">
        <v>20268564.346999999</v>
      </c>
      <c r="AE85" s="132"/>
      <c r="AF85" s="125"/>
    </row>
    <row r="86" spans="2:32">
      <c r="B86" s="109" t="s">
        <v>57</v>
      </c>
      <c r="C86" s="130">
        <f>VLOOKUP("Coste desvíos",$Q$86:$AE$102,2,FALSE)+VLOOKUP("Saldo PO 14.6",$Q$86:$AE$102,2,FALSE)</f>
        <v>0.18000000000000002</v>
      </c>
      <c r="D86" s="130">
        <f>VLOOKUP("Coste desvíos",$Q$86:$AE$102,3,FALSE)+VLOOKUP("Saldo PO 14.6",$Q$86:$AE$102,3,FALSE)</f>
        <v>0.18</v>
      </c>
      <c r="E86" s="130">
        <f>VLOOKUP("Coste desvíos",$Q$86:$AE$102,4,FALSE)+VLOOKUP("Saldo PO 14.6",$Q$86:$AE$102,4,FALSE)</f>
        <v>0.25</v>
      </c>
      <c r="F86" s="130">
        <f>VLOOKUP("Coste desvíos",$Q$86:$AE$102,5,FALSE)+VLOOKUP("Saldo PO 14.6",$Q$86:$AE$102,5,FALSE)</f>
        <v>0.24000000000000002</v>
      </c>
      <c r="G86" s="130">
        <f>VLOOKUP("Coste desvíos",$Q$86:$AE$102,6,FALSE)+VLOOKUP("Saldo PO 14.6",$Q$86:$AE$102,6,FALSE)</f>
        <v>0.21000000000000002</v>
      </c>
      <c r="H86" s="130">
        <f>VLOOKUP("Coste desvíos",$Q$86:$AE$102,7,FALSE)+VLOOKUP("Saldo PO 14.6",$Q$86:$AE$102,7,FALSE)</f>
        <v>0.2</v>
      </c>
      <c r="I86" s="130">
        <f>VLOOKUP("Coste desvíos",$Q$86:$AE$102,8,FALSE)+VLOOKUP("Saldo PO 14.6",$Q$86:$AE$102,8,FALSE)</f>
        <v>0.38</v>
      </c>
      <c r="J86" s="130">
        <f>VLOOKUP("Coste desvíos",$Q$86:$AE$102,9,FALSE)+VLOOKUP("Saldo PO 14.6",$Q$86:$AE$102,9,FALSE)</f>
        <v>0.33999999999999997</v>
      </c>
      <c r="K86" s="130">
        <f>VLOOKUP("Coste desvíos",$Q$86:$AE$102,10,FALSE)+VLOOKUP("Saldo PO 14.6",$Q$86:$AE$102,10,FALSE)</f>
        <v>0.22</v>
      </c>
      <c r="L86" s="130">
        <f>VLOOKUP("Coste desvíos",$Q$86:$AE$102,11,FALSE)+VLOOKUP("Saldo PO 14.6",$Q$86:$AE$102,11,FALSE)</f>
        <v>0.15</v>
      </c>
      <c r="M86" s="130">
        <f>VLOOKUP("Coste desvíos",$Q$86:$AE$102,12,FALSE)+VLOOKUP("Saldo PO 14.6",$Q$86:$AE$102,12,FALSE)</f>
        <v>0.17</v>
      </c>
      <c r="N86" s="130">
        <f>VLOOKUP("Coste desvíos",$Q$86:$AE$102,13,FALSE)+VLOOKUP("Saldo PO 14.6",$Q$86:$AE$102,13,FALSE)</f>
        <v>0.11</v>
      </c>
      <c r="O86" s="130">
        <f>VLOOKUP("Coste desvíos",$Q$86:$AE$102,14,FALSE)+VLOOKUP("Saldo PO 14.6",$Q$86:$AE$102,14,FALSE)</f>
        <v>0.06</v>
      </c>
      <c r="P86" s="125"/>
      <c r="Q86" s="109" t="s">
        <v>104</v>
      </c>
      <c r="R86" s="130">
        <v>100</v>
      </c>
      <c r="S86" s="130">
        <v>100</v>
      </c>
      <c r="T86" s="130">
        <v>100</v>
      </c>
      <c r="U86" s="130">
        <v>100</v>
      </c>
      <c r="V86" s="130">
        <v>100</v>
      </c>
      <c r="W86" s="130">
        <v>100</v>
      </c>
      <c r="X86" s="130">
        <v>100</v>
      </c>
      <c r="Y86" s="130">
        <v>100</v>
      </c>
      <c r="Z86" s="130">
        <v>100</v>
      </c>
      <c r="AA86" s="130">
        <v>100</v>
      </c>
      <c r="AB86" s="130">
        <v>100</v>
      </c>
      <c r="AC86" s="130">
        <v>100</v>
      </c>
      <c r="AD86" s="130">
        <v>100</v>
      </c>
      <c r="AE86" s="133"/>
      <c r="AF86" s="125"/>
    </row>
    <row r="87" spans="2:32">
      <c r="B87" s="109" t="s">
        <v>18</v>
      </c>
      <c r="C87" s="130">
        <f>VLOOKUP("Saldo desvíos",$Q$86:$AE$102,2,FALSE)+VLOOKUP("Incumplimiento energía balance",$Q$86:$AE$102,2,FALSE)</f>
        <v>-0.1</v>
      </c>
      <c r="D87" s="130">
        <f>VLOOKUP("Saldo desvíos",$Q$86:$AE$102,3,FALSE)+VLOOKUP("Incumplimiento energía balance",$Q$86:$AE$102,3,FALSE)</f>
        <v>-0.1</v>
      </c>
      <c r="E87" s="130">
        <f>VLOOKUP("Saldo desvíos",$Q$86:$AE$102,4,FALSE)+VLOOKUP("Incumplimiento energía balance",$Q$86:$AE$102,4,FALSE)</f>
        <v>-9.0000000000000011E-2</v>
      </c>
      <c r="F87" s="130">
        <f>VLOOKUP("Saldo desvíos",$Q$86:$AE$102,5,FALSE)+VLOOKUP("Incumplimiento energía balance",$Q$86:$AE$102,5,FALSE)</f>
        <v>-9.0000000000000011E-2</v>
      </c>
      <c r="G87" s="130">
        <f>VLOOKUP("Saldo desvíos",$Q$86:$AE$102,6,FALSE)+VLOOKUP("Incumplimiento energía balance",$Q$86:$AE$102,6,FALSE)</f>
        <v>-0.11000000000000001</v>
      </c>
      <c r="H87" s="130">
        <f>VLOOKUP("Saldo desvíos",$Q$86:$AE$102,7,FALSE)+VLOOKUP("Incumplimiento energía balance",$Q$86:$AE$102,7,FALSE)</f>
        <v>-0.09</v>
      </c>
      <c r="I87" s="130">
        <f>VLOOKUP("Saldo desvíos",$Q$86:$AE$102,8,FALSE)+VLOOKUP("Incumplimiento energía balance",$Q$86:$AE$102,8,FALSE)</f>
        <v>-0.15000000000000002</v>
      </c>
      <c r="J87" s="130">
        <f>VLOOKUP("Saldo desvíos",$Q$86:$AE$102,9,FALSE)+VLOOKUP("Incumplimiento energía balance",$Q$86:$AE$102,9,FALSE)</f>
        <v>-0.16</v>
      </c>
      <c r="K87" s="130">
        <f>VLOOKUP("Saldo desvíos",$Q$86:$AE$102,10,FALSE)+VLOOKUP("Incumplimiento energía balance",$Q$86:$AE$102,10,FALSE)</f>
        <v>-7.0000000000000007E-2</v>
      </c>
      <c r="L87" s="130">
        <f>VLOOKUP("Saldo desvíos",$Q$86:$AE$102,11,FALSE)+VLOOKUP("Incumplimiento energía balance",$Q$86:$AE$102,11,FALSE)</f>
        <v>-0.04</v>
      </c>
      <c r="M87" s="130">
        <f>VLOOKUP("Saldo desvíos",$Q$86:$AE$102,12,FALSE)+VLOOKUP("Incumplimiento energía balance",$Q$86:$AE$102,12,FALSE)</f>
        <v>-7.0000000000000007E-2</v>
      </c>
      <c r="N87" s="130">
        <f>VLOOKUP("Saldo desvíos",$Q$86:$AE$102,13,FALSE)+VLOOKUP("Incumplimiento energía balance",$Q$86:$AE$102,13,FALSE)</f>
        <v>-0.05</v>
      </c>
      <c r="O87" s="130">
        <f>VLOOKUP("Saldo desvíos",$Q$86:$AE$102,14,FALSE)+VLOOKUP("Incumplimiento energía balance",$Q$86:$AE$102,14,FALSE)</f>
        <v>-0.03</v>
      </c>
      <c r="P87" s="125"/>
      <c r="Q87" s="109" t="s">
        <v>105</v>
      </c>
      <c r="R87" s="130">
        <v>50.77</v>
      </c>
      <c r="S87" s="130">
        <v>49.14</v>
      </c>
      <c r="T87" s="130">
        <v>48.04</v>
      </c>
      <c r="U87" s="130">
        <v>49.55</v>
      </c>
      <c r="V87" s="130">
        <v>57.59</v>
      </c>
      <c r="W87" s="130">
        <v>60.54</v>
      </c>
      <c r="X87" s="130">
        <v>60.14</v>
      </c>
      <c r="Y87" s="130">
        <v>51.78</v>
      </c>
      <c r="Z87" s="130">
        <v>55.77</v>
      </c>
      <c r="AA87" s="130">
        <v>41.76</v>
      </c>
      <c r="AB87" s="130">
        <v>43.53</v>
      </c>
      <c r="AC87" s="130">
        <v>55.41</v>
      </c>
      <c r="AD87" s="130">
        <v>58.86</v>
      </c>
      <c r="AE87" s="133"/>
      <c r="AF87" s="125"/>
    </row>
    <row r="88" spans="2:32">
      <c r="B88" s="111" t="s">
        <v>25</v>
      </c>
      <c r="C88" s="134">
        <f>VLOOKUP("Control del factor de potencia",$Q$86:$AE$102,2,FALSE)</f>
        <v>-0.05</v>
      </c>
      <c r="D88" s="134">
        <f>VLOOKUP("Control del factor de potencia",$Q$86:$AE$102,3,FALSE)</f>
        <v>-0.05</v>
      </c>
      <c r="E88" s="134">
        <f>VLOOKUP("Control del factor de potencia",$Q$86:$AE$102,4,FALSE)</f>
        <v>-0.05</v>
      </c>
      <c r="F88" s="134">
        <f>VLOOKUP("Control del factor de potencia",$Q$86:$AE$102,5,FALSE)</f>
        <v>-0.05</v>
      </c>
      <c r="G88" s="134">
        <f>VLOOKUP("Control del factor de potencia",$Q$86:$AE$102,6,FALSE)</f>
        <v>-0.05</v>
      </c>
      <c r="H88" s="134">
        <f>VLOOKUP("Control del factor de potencia",$Q$86:$AE$102,7,FALSE)</f>
        <v>-0.06</v>
      </c>
      <c r="I88" s="134">
        <f>VLOOKUP("Control del factor de potencia",$Q$86:$AE$102,8,FALSE)</f>
        <v>-0.08</v>
      </c>
      <c r="J88" s="134">
        <f>VLOOKUP("Control del factor de potencia",$Q$86:$AE$102,9,FALSE)</f>
        <v>-7.0000000000000007E-2</v>
      </c>
      <c r="K88" s="134">
        <f>VLOOKUP("Control del factor de potencia",$Q$86:$AE$102,10,FALSE)</f>
        <v>-0.06</v>
      </c>
      <c r="L88" s="134">
        <f>VLOOKUP("Control del factor de potencia",$Q$86:$AE$102,11,FALSE)</f>
        <v>-0.08</v>
      </c>
      <c r="M88" s="134">
        <f>VLOOKUP("Control del factor de potencia",$Q$86:$AE$102,12,FALSE)</f>
        <v>-7.0000000000000007E-2</v>
      </c>
      <c r="N88" s="134">
        <f>VLOOKUP("Control del factor de potencia",$Q$86:$AE$102,13,FALSE)</f>
        <v>-0.06</v>
      </c>
      <c r="O88" s="134">
        <f>VLOOKUP("Control del factor de potencia",$Q$86:$AE$102,14,FALSE)</f>
        <v>-0.05</v>
      </c>
      <c r="P88" s="125"/>
      <c r="Q88" s="109" t="s">
        <v>106</v>
      </c>
      <c r="R88" s="130">
        <v>0.69</v>
      </c>
      <c r="S88" s="130">
        <v>1.1399999999999999</v>
      </c>
      <c r="T88" s="130">
        <v>1.86</v>
      </c>
      <c r="U88" s="130">
        <v>1.55</v>
      </c>
      <c r="V88" s="130">
        <v>1.1299999999999999</v>
      </c>
      <c r="W88" s="130">
        <v>0.78</v>
      </c>
      <c r="X88" s="130">
        <v>1.08</v>
      </c>
      <c r="Y88" s="130">
        <v>1.08</v>
      </c>
      <c r="Z88" s="130">
        <v>0.88</v>
      </c>
      <c r="AA88" s="130">
        <v>2.92</v>
      </c>
      <c r="AB88" s="130">
        <v>2.61</v>
      </c>
      <c r="AC88" s="130">
        <v>2.12</v>
      </c>
      <c r="AD88" s="130">
        <v>1.5</v>
      </c>
      <c r="AE88" s="133"/>
      <c r="AF88" s="125"/>
    </row>
    <row r="89" spans="2:32">
      <c r="B89" s="125"/>
      <c r="C89" s="181">
        <f t="shared" ref="C89:O89" si="3">SUM(C82:C88)</f>
        <v>1.2499999999999998</v>
      </c>
      <c r="D89" s="181">
        <f t="shared" si="3"/>
        <v>1.6499999999999997</v>
      </c>
      <c r="E89" s="181">
        <f t="shared" si="3"/>
        <v>2.5000000000000004</v>
      </c>
      <c r="F89" s="181">
        <f t="shared" si="3"/>
        <v>2.2000000000000006</v>
      </c>
      <c r="G89" s="181">
        <f t="shared" si="3"/>
        <v>2.7700000000000005</v>
      </c>
      <c r="H89" s="181">
        <f t="shared" si="3"/>
        <v>1.6799999999999997</v>
      </c>
      <c r="I89" s="181">
        <f t="shared" si="3"/>
        <v>2.25</v>
      </c>
      <c r="J89" s="181">
        <f t="shared" si="3"/>
        <v>1.9599999999999997</v>
      </c>
      <c r="K89" s="181">
        <f t="shared" si="3"/>
        <v>1.5699999999999998</v>
      </c>
      <c r="L89" s="181">
        <f t="shared" si="3"/>
        <v>4.21</v>
      </c>
      <c r="M89" s="181">
        <f t="shared" si="3"/>
        <v>3.68</v>
      </c>
      <c r="N89" s="181">
        <f t="shared" si="3"/>
        <v>2.88</v>
      </c>
      <c r="O89" s="181">
        <f t="shared" si="3"/>
        <v>2.1000000000000005</v>
      </c>
      <c r="P89" s="125"/>
      <c r="Q89" s="109" t="s">
        <v>107</v>
      </c>
      <c r="R89" s="130">
        <v>0.02</v>
      </c>
      <c r="S89" s="130">
        <v>0.05</v>
      </c>
      <c r="T89" s="130">
        <v>0.05</v>
      </c>
      <c r="U89" s="130">
        <v>0.05</v>
      </c>
      <c r="V89" s="130">
        <v>0.12</v>
      </c>
      <c r="W89" s="130">
        <v>0.08</v>
      </c>
      <c r="X89" s="130">
        <v>0.05</v>
      </c>
      <c r="Y89" s="130">
        <v>0.05</v>
      </c>
      <c r="Z89" s="130">
        <v>0.05</v>
      </c>
      <c r="AA89" s="130">
        <v>0.17</v>
      </c>
      <c r="AB89" s="130">
        <v>0.09</v>
      </c>
      <c r="AC89" s="130">
        <v>0.11</v>
      </c>
      <c r="AD89" s="130">
        <v>0.05</v>
      </c>
      <c r="AE89" s="133"/>
      <c r="AF89" s="125"/>
    </row>
    <row r="90" spans="2:3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09" t="s">
        <v>108</v>
      </c>
      <c r="R90" s="130">
        <v>0</v>
      </c>
      <c r="S90" s="130">
        <v>-0.01</v>
      </c>
      <c r="T90" s="130">
        <v>-0.01</v>
      </c>
      <c r="U90" s="130">
        <v>-0.03</v>
      </c>
      <c r="V90" s="130">
        <v>-0.03</v>
      </c>
      <c r="W90" s="130">
        <v>0.02</v>
      </c>
      <c r="X90" s="130">
        <v>0</v>
      </c>
      <c r="Y90" s="130">
        <v>-0.01</v>
      </c>
      <c r="Z90" s="130">
        <v>-0.01</v>
      </c>
      <c r="AA90" s="130">
        <v>-0.01</v>
      </c>
      <c r="AB90" s="130">
        <v>-0.02</v>
      </c>
      <c r="AC90" s="130">
        <v>-0.01</v>
      </c>
      <c r="AD90" s="130">
        <v>-7.0000000000000007E-2</v>
      </c>
      <c r="AE90" s="133"/>
      <c r="AF90" s="125"/>
    </row>
    <row r="91" spans="2:32">
      <c r="B91" s="12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09" t="s">
        <v>82</v>
      </c>
      <c r="N91" s="109"/>
      <c r="O91" s="172">
        <f>(O89-C89)/C89</f>
        <v>0.68000000000000071</v>
      </c>
      <c r="P91" s="125"/>
      <c r="Q91" s="109" t="s">
        <v>109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3"/>
      <c r="AF91" s="125"/>
    </row>
    <row r="92" spans="2:32">
      <c r="B92" s="12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09" t="s">
        <v>83</v>
      </c>
      <c r="N92" s="109"/>
      <c r="O92" s="116"/>
      <c r="P92" s="125"/>
      <c r="Q92" s="109" t="s">
        <v>110</v>
      </c>
      <c r="R92" s="130">
        <v>0.01</v>
      </c>
      <c r="S92" s="130">
        <v>0</v>
      </c>
      <c r="T92" s="130">
        <v>0.02</v>
      </c>
      <c r="U92" s="130">
        <v>0.03</v>
      </c>
      <c r="V92" s="130">
        <v>0.66</v>
      </c>
      <c r="W92" s="130">
        <v>0.17</v>
      </c>
      <c r="X92" s="130">
        <v>0.03</v>
      </c>
      <c r="Y92" s="130">
        <v>0.02</v>
      </c>
      <c r="Z92" s="130">
        <v>0.06</v>
      </c>
      <c r="AA92" s="130">
        <v>0.2</v>
      </c>
      <c r="AB92" s="130">
        <v>0.27</v>
      </c>
      <c r="AC92" s="130">
        <v>0.13</v>
      </c>
      <c r="AD92" s="130">
        <v>0.08</v>
      </c>
      <c r="AE92" s="133"/>
      <c r="AF92" s="125"/>
    </row>
    <row r="93" spans="2:32">
      <c r="B93" s="125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25"/>
      <c r="Q93" s="109" t="s">
        <v>111</v>
      </c>
      <c r="R93" s="130">
        <v>0.5</v>
      </c>
      <c r="S93" s="130">
        <v>0.43</v>
      </c>
      <c r="T93" s="130">
        <v>0.46</v>
      </c>
      <c r="U93" s="130">
        <v>0.47</v>
      </c>
      <c r="V93" s="130">
        <v>0.81</v>
      </c>
      <c r="W93" s="130">
        <v>0.6</v>
      </c>
      <c r="X93" s="130">
        <v>0.94</v>
      </c>
      <c r="Y93" s="130">
        <v>0.7</v>
      </c>
      <c r="Z93" s="130">
        <v>0.49</v>
      </c>
      <c r="AA93" s="130">
        <v>0.89</v>
      </c>
      <c r="AB93" s="130">
        <v>0.68</v>
      </c>
      <c r="AC93" s="130">
        <v>0.52</v>
      </c>
      <c r="AD93" s="130">
        <v>0.49</v>
      </c>
      <c r="AE93" s="133"/>
      <c r="AF93" s="125"/>
    </row>
    <row r="94" spans="2:32">
      <c r="B94" s="12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25"/>
      <c r="Q94" s="109" t="s">
        <v>112</v>
      </c>
      <c r="R94" s="130">
        <v>-0.03</v>
      </c>
      <c r="S94" s="130">
        <v>-0.03</v>
      </c>
      <c r="T94" s="130">
        <v>-0.02</v>
      </c>
      <c r="U94" s="130">
        <v>-0.02</v>
      </c>
      <c r="V94" s="130">
        <v>-0.04</v>
      </c>
      <c r="W94" s="130">
        <v>-0.04</v>
      </c>
      <c r="X94" s="130">
        <v>-0.05</v>
      </c>
      <c r="Y94" s="130">
        <v>-0.04</v>
      </c>
      <c r="Z94" s="130">
        <v>-0.03</v>
      </c>
      <c r="AA94" s="130">
        <v>-0.03</v>
      </c>
      <c r="AB94" s="130">
        <v>-0.03</v>
      </c>
      <c r="AC94" s="130">
        <v>-0.02</v>
      </c>
      <c r="AD94" s="130">
        <v>-0.02</v>
      </c>
      <c r="AE94" s="133"/>
      <c r="AF94" s="125"/>
    </row>
    <row r="95" spans="2:32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109" t="s">
        <v>113</v>
      </c>
      <c r="R95" s="130">
        <v>0.17</v>
      </c>
      <c r="S95" s="130">
        <v>0.18</v>
      </c>
      <c r="T95" s="130">
        <v>0.24</v>
      </c>
      <c r="U95" s="130">
        <v>0.23</v>
      </c>
      <c r="V95" s="130">
        <v>0.2</v>
      </c>
      <c r="W95" s="130">
        <v>0.17</v>
      </c>
      <c r="X95" s="130">
        <v>0.38</v>
      </c>
      <c r="Y95" s="130">
        <v>0.31</v>
      </c>
      <c r="Z95" s="130">
        <v>0.19</v>
      </c>
      <c r="AA95" s="130">
        <v>0.16</v>
      </c>
      <c r="AB95" s="130">
        <v>0.17</v>
      </c>
      <c r="AC95" s="130">
        <v>0.06</v>
      </c>
      <c r="AD95" s="130">
        <v>0.06</v>
      </c>
      <c r="AE95" s="133"/>
      <c r="AF95" s="125"/>
    </row>
    <row r="96" spans="2:32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09" t="s">
        <v>114</v>
      </c>
      <c r="R96" s="130">
        <v>-7.0000000000000007E-2</v>
      </c>
      <c r="S96" s="130">
        <v>-7.0000000000000007E-2</v>
      </c>
      <c r="T96" s="130">
        <v>-7.0000000000000007E-2</v>
      </c>
      <c r="U96" s="130">
        <v>-7.0000000000000007E-2</v>
      </c>
      <c r="V96" s="130">
        <v>-7.0000000000000007E-2</v>
      </c>
      <c r="W96" s="130">
        <v>-0.05</v>
      </c>
      <c r="X96" s="130">
        <v>-0.1</v>
      </c>
      <c r="Y96" s="130">
        <v>-0.12</v>
      </c>
      <c r="Z96" s="130">
        <v>-0.04</v>
      </c>
      <c r="AA96" s="130">
        <v>-0.01</v>
      </c>
      <c r="AB96" s="130">
        <v>-0.04</v>
      </c>
      <c r="AC96" s="130">
        <v>-0.03</v>
      </c>
      <c r="AD96" s="130">
        <v>-0.01</v>
      </c>
      <c r="AE96" s="133"/>
      <c r="AF96" s="125"/>
    </row>
    <row r="97" spans="2:32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9" t="s">
        <v>25</v>
      </c>
      <c r="R97" s="130">
        <v>-0.05</v>
      </c>
      <c r="S97" s="130">
        <v>-0.05</v>
      </c>
      <c r="T97" s="130">
        <v>-0.05</v>
      </c>
      <c r="U97" s="130">
        <v>-0.05</v>
      </c>
      <c r="V97" s="130">
        <v>-0.05</v>
      </c>
      <c r="W97" s="130">
        <v>-0.06</v>
      </c>
      <c r="X97" s="130">
        <v>-0.08</v>
      </c>
      <c r="Y97" s="130">
        <v>-7.0000000000000007E-2</v>
      </c>
      <c r="Z97" s="130">
        <v>-0.06</v>
      </c>
      <c r="AA97" s="130">
        <v>-0.08</v>
      </c>
      <c r="AB97" s="130">
        <v>-7.0000000000000007E-2</v>
      </c>
      <c r="AC97" s="130">
        <v>-0.06</v>
      </c>
      <c r="AD97" s="130">
        <v>-0.05</v>
      </c>
      <c r="AE97" s="133"/>
      <c r="AF97" s="125"/>
    </row>
    <row r="98" spans="2:32">
      <c r="Q98" s="109" t="s">
        <v>115</v>
      </c>
      <c r="R98" s="130">
        <v>2.91</v>
      </c>
      <c r="S98" s="130">
        <v>3.22</v>
      </c>
      <c r="T98" s="130">
        <v>2.1800000000000002</v>
      </c>
      <c r="U98" s="130">
        <v>2.42</v>
      </c>
      <c r="V98" s="130">
        <v>2.35</v>
      </c>
      <c r="W98" s="130">
        <v>2.4900000000000002</v>
      </c>
      <c r="X98" s="130">
        <v>3.07</v>
      </c>
      <c r="Y98" s="130">
        <v>3.19</v>
      </c>
      <c r="Z98" s="130">
        <v>3.18</v>
      </c>
      <c r="AA98" s="130">
        <v>2.56</v>
      </c>
      <c r="AB98" s="130">
        <v>2.4300000000000002</v>
      </c>
      <c r="AC98" s="130">
        <v>2.37</v>
      </c>
      <c r="AD98" s="130">
        <v>2.85</v>
      </c>
      <c r="AE98" s="133"/>
    </row>
    <row r="99" spans="2:32">
      <c r="Q99" s="109" t="s">
        <v>39</v>
      </c>
      <c r="R99" s="130">
        <v>2</v>
      </c>
      <c r="S99" s="130">
        <v>1.93</v>
      </c>
      <c r="T99" s="130">
        <v>1.99</v>
      </c>
      <c r="U99" s="130">
        <v>2.14</v>
      </c>
      <c r="V99" s="130">
        <v>2.15</v>
      </c>
      <c r="W99" s="130">
        <v>2.0699999999999998</v>
      </c>
      <c r="X99" s="130">
        <v>1.85</v>
      </c>
      <c r="Y99" s="130">
        <v>1.36</v>
      </c>
      <c r="Z99" s="130">
        <v>1.44</v>
      </c>
      <c r="AA99" s="130">
        <v>1.41</v>
      </c>
      <c r="AB99" s="130">
        <v>1.56</v>
      </c>
      <c r="AC99" s="130">
        <v>1.53</v>
      </c>
      <c r="AD99" s="130">
        <v>1.1299999999999999</v>
      </c>
      <c r="AE99" s="133"/>
    </row>
    <row r="100" spans="2:32">
      <c r="Q100" s="109" t="s">
        <v>116</v>
      </c>
      <c r="R100" s="130">
        <v>0.01</v>
      </c>
      <c r="S100" s="130">
        <v>0</v>
      </c>
      <c r="T100" s="130">
        <v>0.01</v>
      </c>
      <c r="U100" s="130">
        <v>0.01</v>
      </c>
      <c r="V100" s="130">
        <v>0.01</v>
      </c>
      <c r="W100" s="130">
        <v>0.03</v>
      </c>
      <c r="X100" s="130">
        <v>0</v>
      </c>
      <c r="Y100" s="130">
        <v>0.03</v>
      </c>
      <c r="Z100" s="130">
        <v>0.03</v>
      </c>
      <c r="AA100" s="130">
        <v>-0.01</v>
      </c>
      <c r="AB100" s="130">
        <v>0</v>
      </c>
      <c r="AC100" s="130">
        <v>0.05</v>
      </c>
      <c r="AD100" s="130">
        <v>0</v>
      </c>
      <c r="AE100" s="133"/>
    </row>
    <row r="101" spans="2:32">
      <c r="Q101" s="109" t="s">
        <v>117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>
        <v>0</v>
      </c>
      <c r="AE101" s="133"/>
    </row>
    <row r="102" spans="2:32">
      <c r="Q102" s="109" t="s">
        <v>118</v>
      </c>
      <c r="R102" s="130">
        <v>56.93</v>
      </c>
      <c r="S102" s="130">
        <v>55.93</v>
      </c>
      <c r="T102" s="130">
        <v>54.7</v>
      </c>
      <c r="U102" s="130">
        <v>56.28</v>
      </c>
      <c r="V102" s="130">
        <v>64.83</v>
      </c>
      <c r="W102" s="130">
        <v>66.8</v>
      </c>
      <c r="X102" s="130">
        <v>67.31</v>
      </c>
      <c r="Y102" s="130">
        <v>58.28</v>
      </c>
      <c r="Z102" s="130">
        <v>61.95</v>
      </c>
      <c r="AA102" s="130">
        <v>49.93</v>
      </c>
      <c r="AB102" s="130">
        <v>51.18</v>
      </c>
      <c r="AC102" s="130">
        <v>62.18</v>
      </c>
      <c r="AD102" s="130">
        <v>64.87</v>
      </c>
    </row>
    <row r="104" spans="2:32">
      <c r="B104" s="106" t="s">
        <v>155</v>
      </c>
      <c r="C104" s="106"/>
      <c r="D104" s="106"/>
      <c r="E104" s="106"/>
      <c r="F104" s="106"/>
      <c r="G104" s="106"/>
      <c r="H104" s="106"/>
      <c r="I104" s="127"/>
    </row>
    <row r="105" spans="2:32">
      <c r="B105" s="108" t="s">
        <v>119</v>
      </c>
      <c r="C105" s="108" t="s">
        <v>218</v>
      </c>
      <c r="D105" s="108" t="s">
        <v>218</v>
      </c>
      <c r="E105" s="108"/>
      <c r="F105" s="108" t="s">
        <v>119</v>
      </c>
      <c r="G105" s="108" t="s">
        <v>206</v>
      </c>
      <c r="H105" s="108" t="s">
        <v>206</v>
      </c>
      <c r="I105" s="109"/>
    </row>
    <row r="106" spans="2:32">
      <c r="B106" s="108" t="s">
        <v>31</v>
      </c>
      <c r="C106" s="108" t="s">
        <v>120</v>
      </c>
      <c r="D106" s="108" t="s">
        <v>121</v>
      </c>
      <c r="E106" s="108"/>
      <c r="F106" s="108" t="s">
        <v>31</v>
      </c>
      <c r="G106" s="108" t="s">
        <v>120</v>
      </c>
      <c r="H106" s="108" t="s">
        <v>121</v>
      </c>
      <c r="I106" s="109"/>
    </row>
    <row r="107" spans="2:32">
      <c r="B107" s="109" t="s">
        <v>219</v>
      </c>
      <c r="C107" s="130"/>
      <c r="D107" s="130"/>
      <c r="E107" s="130"/>
      <c r="F107" s="109" t="s">
        <v>219</v>
      </c>
      <c r="G107" s="109"/>
      <c r="H107" s="109"/>
      <c r="I107" s="109"/>
    </row>
    <row r="108" spans="2:32">
      <c r="B108" s="109" t="s">
        <v>220</v>
      </c>
      <c r="C108" s="130">
        <v>30483370.48</v>
      </c>
      <c r="D108" s="130">
        <v>-30483370.48</v>
      </c>
      <c r="E108" s="130"/>
      <c r="F108" s="109" t="s">
        <v>220</v>
      </c>
      <c r="G108" s="130">
        <v>15047395.779999999</v>
      </c>
      <c r="H108" s="130">
        <v>-15047395.779999999</v>
      </c>
      <c r="I108" s="130"/>
    </row>
    <row r="109" spans="2:32">
      <c r="B109" s="109" t="s">
        <v>221</v>
      </c>
      <c r="C109" s="130">
        <v>1670528.92</v>
      </c>
      <c r="D109" s="130">
        <v>-1670528.92</v>
      </c>
      <c r="E109" s="130"/>
      <c r="F109" s="109" t="s">
        <v>221</v>
      </c>
      <c r="G109" s="130">
        <v>205030.39999999999</v>
      </c>
      <c r="H109" s="130">
        <v>-205030.39999999999</v>
      </c>
      <c r="I109" s="130"/>
    </row>
    <row r="110" spans="2:32">
      <c r="B110" s="109" t="s">
        <v>222</v>
      </c>
      <c r="C110" s="130">
        <v>10014427.26</v>
      </c>
      <c r="D110" s="130">
        <v>-10014427.26</v>
      </c>
      <c r="E110" s="130"/>
      <c r="F110" s="109" t="s">
        <v>222</v>
      </c>
      <c r="G110" s="130">
        <v>10804515.07</v>
      </c>
      <c r="H110" s="130">
        <v>-10804515.07</v>
      </c>
      <c r="I110" s="130"/>
    </row>
    <row r="111" spans="2:32">
      <c r="B111" s="109" t="s">
        <v>223</v>
      </c>
      <c r="C111" s="130">
        <v>1150379.1399999999</v>
      </c>
      <c r="D111" s="130">
        <v>-1107935.27</v>
      </c>
      <c r="E111" s="130"/>
      <c r="F111" s="109" t="s">
        <v>223</v>
      </c>
      <c r="G111" s="130">
        <v>445888.32</v>
      </c>
      <c r="H111" s="130">
        <v>-422879.85</v>
      </c>
      <c r="I111" s="130"/>
    </row>
    <row r="112" spans="2:32">
      <c r="B112" s="109" t="s">
        <v>88</v>
      </c>
      <c r="C112" s="130">
        <v>2394759.1</v>
      </c>
      <c r="D112" s="130">
        <v>7175133.5</v>
      </c>
      <c r="E112" s="130"/>
      <c r="F112" s="109" t="s">
        <v>228</v>
      </c>
      <c r="G112" s="130" t="s">
        <v>191</v>
      </c>
      <c r="H112" s="130">
        <v>346470.6</v>
      </c>
      <c r="I112" s="130"/>
    </row>
    <row r="113" spans="2:9">
      <c r="B113" s="109" t="s">
        <v>3</v>
      </c>
      <c r="C113" s="130">
        <v>3196434.93</v>
      </c>
      <c r="D113" s="130">
        <v>5197489.5599999996</v>
      </c>
      <c r="E113" s="130"/>
      <c r="F113" s="109" t="s">
        <v>229</v>
      </c>
      <c r="G113" s="130">
        <v>1868.06</v>
      </c>
      <c r="H113" s="130">
        <v>-535.11</v>
      </c>
      <c r="I113" s="130"/>
    </row>
    <row r="114" spans="2:9">
      <c r="B114" s="109" t="s">
        <v>224</v>
      </c>
      <c r="C114" s="130">
        <v>443917.79</v>
      </c>
      <c r="D114" s="130" t="s">
        <v>191</v>
      </c>
      <c r="E114" s="130"/>
      <c r="F114" s="109" t="s">
        <v>88</v>
      </c>
      <c r="G114" s="130">
        <v>1494737.9199999999</v>
      </c>
      <c r="H114" s="130">
        <v>8767886.9100000001</v>
      </c>
      <c r="I114" s="130"/>
    </row>
    <row r="115" spans="2:9">
      <c r="B115" s="109" t="s">
        <v>136</v>
      </c>
      <c r="C115" s="130">
        <v>4437690.8</v>
      </c>
      <c r="D115" s="130">
        <v>1627486.76</v>
      </c>
      <c r="E115" s="130"/>
      <c r="F115" s="109" t="s">
        <v>3</v>
      </c>
      <c r="G115" s="130">
        <v>3361973.78</v>
      </c>
      <c r="H115" s="130">
        <v>12358795.66</v>
      </c>
      <c r="I115" s="130"/>
    </row>
    <row r="116" spans="2:9">
      <c r="B116" s="109" t="s">
        <v>225</v>
      </c>
      <c r="C116" s="130">
        <v>821072</v>
      </c>
      <c r="D116" s="130">
        <v>-701914</v>
      </c>
      <c r="E116" s="130"/>
      <c r="F116" s="109" t="s">
        <v>224</v>
      </c>
      <c r="G116" s="130">
        <v>737219.37</v>
      </c>
      <c r="H116" s="130" t="s">
        <v>191</v>
      </c>
      <c r="I116" s="130"/>
    </row>
    <row r="117" spans="2:9">
      <c r="B117" s="109" t="s">
        <v>17</v>
      </c>
      <c r="C117" s="130">
        <v>46910929.719999999</v>
      </c>
      <c r="D117" s="130">
        <v>-12898554.390000001</v>
      </c>
      <c r="E117" s="130"/>
      <c r="F117" s="109" t="s">
        <v>136</v>
      </c>
      <c r="G117" s="130">
        <v>3722156.25</v>
      </c>
      <c r="H117" s="130">
        <v>1246727.95</v>
      </c>
      <c r="I117" s="130"/>
    </row>
    <row r="118" spans="2:9">
      <c r="B118" s="109" t="s">
        <v>226</v>
      </c>
      <c r="C118" s="130">
        <v>352367.77</v>
      </c>
      <c r="D118" s="130">
        <v>-352367.77</v>
      </c>
      <c r="E118" s="130"/>
      <c r="F118" s="109" t="s">
        <v>225</v>
      </c>
      <c r="G118" s="130">
        <v>3399435</v>
      </c>
      <c r="H118" s="130">
        <v>-3093877.5</v>
      </c>
      <c r="I118" s="130"/>
    </row>
    <row r="119" spans="2:9">
      <c r="B119" s="109" t="s">
        <v>227</v>
      </c>
      <c r="C119" s="130">
        <v>933353.9</v>
      </c>
      <c r="D119" s="130">
        <v>23520.6699999999</v>
      </c>
      <c r="E119" s="130"/>
      <c r="F119" s="109" t="s">
        <v>17</v>
      </c>
      <c r="G119" s="130">
        <v>77234069.890000001</v>
      </c>
      <c r="H119" s="130">
        <v>-20466174.989999998</v>
      </c>
      <c r="I119" s="130"/>
    </row>
    <row r="120" spans="2:9">
      <c r="B120" s="109" t="s">
        <v>114</v>
      </c>
      <c r="C120" s="130">
        <v>750170.91</v>
      </c>
      <c r="D120" s="130">
        <v>106413.85</v>
      </c>
      <c r="E120" s="130"/>
      <c r="F120" s="109" t="s">
        <v>226</v>
      </c>
      <c r="G120" s="130">
        <v>688993.07</v>
      </c>
      <c r="H120" s="130">
        <v>-688993.07</v>
      </c>
      <c r="I120" s="130"/>
    </row>
    <row r="121" spans="2:9">
      <c r="B121" s="109" t="s">
        <v>25</v>
      </c>
      <c r="C121" s="130">
        <v>1074595.43</v>
      </c>
      <c r="D121" s="130" t="s">
        <v>191</v>
      </c>
      <c r="E121" s="130"/>
      <c r="F121" s="109" t="s">
        <v>227</v>
      </c>
      <c r="G121" s="130">
        <v>1079280.52</v>
      </c>
      <c r="H121" s="130">
        <v>-270489.58</v>
      </c>
      <c r="I121" s="130"/>
    </row>
    <row r="122" spans="2:9">
      <c r="B122" s="109"/>
      <c r="C122" s="130"/>
      <c r="D122" s="130"/>
      <c r="E122" s="130"/>
      <c r="F122" s="109" t="s">
        <v>114</v>
      </c>
      <c r="G122" s="130">
        <v>450688.84</v>
      </c>
      <c r="H122" s="130">
        <v>1591744.07</v>
      </c>
      <c r="I122" s="130"/>
    </row>
    <row r="123" spans="2:9">
      <c r="B123" s="111"/>
      <c r="C123" s="138"/>
      <c r="D123" s="111"/>
      <c r="E123" s="111"/>
      <c r="F123" s="111" t="s">
        <v>25</v>
      </c>
      <c r="G123" s="111">
        <v>1108819.33</v>
      </c>
      <c r="H123" s="111" t="s">
        <v>191</v>
      </c>
      <c r="I123" s="130"/>
    </row>
    <row r="124" spans="2:9">
      <c r="B124" s="109"/>
      <c r="C124" s="130"/>
      <c r="D124" s="130"/>
      <c r="E124" s="130"/>
      <c r="F124" s="109"/>
      <c r="G124" s="130"/>
      <c r="H124" s="130"/>
      <c r="I124" s="130"/>
    </row>
    <row r="125" spans="2:9" ht="12.75" customHeight="1">
      <c r="B125" s="166"/>
      <c r="C125" s="167"/>
      <c r="D125" s="167"/>
      <c r="E125" s="167"/>
      <c r="F125" s="168"/>
      <c r="G125" s="167"/>
      <c r="H125" s="167"/>
      <c r="I125" s="167"/>
    </row>
    <row r="126" spans="2:9">
      <c r="B126" s="139"/>
      <c r="C126" s="139"/>
      <c r="D126" s="139"/>
    </row>
    <row r="127" spans="2:9">
      <c r="B127" s="108"/>
      <c r="C127" s="140">
        <v>2018</v>
      </c>
      <c r="D127" s="140">
        <v>2017</v>
      </c>
    </row>
    <row r="128" spans="2:9">
      <c r="B128" s="108"/>
      <c r="C128" s="108" t="s">
        <v>233</v>
      </c>
      <c r="D128" s="108" t="s">
        <v>233</v>
      </c>
    </row>
    <row r="129" spans="2:16">
      <c r="B129" s="141" t="s">
        <v>231</v>
      </c>
      <c r="C129" s="130">
        <v>1135.1012000000001</v>
      </c>
      <c r="D129" s="130">
        <v>736.32920000000001</v>
      </c>
    </row>
    <row r="130" spans="2:16">
      <c r="B130" s="141" t="s">
        <v>136</v>
      </c>
      <c r="C130" s="130">
        <v>188.35008199999999</v>
      </c>
      <c r="D130" s="130">
        <v>182.39728199999999</v>
      </c>
    </row>
    <row r="131" spans="2:16">
      <c r="B131" s="141" t="s">
        <v>3</v>
      </c>
      <c r="C131" s="130">
        <v>197.80779999999999</v>
      </c>
      <c r="D131" s="130">
        <v>363.06760000000003</v>
      </c>
    </row>
    <row r="132" spans="2:16">
      <c r="B132" s="141" t="s">
        <v>137</v>
      </c>
      <c r="C132" s="130">
        <v>196.27600000000001</v>
      </c>
      <c r="D132" s="130">
        <v>216.17</v>
      </c>
    </row>
    <row r="133" spans="2:16">
      <c r="B133" s="142" t="s">
        <v>232</v>
      </c>
      <c r="C133" s="143">
        <v>25.190899999999999</v>
      </c>
      <c r="D133" s="143">
        <v>13.638400000000001</v>
      </c>
    </row>
    <row r="135" spans="2:16">
      <c r="B135" s="106" t="s">
        <v>148</v>
      </c>
    </row>
    <row r="136" spans="2:16">
      <c r="B136" s="140"/>
      <c r="C136" s="140" t="s">
        <v>31</v>
      </c>
      <c r="D136" s="140" t="s">
        <v>122</v>
      </c>
      <c r="E136" s="140" t="s">
        <v>122</v>
      </c>
      <c r="F136" s="140" t="s">
        <v>122</v>
      </c>
      <c r="G136" s="140" t="s">
        <v>122</v>
      </c>
      <c r="H136" s="140" t="s">
        <v>122</v>
      </c>
      <c r="I136" s="140" t="s">
        <v>122</v>
      </c>
      <c r="J136" s="140" t="s">
        <v>122</v>
      </c>
      <c r="K136" s="140" t="s">
        <v>122</v>
      </c>
      <c r="L136" s="140" t="s">
        <v>122</v>
      </c>
      <c r="M136" s="140" t="s">
        <v>122</v>
      </c>
      <c r="N136" s="140" t="s">
        <v>122</v>
      </c>
      <c r="O136" s="140" t="s">
        <v>122</v>
      </c>
      <c r="P136" s="106" t="s">
        <v>122</v>
      </c>
    </row>
    <row r="137" spans="2:16">
      <c r="B137" s="140"/>
      <c r="C137" s="140" t="s">
        <v>119</v>
      </c>
      <c r="D137" s="140" t="s">
        <v>206</v>
      </c>
      <c r="E137" s="140" t="s">
        <v>207</v>
      </c>
      <c r="F137" s="140" t="s">
        <v>208</v>
      </c>
      <c r="G137" s="140" t="s">
        <v>209</v>
      </c>
      <c r="H137" s="140" t="s">
        <v>210</v>
      </c>
      <c r="I137" s="140" t="s">
        <v>211</v>
      </c>
      <c r="J137" s="140" t="s">
        <v>212</v>
      </c>
      <c r="K137" s="140" t="s">
        <v>213</v>
      </c>
      <c r="L137" s="140" t="s">
        <v>214</v>
      </c>
      <c r="M137" s="140" t="s">
        <v>215</v>
      </c>
      <c r="N137" s="140" t="s">
        <v>216</v>
      </c>
      <c r="O137" s="140" t="s">
        <v>217</v>
      </c>
      <c r="P137" s="140" t="s">
        <v>218</v>
      </c>
    </row>
    <row r="138" spans="2:16">
      <c r="B138" s="140" t="s">
        <v>123</v>
      </c>
      <c r="C138" s="140" t="s">
        <v>124</v>
      </c>
      <c r="D138" s="140" t="s">
        <v>9</v>
      </c>
      <c r="E138" s="140" t="s">
        <v>9</v>
      </c>
      <c r="F138" s="140" t="s">
        <v>8</v>
      </c>
      <c r="G138" s="140" t="s">
        <v>10</v>
      </c>
      <c r="H138" s="140" t="s">
        <v>11</v>
      </c>
      <c r="I138" s="140" t="s">
        <v>12</v>
      </c>
      <c r="J138" s="140" t="s">
        <v>13</v>
      </c>
      <c r="K138" s="140" t="s">
        <v>5</v>
      </c>
      <c r="L138" s="140" t="s">
        <v>6</v>
      </c>
      <c r="M138" s="140" t="s">
        <v>7</v>
      </c>
      <c r="N138" s="140" t="s">
        <v>8</v>
      </c>
      <c r="O138" s="140" t="s">
        <v>7</v>
      </c>
      <c r="P138" s="140" t="s">
        <v>9</v>
      </c>
    </row>
    <row r="139" spans="2:16">
      <c r="B139" s="109" t="s">
        <v>158</v>
      </c>
      <c r="C139" s="109" t="s">
        <v>22</v>
      </c>
      <c r="D139" s="130">
        <v>240</v>
      </c>
      <c r="E139" s="130">
        <v>245</v>
      </c>
      <c r="F139" s="130">
        <v>714.3</v>
      </c>
      <c r="G139" s="130">
        <v>1903.2</v>
      </c>
      <c r="H139" s="130">
        <v>1865.1</v>
      </c>
      <c r="I139" s="130">
        <v>1458.4</v>
      </c>
      <c r="J139" s="130">
        <v>237.7</v>
      </c>
      <c r="K139" s="130">
        <v>0</v>
      </c>
      <c r="L139" s="130">
        <v>0</v>
      </c>
      <c r="M139" s="130">
        <v>790</v>
      </c>
      <c r="N139" s="130">
        <v>0</v>
      </c>
      <c r="O139" s="130">
        <v>6699</v>
      </c>
      <c r="P139" s="130">
        <v>0</v>
      </c>
    </row>
    <row r="140" spans="2:16">
      <c r="B140" s="109" t="s">
        <v>158</v>
      </c>
      <c r="C140" s="109" t="s">
        <v>234</v>
      </c>
      <c r="D140" s="130">
        <v>176734.4</v>
      </c>
      <c r="E140" s="130">
        <v>221645.5</v>
      </c>
      <c r="F140" s="130">
        <v>424631</v>
      </c>
      <c r="G140" s="130">
        <v>419522.2</v>
      </c>
      <c r="H140" s="130">
        <v>195163.5</v>
      </c>
      <c r="I140" s="130">
        <v>99779.8</v>
      </c>
      <c r="J140" s="130">
        <v>195559</v>
      </c>
      <c r="K140" s="130">
        <v>323414.2</v>
      </c>
      <c r="L140" s="130">
        <v>176086.6</v>
      </c>
      <c r="M140" s="130">
        <v>469679.3</v>
      </c>
      <c r="N140" s="130">
        <v>637382</v>
      </c>
      <c r="O140" s="130">
        <v>356322</v>
      </c>
      <c r="P140" s="130">
        <v>368722</v>
      </c>
    </row>
    <row r="141" spans="2:16">
      <c r="B141" s="109" t="s">
        <v>158</v>
      </c>
      <c r="C141" s="109" t="s">
        <v>26</v>
      </c>
      <c r="D141" s="130">
        <v>535700.19999999995</v>
      </c>
      <c r="E141" s="130">
        <v>612390.30000000005</v>
      </c>
      <c r="F141" s="130">
        <v>842008.2</v>
      </c>
      <c r="G141" s="130">
        <v>659557.1</v>
      </c>
      <c r="H141" s="130">
        <v>613794.4</v>
      </c>
      <c r="I141" s="130">
        <v>428275.6</v>
      </c>
      <c r="J141" s="130">
        <v>499810.1</v>
      </c>
      <c r="K141" s="130">
        <v>535924.4</v>
      </c>
      <c r="L141" s="130">
        <v>587965.4</v>
      </c>
      <c r="M141" s="130">
        <v>766935.8</v>
      </c>
      <c r="N141" s="130">
        <v>653437.19999999995</v>
      </c>
      <c r="O141" s="130">
        <v>688216.9</v>
      </c>
      <c r="P141" s="130">
        <v>680942.3</v>
      </c>
    </row>
    <row r="142" spans="2:16">
      <c r="B142" s="109" t="s">
        <v>158</v>
      </c>
      <c r="C142" s="109" t="s">
        <v>235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1096.8</v>
      </c>
      <c r="N142" s="130">
        <v>0</v>
      </c>
      <c r="O142" s="130">
        <v>0</v>
      </c>
      <c r="P142" s="130">
        <v>0</v>
      </c>
    </row>
    <row r="143" spans="2:16">
      <c r="B143" s="109" t="s">
        <v>158</v>
      </c>
      <c r="C143" s="109" t="s">
        <v>236</v>
      </c>
      <c r="D143" s="130">
        <v>0</v>
      </c>
      <c r="E143" s="130">
        <v>1709.9</v>
      </c>
      <c r="F143" s="130">
        <v>227.4</v>
      </c>
      <c r="G143" s="130">
        <v>2247.5</v>
      </c>
      <c r="H143" s="130">
        <v>2877.8</v>
      </c>
      <c r="I143" s="130">
        <v>370</v>
      </c>
      <c r="J143" s="130">
        <v>0</v>
      </c>
      <c r="K143" s="130">
        <v>0</v>
      </c>
      <c r="L143" s="130">
        <v>0</v>
      </c>
      <c r="M143" s="130">
        <v>0</v>
      </c>
      <c r="N143" s="130">
        <v>1000</v>
      </c>
      <c r="O143" s="130">
        <v>5321</v>
      </c>
      <c r="P143" s="130">
        <v>583.4</v>
      </c>
    </row>
    <row r="144" spans="2:16">
      <c r="B144" s="109" t="s">
        <v>158</v>
      </c>
      <c r="C144" s="120" t="s">
        <v>0</v>
      </c>
      <c r="D144" s="121">
        <v>712674.6</v>
      </c>
      <c r="E144" s="121">
        <v>835990.7</v>
      </c>
      <c r="F144" s="121">
        <v>1267580.8999999999</v>
      </c>
      <c r="G144" s="121">
        <v>1083230</v>
      </c>
      <c r="H144" s="121">
        <v>813700.8</v>
      </c>
      <c r="I144" s="121">
        <v>529883.80000000005</v>
      </c>
      <c r="J144" s="121">
        <v>695606.8</v>
      </c>
      <c r="K144" s="121">
        <v>859338.6</v>
      </c>
      <c r="L144" s="121">
        <v>764052</v>
      </c>
      <c r="M144" s="121">
        <v>1238501.8999999999</v>
      </c>
      <c r="N144" s="121">
        <v>1291819.2</v>
      </c>
      <c r="O144" s="121">
        <v>1056558.8999999999</v>
      </c>
      <c r="P144" s="121">
        <v>1050247.7</v>
      </c>
    </row>
    <row r="145" spans="2:16">
      <c r="B145" s="109" t="s">
        <v>159</v>
      </c>
      <c r="C145" s="109" t="s">
        <v>22</v>
      </c>
      <c r="D145" s="130">
        <v>70</v>
      </c>
      <c r="E145" s="130">
        <v>36</v>
      </c>
      <c r="F145" s="130">
        <v>0</v>
      </c>
      <c r="G145" s="130">
        <v>4762.5</v>
      </c>
      <c r="H145" s="130">
        <v>54.3</v>
      </c>
      <c r="I145" s="130">
        <v>428.4</v>
      </c>
      <c r="J145" s="130">
        <v>0</v>
      </c>
      <c r="K145" s="130">
        <v>0</v>
      </c>
      <c r="L145" s="130">
        <v>563.70000000000005</v>
      </c>
      <c r="M145" s="130">
        <v>0</v>
      </c>
      <c r="N145" s="130">
        <v>637</v>
      </c>
      <c r="O145" s="130">
        <v>1645.3</v>
      </c>
      <c r="P145" s="130">
        <v>764.8</v>
      </c>
    </row>
    <row r="146" spans="2:16">
      <c r="B146" s="109" t="s">
        <v>159</v>
      </c>
      <c r="C146" s="109" t="s">
        <v>237</v>
      </c>
      <c r="D146" s="130">
        <v>0</v>
      </c>
      <c r="E146" s="130">
        <v>2822.9</v>
      </c>
      <c r="F146" s="130">
        <v>5090.1000000000004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200</v>
      </c>
      <c r="N146" s="130">
        <v>3504.5</v>
      </c>
      <c r="O146" s="130">
        <v>11565.1</v>
      </c>
      <c r="P146" s="130">
        <v>27154.6</v>
      </c>
    </row>
    <row r="147" spans="2:16">
      <c r="B147" s="109" t="s">
        <v>159</v>
      </c>
      <c r="C147" s="109" t="s">
        <v>234</v>
      </c>
      <c r="D147" s="130">
        <v>8771</v>
      </c>
      <c r="E147" s="130">
        <v>66423</v>
      </c>
      <c r="F147" s="130">
        <v>75870.399999999994</v>
      </c>
      <c r="G147" s="130">
        <v>802.5</v>
      </c>
      <c r="H147" s="130">
        <v>7913</v>
      </c>
      <c r="I147" s="130">
        <v>9798</v>
      </c>
      <c r="J147" s="130">
        <v>40570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4460</v>
      </c>
    </row>
    <row r="148" spans="2:16">
      <c r="B148" s="109" t="s">
        <v>159</v>
      </c>
      <c r="C148" s="109" t="s">
        <v>26</v>
      </c>
      <c r="D148" s="130">
        <v>12552</v>
      </c>
      <c r="E148" s="130">
        <v>75034.899999999994</v>
      </c>
      <c r="F148" s="130">
        <v>123130.8</v>
      </c>
      <c r="G148" s="130">
        <v>67762.600000000006</v>
      </c>
      <c r="H148" s="130">
        <v>45184</v>
      </c>
      <c r="I148" s="130">
        <v>18106.5</v>
      </c>
      <c r="J148" s="130">
        <v>3247</v>
      </c>
      <c r="K148" s="130">
        <v>1230</v>
      </c>
      <c r="L148" s="130">
        <v>16736</v>
      </c>
      <c r="M148" s="130">
        <v>0</v>
      </c>
      <c r="N148" s="130">
        <v>0</v>
      </c>
      <c r="O148" s="130">
        <v>27663.3</v>
      </c>
      <c r="P148" s="130">
        <v>52106</v>
      </c>
    </row>
    <row r="149" spans="2:16">
      <c r="B149" s="109" t="s">
        <v>159</v>
      </c>
      <c r="C149" s="109" t="s">
        <v>238</v>
      </c>
      <c r="D149" s="130">
        <v>1652.9</v>
      </c>
      <c r="E149" s="130">
        <v>19943.3</v>
      </c>
      <c r="F149" s="130">
        <v>1278.3</v>
      </c>
      <c r="G149" s="130">
        <v>9561.7000000000007</v>
      </c>
      <c r="H149" s="130">
        <v>2732.2</v>
      </c>
      <c r="I149" s="130">
        <v>568.29999999999995</v>
      </c>
      <c r="J149" s="130">
        <v>1377.6</v>
      </c>
      <c r="K149" s="130">
        <v>0</v>
      </c>
      <c r="L149" s="130">
        <v>1262.8</v>
      </c>
      <c r="M149" s="130">
        <v>2064.3000000000002</v>
      </c>
      <c r="N149" s="130">
        <v>855.2</v>
      </c>
      <c r="O149" s="130">
        <v>18.7</v>
      </c>
      <c r="P149" s="130">
        <v>368.1</v>
      </c>
    </row>
    <row r="150" spans="2:16">
      <c r="B150" s="109" t="s">
        <v>159</v>
      </c>
      <c r="C150" s="109" t="s">
        <v>239</v>
      </c>
      <c r="D150" s="130">
        <v>0</v>
      </c>
      <c r="E150" s="130">
        <v>1820.4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25.9</v>
      </c>
      <c r="M150" s="130">
        <v>0</v>
      </c>
      <c r="N150" s="130">
        <v>0</v>
      </c>
      <c r="O150" s="130">
        <v>8</v>
      </c>
      <c r="P150" s="130">
        <v>0</v>
      </c>
    </row>
    <row r="151" spans="2:16">
      <c r="B151" s="109" t="s">
        <v>159</v>
      </c>
      <c r="C151" s="109" t="s">
        <v>240</v>
      </c>
      <c r="D151" s="130">
        <v>608.70000000000005</v>
      </c>
      <c r="E151" s="130">
        <v>0</v>
      </c>
      <c r="F151" s="130">
        <v>0</v>
      </c>
      <c r="G151" s="130">
        <v>0</v>
      </c>
      <c r="H151" s="130">
        <v>784</v>
      </c>
      <c r="I151" s="130">
        <v>944</v>
      </c>
      <c r="J151" s="130">
        <v>0</v>
      </c>
      <c r="K151" s="130">
        <v>0</v>
      </c>
      <c r="L151" s="130">
        <v>0.7</v>
      </c>
      <c r="M151" s="130">
        <v>0</v>
      </c>
      <c r="N151" s="130">
        <v>0</v>
      </c>
      <c r="O151" s="130">
        <v>221.4</v>
      </c>
      <c r="P151" s="130">
        <v>0</v>
      </c>
    </row>
    <row r="152" spans="2:16">
      <c r="B152" s="109" t="s">
        <v>159</v>
      </c>
      <c r="C152" s="109" t="s">
        <v>241</v>
      </c>
      <c r="D152" s="130">
        <v>0</v>
      </c>
      <c r="E152" s="130">
        <v>910.1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74</v>
      </c>
      <c r="P152" s="130">
        <v>0</v>
      </c>
    </row>
    <row r="153" spans="2:16">
      <c r="B153" s="109" t="s">
        <v>159</v>
      </c>
      <c r="C153" s="109" t="s">
        <v>235</v>
      </c>
      <c r="D153" s="130">
        <v>0</v>
      </c>
      <c r="E153" s="130">
        <v>0</v>
      </c>
      <c r="F153" s="130">
        <v>288.39999999999998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</row>
    <row r="154" spans="2:16">
      <c r="B154" s="109" t="s">
        <v>159</v>
      </c>
      <c r="C154" s="120" t="s">
        <v>0</v>
      </c>
      <c r="D154" s="121">
        <v>23654.6</v>
      </c>
      <c r="E154" s="121">
        <v>166990.6</v>
      </c>
      <c r="F154" s="121">
        <v>205658</v>
      </c>
      <c r="G154" s="121">
        <v>82889.3</v>
      </c>
      <c r="H154" s="121">
        <v>56667.5</v>
      </c>
      <c r="I154" s="121">
        <v>29845.200000000001</v>
      </c>
      <c r="J154" s="121">
        <v>45194.6</v>
      </c>
      <c r="K154" s="121">
        <v>1230</v>
      </c>
      <c r="L154" s="121">
        <v>18589.099999999999</v>
      </c>
      <c r="M154" s="121">
        <v>2264.3000000000002</v>
      </c>
      <c r="N154" s="121">
        <v>4996.7</v>
      </c>
      <c r="O154" s="121">
        <v>41195.800000000003</v>
      </c>
      <c r="P154" s="121">
        <v>84853.5</v>
      </c>
    </row>
    <row r="155" spans="2:16">
      <c r="B155" s="109"/>
      <c r="C155" s="10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09"/>
      <c r="C156" s="10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09"/>
      <c r="C157" s="109"/>
      <c r="D157" s="130">
        <v>69.048564800799994</v>
      </c>
      <c r="E157" s="130">
        <v>78.254490438700003</v>
      </c>
      <c r="F157" s="130">
        <v>77.994650132399997</v>
      </c>
      <c r="G157" s="130">
        <v>76.517602623599998</v>
      </c>
      <c r="H157" s="130">
        <v>81.795735348899996</v>
      </c>
      <c r="I157" s="130">
        <v>84.904646773500005</v>
      </c>
      <c r="J157" s="130">
        <v>84.624577850600005</v>
      </c>
      <c r="K157" s="130">
        <v>74.514763412199997</v>
      </c>
      <c r="L157" s="130">
        <v>78.626601016699993</v>
      </c>
      <c r="M157" s="130">
        <v>93.5007353158</v>
      </c>
      <c r="N157" s="130">
        <v>83.062835728099998</v>
      </c>
      <c r="O157" s="130">
        <v>92.308901434600003</v>
      </c>
      <c r="P157" s="130">
        <v>86.571554243799994</v>
      </c>
    </row>
    <row r="158" spans="2:16">
      <c r="B158" s="111"/>
      <c r="C158" s="111"/>
      <c r="D158" s="143">
        <v>55.270262020899999</v>
      </c>
      <c r="E158" s="143">
        <v>48.6004134963</v>
      </c>
      <c r="F158" s="143">
        <v>49.077318314899998</v>
      </c>
      <c r="G158" s="143">
        <v>48.041428748900003</v>
      </c>
      <c r="H158" s="143">
        <v>55.133704327899999</v>
      </c>
      <c r="I158" s="143">
        <v>59.679777987800001</v>
      </c>
      <c r="J158" s="143">
        <v>74.139002447199999</v>
      </c>
      <c r="K158" s="143">
        <v>62.761666666700002</v>
      </c>
      <c r="L158" s="143">
        <v>56.593756556300001</v>
      </c>
      <c r="M158" s="143">
        <v>51.773647484900003</v>
      </c>
      <c r="N158" s="143">
        <v>52.901807192699998</v>
      </c>
      <c r="O158" s="143">
        <v>52.979316580800003</v>
      </c>
      <c r="P158" s="143">
        <v>57.660479296699997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2">
        <f>(P144-D144)/D144</f>
        <v>0.47367073275797955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2">
        <f>(P154-D154)/D154</f>
        <v>2.5871881156307865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2">
        <f>((P144+ABS(P154))-(D144+ABS(D154)))/(D144+ABS(D154))</f>
        <v>0.54156754886265546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2">
        <f>(P157-D157)/D157</f>
        <v>0.25377775039282174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2">
        <f>(P158-D158)/D158</f>
        <v>4.3245991395809862E-2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60:G61"/>
    <mergeCell ref="H60:H61"/>
    <mergeCell ref="I60:I61"/>
    <mergeCell ref="J60:J61"/>
    <mergeCell ref="C60:C61"/>
    <mergeCell ref="D60:D61"/>
    <mergeCell ref="E60:E61"/>
    <mergeCell ref="F60:F61"/>
    <mergeCell ref="G43:G44"/>
    <mergeCell ref="H43:H44"/>
    <mergeCell ref="I43:I44"/>
    <mergeCell ref="J43:J44"/>
    <mergeCell ref="C43:C44"/>
    <mergeCell ref="D43:D44"/>
    <mergeCell ref="E43:E44"/>
    <mergeCell ref="F43:F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T179"/>
  <sheetViews>
    <sheetView showGridLines="0" showRowColHeaders="0" topLeftCell="A115" workbookViewId="0">
      <selection activeCell="O155" sqref="O155"/>
    </sheetView>
  </sheetViews>
  <sheetFormatPr baseColWidth="10" defaultRowHeight="12.75"/>
  <cols>
    <col min="1" max="1" width="11.42578125" style="107"/>
    <col min="2" max="2" width="23.42578125" style="107" bestFit="1" customWidth="1"/>
    <col min="3" max="3" width="19.28515625" style="107" bestFit="1" customWidth="1"/>
    <col min="4" max="16384" width="11.42578125" style="107"/>
  </cols>
  <sheetData>
    <row r="2" spans="2:15">
      <c r="B2" s="106" t="s">
        <v>149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9</v>
      </c>
      <c r="C3" s="108" t="s">
        <v>9</v>
      </c>
      <c r="D3" s="108" t="s">
        <v>8</v>
      </c>
      <c r="E3" s="108" t="s">
        <v>10</v>
      </c>
      <c r="F3" s="108" t="s">
        <v>11</v>
      </c>
      <c r="G3" s="108" t="s">
        <v>12</v>
      </c>
      <c r="H3" s="108" t="s">
        <v>13</v>
      </c>
      <c r="I3" s="108" t="s">
        <v>5</v>
      </c>
      <c r="J3" s="108" t="s">
        <v>6</v>
      </c>
      <c r="K3" s="108" t="s">
        <v>7</v>
      </c>
      <c r="L3" s="108" t="s">
        <v>8</v>
      </c>
      <c r="M3" s="108" t="s">
        <v>7</v>
      </c>
      <c r="N3" s="108" t="s">
        <v>9</v>
      </c>
      <c r="O3" s="108"/>
    </row>
    <row r="4" spans="2:15">
      <c r="B4" s="106" t="s">
        <v>119</v>
      </c>
      <c r="C4" s="106" t="s">
        <v>206</v>
      </c>
      <c r="D4" s="106" t="s">
        <v>207</v>
      </c>
      <c r="E4" s="106" t="s">
        <v>208</v>
      </c>
      <c r="F4" s="106" t="s">
        <v>209</v>
      </c>
      <c r="G4" s="106" t="s">
        <v>210</v>
      </c>
      <c r="H4" s="106" t="s">
        <v>211</v>
      </c>
      <c r="I4" s="106" t="s">
        <v>212</v>
      </c>
      <c r="J4" s="106" t="s">
        <v>213</v>
      </c>
      <c r="K4" s="106" t="s">
        <v>214</v>
      </c>
      <c r="L4" s="106" t="s">
        <v>215</v>
      </c>
      <c r="M4" s="106" t="s">
        <v>216</v>
      </c>
      <c r="N4" s="106" t="s">
        <v>217</v>
      </c>
      <c r="O4" s="106" t="s">
        <v>218</v>
      </c>
    </row>
    <row r="5" spans="2:15">
      <c r="B5" s="108" t="s">
        <v>31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680.75416666670003</v>
      </c>
      <c r="D6" s="110">
        <v>681.72177419349998</v>
      </c>
      <c r="E6" s="110">
        <v>685.08333333329995</v>
      </c>
      <c r="F6" s="110">
        <v>666.50138888890001</v>
      </c>
      <c r="G6" s="110">
        <v>686.99597315439996</v>
      </c>
      <c r="H6" s="110">
        <v>674.33472222219996</v>
      </c>
      <c r="I6" s="110">
        <v>695.75403225809998</v>
      </c>
      <c r="J6" s="110">
        <v>703.82795698919995</v>
      </c>
      <c r="K6" s="110">
        <v>654.95089285710003</v>
      </c>
      <c r="L6" s="110">
        <v>647.68775235529995</v>
      </c>
      <c r="M6" s="110">
        <v>622.90138888889999</v>
      </c>
      <c r="N6" s="110">
        <v>591.48118279569997</v>
      </c>
      <c r="O6" s="110">
        <v>578.10694444440003</v>
      </c>
    </row>
    <row r="7" spans="2:15">
      <c r="B7" s="109" t="s">
        <v>126</v>
      </c>
      <c r="C7" s="110">
        <v>519.46388888889999</v>
      </c>
      <c r="D7" s="110">
        <v>510.7446236559</v>
      </c>
      <c r="E7" s="110">
        <v>512.12365591399998</v>
      </c>
      <c r="F7" s="110">
        <v>507.34166666670001</v>
      </c>
      <c r="G7" s="110">
        <v>513.58791946309998</v>
      </c>
      <c r="H7" s="110">
        <v>515.54861111109994</v>
      </c>
      <c r="I7" s="110">
        <v>519.92069892469999</v>
      </c>
      <c r="J7" s="110">
        <v>531.33064516130003</v>
      </c>
      <c r="K7" s="110">
        <v>542.02380952379997</v>
      </c>
      <c r="L7" s="110">
        <v>539.13593539700003</v>
      </c>
      <c r="M7" s="110">
        <v>527.75833333330002</v>
      </c>
      <c r="N7" s="110">
        <v>513.52016129030005</v>
      </c>
      <c r="O7" s="110">
        <v>497.17222222219999</v>
      </c>
    </row>
    <row r="8" spans="2:15">
      <c r="B8" s="111" t="s">
        <v>127</v>
      </c>
      <c r="C8" s="182">
        <v>11.9237809565</v>
      </c>
      <c r="D8" s="182">
        <v>10.3340536748</v>
      </c>
      <c r="E8" s="182">
        <v>10.640429382000001</v>
      </c>
      <c r="F8" s="182">
        <v>10.716390382</v>
      </c>
      <c r="G8" s="182">
        <v>17.145887023699999</v>
      </c>
      <c r="H8" s="182">
        <v>13.6975213023</v>
      </c>
      <c r="I8" s="182">
        <v>21.612955502799998</v>
      </c>
      <c r="J8" s="182">
        <v>15.876601324499999</v>
      </c>
      <c r="K8" s="182">
        <v>11.467495272700001</v>
      </c>
      <c r="L8" s="182">
        <v>20.438702328200002</v>
      </c>
      <c r="M8" s="182">
        <v>14.863517378299999</v>
      </c>
      <c r="N8" s="182">
        <v>11.7691759607</v>
      </c>
      <c r="O8" s="182">
        <v>12.0123058224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2">
        <f>(O6-C6)/C6</f>
        <v>-0.15078456695301654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2">
        <f>(O8-C8)/C8</f>
        <v>7.424227786719171E-3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2017</v>
      </c>
      <c r="J16" s="117">
        <v>2018</v>
      </c>
      <c r="K16" s="117">
        <v>2018</v>
      </c>
      <c r="L16" s="117">
        <v>2018</v>
      </c>
      <c r="M16" s="117">
        <v>2018</v>
      </c>
      <c r="N16" s="117">
        <v>2018</v>
      </c>
      <c r="O16" s="117">
        <v>2018</v>
      </c>
    </row>
    <row r="17" spans="2:20">
      <c r="B17" s="106" t="s">
        <v>119</v>
      </c>
      <c r="C17" s="106" t="s">
        <v>206</v>
      </c>
      <c r="D17" s="106" t="s">
        <v>207</v>
      </c>
      <c r="E17" s="106" t="s">
        <v>208</v>
      </c>
      <c r="F17" s="106" t="s">
        <v>209</v>
      </c>
      <c r="G17" s="106" t="s">
        <v>210</v>
      </c>
      <c r="H17" s="106" t="s">
        <v>211</v>
      </c>
      <c r="I17" s="106" t="s">
        <v>212</v>
      </c>
      <c r="J17" s="106" t="s">
        <v>213</v>
      </c>
      <c r="K17" s="106" t="s">
        <v>214</v>
      </c>
      <c r="L17" s="106" t="s">
        <v>215</v>
      </c>
      <c r="M17" s="106" t="s">
        <v>216</v>
      </c>
      <c r="N17" s="106" t="s">
        <v>217</v>
      </c>
      <c r="O17" s="106" t="s">
        <v>218</v>
      </c>
    </row>
    <row r="18" spans="2:20">
      <c r="B18" s="108" t="s">
        <v>31</v>
      </c>
      <c r="C18" s="108" t="s">
        <v>9</v>
      </c>
      <c r="D18" s="108" t="s">
        <v>9</v>
      </c>
      <c r="E18" s="108" t="s">
        <v>8</v>
      </c>
      <c r="F18" s="108" t="s">
        <v>10</v>
      </c>
      <c r="G18" s="108" t="s">
        <v>11</v>
      </c>
      <c r="H18" s="108" t="s">
        <v>12</v>
      </c>
      <c r="I18" s="108" t="s">
        <v>13</v>
      </c>
      <c r="J18" s="108" t="s">
        <v>5</v>
      </c>
      <c r="K18" s="108" t="s">
        <v>6</v>
      </c>
      <c r="L18" s="108" t="s">
        <v>7</v>
      </c>
      <c r="M18" s="108" t="s">
        <v>8</v>
      </c>
      <c r="N18" s="108" t="s">
        <v>7</v>
      </c>
      <c r="O18" s="108" t="s">
        <v>9</v>
      </c>
    </row>
    <row r="19" spans="2:20">
      <c r="B19" s="109" t="s">
        <v>242</v>
      </c>
      <c r="C19" s="110">
        <v>94559.540999999997</v>
      </c>
      <c r="D19" s="110">
        <v>85673.202000000005</v>
      </c>
      <c r="E19" s="110">
        <v>81536.076000000001</v>
      </c>
      <c r="F19" s="110">
        <v>75102.289000000004</v>
      </c>
      <c r="G19" s="110">
        <v>65089.595000000001</v>
      </c>
      <c r="H19" s="110">
        <v>72290.070000000007</v>
      </c>
      <c r="I19" s="110">
        <v>81049.796000000002</v>
      </c>
      <c r="J19" s="110">
        <v>106846.751</v>
      </c>
      <c r="K19" s="110">
        <v>95118.278999999995</v>
      </c>
      <c r="L19" s="110">
        <v>142766.35800000001</v>
      </c>
      <c r="M19" s="110">
        <v>118380.448</v>
      </c>
      <c r="N19" s="110">
        <v>119519.43</v>
      </c>
      <c r="O19" s="110">
        <v>103391.872</v>
      </c>
    </row>
    <row r="20" spans="2:20">
      <c r="B20" s="111" t="s">
        <v>243</v>
      </c>
      <c r="C20" s="183">
        <v>87837.740999999995</v>
      </c>
      <c r="D20" s="183">
        <v>115472.265</v>
      </c>
      <c r="E20" s="183">
        <v>110945.08</v>
      </c>
      <c r="F20" s="183">
        <v>109933.033</v>
      </c>
      <c r="G20" s="183">
        <v>138127.981</v>
      </c>
      <c r="H20" s="183">
        <v>138345.883</v>
      </c>
      <c r="I20" s="183">
        <v>143556.52499999999</v>
      </c>
      <c r="J20" s="183">
        <v>117527.05499999999</v>
      </c>
      <c r="K20" s="183">
        <v>136637.182</v>
      </c>
      <c r="L20" s="183">
        <v>102576.868</v>
      </c>
      <c r="M20" s="183">
        <v>92295.144</v>
      </c>
      <c r="N20" s="183">
        <v>77249.592999999993</v>
      </c>
      <c r="O20" s="183">
        <v>84958.21</v>
      </c>
    </row>
    <row r="21" spans="2:20">
      <c r="B21" s="112"/>
      <c r="C21" s="183">
        <f t="shared" ref="C21:O21" si="0">-C20</f>
        <v>-87837.740999999995</v>
      </c>
      <c r="D21" s="183">
        <f t="shared" si="0"/>
        <v>-115472.265</v>
      </c>
      <c r="E21" s="183">
        <f t="shared" si="0"/>
        <v>-110945.08</v>
      </c>
      <c r="F21" s="183">
        <f t="shared" si="0"/>
        <v>-109933.033</v>
      </c>
      <c r="G21" s="183">
        <f t="shared" si="0"/>
        <v>-138127.981</v>
      </c>
      <c r="H21" s="183">
        <f t="shared" si="0"/>
        <v>-138345.883</v>
      </c>
      <c r="I21" s="183">
        <f t="shared" si="0"/>
        <v>-143556.52499999999</v>
      </c>
      <c r="J21" s="183">
        <f t="shared" si="0"/>
        <v>-117527.05499999999</v>
      </c>
      <c r="K21" s="183">
        <f t="shared" si="0"/>
        <v>-136637.182</v>
      </c>
      <c r="L21" s="183">
        <f t="shared" si="0"/>
        <v>-102576.868</v>
      </c>
      <c r="M21" s="183">
        <f t="shared" si="0"/>
        <v>-92295.144</v>
      </c>
      <c r="N21" s="183">
        <f t="shared" si="0"/>
        <v>-77249.592999999993</v>
      </c>
      <c r="O21" s="183">
        <f t="shared" si="0"/>
        <v>-84958.21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4">
        <v>52.547676812399999</v>
      </c>
      <c r="D23" s="174">
        <v>50.083044053800002</v>
      </c>
      <c r="E23" s="174">
        <v>47.756106266400003</v>
      </c>
      <c r="F23" s="174">
        <v>50.449034516099999</v>
      </c>
      <c r="G23" s="174">
        <v>58.357759792499998</v>
      </c>
      <c r="H23" s="174">
        <v>62.377222902100002</v>
      </c>
      <c r="I23" s="174">
        <v>61.842100256499997</v>
      </c>
      <c r="J23" s="174">
        <v>51.707705552999997</v>
      </c>
      <c r="K23" s="174">
        <v>57.0513155521</v>
      </c>
      <c r="L23" s="174">
        <v>47.7017188461</v>
      </c>
      <c r="M23" s="174">
        <v>48.565099365099996</v>
      </c>
      <c r="N23" s="174">
        <v>57.697992953899998</v>
      </c>
      <c r="O23" s="174">
        <v>58.662034477900001</v>
      </c>
    </row>
    <row r="24" spans="2:20">
      <c r="B24" s="111" t="s">
        <v>71</v>
      </c>
      <c r="C24" s="175">
        <v>42.375364024900001</v>
      </c>
      <c r="D24" s="175">
        <v>40.013761746199997</v>
      </c>
      <c r="E24" s="175">
        <v>38.090010931499997</v>
      </c>
      <c r="F24" s="175">
        <v>39.002468893900001</v>
      </c>
      <c r="G24" s="175">
        <v>45.204191538899998</v>
      </c>
      <c r="H24" s="175">
        <v>53.3716975878</v>
      </c>
      <c r="I24" s="175">
        <v>52.298940365100002</v>
      </c>
      <c r="J24" s="175">
        <v>40.975879979299997</v>
      </c>
      <c r="K24" s="175">
        <v>45.528719920500002</v>
      </c>
      <c r="L24" s="175">
        <v>32.443740824700001</v>
      </c>
      <c r="M24" s="175">
        <v>31.2592988641</v>
      </c>
      <c r="N24" s="175">
        <v>50.325493106499998</v>
      </c>
      <c r="O24" s="175">
        <v>52.233807656700002</v>
      </c>
    </row>
    <row r="25" spans="2:20" ht="15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3"/>
    </row>
    <row r="26" spans="2:20" ht="15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2">
        <f>(O19-C19)/C19</f>
        <v>9.3404969044847685E-2</v>
      </c>
      <c r="T26" s="168"/>
    </row>
    <row r="27" spans="2:20" ht="15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2">
        <f>(O20-C20)/C20</f>
        <v>-3.2782389064399869E-2</v>
      </c>
    </row>
    <row r="28" spans="2:20" ht="15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2">
        <f>((O19+O20)-(C19+C20))/(C19+C20)</f>
        <v>3.2636451238346791E-2</v>
      </c>
    </row>
    <row r="29" spans="2:20" ht="15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2">
        <f>(O23-C23)/C23</f>
        <v>0.11635828710998616</v>
      </c>
    </row>
    <row r="30" spans="2:20" ht="15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2">
        <f>(O24-C24)/C24</f>
        <v>0.23264563877273417</v>
      </c>
    </row>
    <row r="32" spans="2:20">
      <c r="B32" s="106" t="s">
        <v>150</v>
      </c>
    </row>
    <row r="33" spans="2:16">
      <c r="B33" s="108"/>
      <c r="C33" s="108" t="s">
        <v>31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206</v>
      </c>
      <c r="E34" s="108" t="s">
        <v>207</v>
      </c>
      <c r="F34" s="108" t="s">
        <v>208</v>
      </c>
      <c r="G34" s="108" t="s">
        <v>209</v>
      </c>
      <c r="H34" s="108" t="s">
        <v>210</v>
      </c>
      <c r="I34" s="108" t="s">
        <v>211</v>
      </c>
      <c r="J34" s="108" t="s">
        <v>212</v>
      </c>
      <c r="K34" s="108" t="s">
        <v>213</v>
      </c>
      <c r="L34" s="108" t="s">
        <v>214</v>
      </c>
      <c r="M34" s="108" t="s">
        <v>215</v>
      </c>
      <c r="N34" s="108" t="s">
        <v>216</v>
      </c>
      <c r="O34" s="108" t="s">
        <v>217</v>
      </c>
      <c r="P34" s="108" t="s">
        <v>218</v>
      </c>
    </row>
    <row r="35" spans="2:16">
      <c r="B35" s="108" t="s">
        <v>123</v>
      </c>
      <c r="C35" s="108" t="s">
        <v>124</v>
      </c>
      <c r="D35" s="108" t="s">
        <v>9</v>
      </c>
      <c r="E35" s="108" t="s">
        <v>9</v>
      </c>
      <c r="F35" s="108" t="s">
        <v>8</v>
      </c>
      <c r="G35" s="108" t="s">
        <v>10</v>
      </c>
      <c r="H35" s="108" t="s">
        <v>11</v>
      </c>
      <c r="I35" s="108" t="s">
        <v>12</v>
      </c>
      <c r="J35" s="108" t="s">
        <v>13</v>
      </c>
      <c r="K35" s="108" t="s">
        <v>5</v>
      </c>
      <c r="L35" s="108" t="s">
        <v>6</v>
      </c>
      <c r="M35" s="108" t="s">
        <v>7</v>
      </c>
      <c r="N35" s="108" t="s">
        <v>8</v>
      </c>
      <c r="O35" s="108" t="s">
        <v>7</v>
      </c>
      <c r="P35" s="108" t="s">
        <v>9</v>
      </c>
    </row>
    <row r="36" spans="2:16">
      <c r="B36" s="109" t="s">
        <v>158</v>
      </c>
      <c r="C36" s="109" t="s">
        <v>244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</row>
    <row r="37" spans="2:16">
      <c r="B37" s="109" t="s">
        <v>158</v>
      </c>
      <c r="C37" s="109" t="s">
        <v>234</v>
      </c>
      <c r="D37" s="177">
        <v>39223.4</v>
      </c>
      <c r="E37" s="177">
        <v>28227.7</v>
      </c>
      <c r="F37" s="177">
        <v>23185.3</v>
      </c>
      <c r="G37" s="177">
        <v>23990.400000000001</v>
      </c>
      <c r="H37" s="177">
        <v>36235.599999999999</v>
      </c>
      <c r="I37" s="177">
        <v>35124.9</v>
      </c>
      <c r="J37" s="177">
        <v>25784.6</v>
      </c>
      <c r="K37" s="177">
        <v>35353.199999999997</v>
      </c>
      <c r="L37" s="177">
        <v>38501.599999999999</v>
      </c>
      <c r="M37" s="177">
        <v>38546.800000000003</v>
      </c>
      <c r="N37" s="177">
        <v>43196.7</v>
      </c>
      <c r="O37" s="177">
        <v>33193.699999999997</v>
      </c>
      <c r="P37" s="177">
        <v>15935.3</v>
      </c>
    </row>
    <row r="38" spans="2:16">
      <c r="B38" s="109" t="s">
        <v>158</v>
      </c>
      <c r="C38" s="109" t="s">
        <v>26</v>
      </c>
      <c r="D38" s="177">
        <v>100710.5</v>
      </c>
      <c r="E38" s="177">
        <v>53992.1</v>
      </c>
      <c r="F38" s="177">
        <v>53888.3</v>
      </c>
      <c r="G38" s="177">
        <v>55429.2</v>
      </c>
      <c r="H38" s="177">
        <v>75955.399999999994</v>
      </c>
      <c r="I38" s="177">
        <v>83653.399999999994</v>
      </c>
      <c r="J38" s="177">
        <v>57877.3</v>
      </c>
      <c r="K38" s="177">
        <v>57056.1</v>
      </c>
      <c r="L38" s="177">
        <v>51366.400000000001</v>
      </c>
      <c r="M38" s="177">
        <v>48796.7</v>
      </c>
      <c r="N38" s="177">
        <v>55522.2</v>
      </c>
      <c r="O38" s="177">
        <v>61920.1</v>
      </c>
      <c r="P38" s="177">
        <v>35519.800000000003</v>
      </c>
    </row>
    <row r="39" spans="2:16">
      <c r="B39" s="109" t="s">
        <v>158</v>
      </c>
      <c r="C39" s="109" t="s">
        <v>241</v>
      </c>
      <c r="D39" s="177">
        <v>17.3</v>
      </c>
      <c r="E39" s="177">
        <v>2.7</v>
      </c>
      <c r="F39" s="177">
        <v>1.1000000000000001</v>
      </c>
      <c r="G39" s="177">
        <v>0.8</v>
      </c>
      <c r="H39" s="177">
        <v>2</v>
      </c>
      <c r="I39" s="177">
        <v>0</v>
      </c>
      <c r="J39" s="177">
        <v>0</v>
      </c>
      <c r="K39" s="177">
        <v>10.8</v>
      </c>
      <c r="L39" s="177">
        <v>3</v>
      </c>
      <c r="M39" s="177">
        <v>0</v>
      </c>
      <c r="N39" s="177">
        <v>0</v>
      </c>
      <c r="O39" s="177">
        <v>0</v>
      </c>
      <c r="P39" s="177">
        <v>0</v>
      </c>
    </row>
    <row r="40" spans="2:16">
      <c r="B40" s="109" t="s">
        <v>158</v>
      </c>
      <c r="C40" s="109" t="s">
        <v>236</v>
      </c>
      <c r="D40" s="177">
        <v>3498.8</v>
      </c>
      <c r="E40" s="177">
        <v>1736.9</v>
      </c>
      <c r="F40" s="177">
        <v>1823.4</v>
      </c>
      <c r="G40" s="177">
        <v>1551.4</v>
      </c>
      <c r="H40" s="177">
        <v>4285.8999999999996</v>
      </c>
      <c r="I40" s="177">
        <v>7774.4</v>
      </c>
      <c r="J40" s="177">
        <v>14602.9</v>
      </c>
      <c r="K40" s="177">
        <v>4781.6000000000004</v>
      </c>
      <c r="L40" s="177">
        <v>876.5</v>
      </c>
      <c r="M40" s="177">
        <v>14986.9</v>
      </c>
      <c r="N40" s="177">
        <v>6134.1</v>
      </c>
      <c r="O40" s="177">
        <v>5137.3999999999996</v>
      </c>
      <c r="P40" s="177">
        <v>1509.9</v>
      </c>
    </row>
    <row r="41" spans="2:16">
      <c r="B41" s="109" t="s">
        <v>158</v>
      </c>
      <c r="C41" s="109" t="s">
        <v>245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</row>
    <row r="42" spans="2:16">
      <c r="B42" s="109" t="s">
        <v>158</v>
      </c>
      <c r="C42" s="109" t="s">
        <v>238</v>
      </c>
      <c r="D42" s="177">
        <v>11518.7</v>
      </c>
      <c r="E42" s="177">
        <v>5554.8</v>
      </c>
      <c r="F42" s="177">
        <v>5883.3</v>
      </c>
      <c r="G42" s="177">
        <v>5247.3</v>
      </c>
      <c r="H42" s="177">
        <v>7050.1</v>
      </c>
      <c r="I42" s="177">
        <v>7943.5</v>
      </c>
      <c r="J42" s="177">
        <v>8236.4</v>
      </c>
      <c r="K42" s="177">
        <v>5669.6</v>
      </c>
      <c r="L42" s="177">
        <v>6719.4</v>
      </c>
      <c r="M42" s="177">
        <v>13034.1</v>
      </c>
      <c r="N42" s="177">
        <v>6758.4</v>
      </c>
      <c r="O42" s="177">
        <v>7808.1</v>
      </c>
      <c r="P42" s="177">
        <v>4554.3</v>
      </c>
    </row>
    <row r="43" spans="2:16">
      <c r="B43" s="109" t="s">
        <v>158</v>
      </c>
      <c r="C43" s="109" t="s">
        <v>246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</row>
    <row r="44" spans="2:16">
      <c r="B44" s="109" t="s">
        <v>158</v>
      </c>
      <c r="C44" s="109" t="s">
        <v>22</v>
      </c>
      <c r="D44" s="177">
        <v>88256.3</v>
      </c>
      <c r="E44" s="177">
        <v>34688.699999999997</v>
      </c>
      <c r="F44" s="177">
        <v>29023.599999999999</v>
      </c>
      <c r="G44" s="177">
        <v>29358.5</v>
      </c>
      <c r="H44" s="177">
        <v>42190.9</v>
      </c>
      <c r="I44" s="177">
        <v>66112.3</v>
      </c>
      <c r="J44" s="177">
        <v>50297.7</v>
      </c>
      <c r="K44" s="177">
        <v>55012.6</v>
      </c>
      <c r="L44" s="177">
        <v>74091.8</v>
      </c>
      <c r="M44" s="177">
        <v>57129.4</v>
      </c>
      <c r="N44" s="177">
        <v>46798.3</v>
      </c>
      <c r="O44" s="177">
        <v>108282.8</v>
      </c>
      <c r="P44" s="177">
        <v>58954.400000000001</v>
      </c>
    </row>
    <row r="45" spans="2:16">
      <c r="B45" s="109" t="s">
        <v>158</v>
      </c>
      <c r="C45" s="109" t="s">
        <v>247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</row>
    <row r="46" spans="2:16">
      <c r="B46" s="109" t="s">
        <v>158</v>
      </c>
      <c r="C46" s="109" t="s">
        <v>248</v>
      </c>
      <c r="D46" s="177">
        <v>69.8</v>
      </c>
      <c r="E46" s="177">
        <v>310</v>
      </c>
      <c r="F46" s="177">
        <v>148</v>
      </c>
      <c r="G46" s="177">
        <v>3.1</v>
      </c>
      <c r="H46" s="177">
        <v>700</v>
      </c>
      <c r="I46" s="177">
        <v>0</v>
      </c>
      <c r="J46" s="177">
        <v>1085.4000000000001</v>
      </c>
      <c r="K46" s="177">
        <v>282.3</v>
      </c>
      <c r="L46" s="177">
        <v>129.69999999999999</v>
      </c>
      <c r="M46" s="177">
        <v>0</v>
      </c>
      <c r="N46" s="177">
        <v>0</v>
      </c>
      <c r="O46" s="177">
        <v>306.60000000000002</v>
      </c>
      <c r="P46" s="177">
        <v>75</v>
      </c>
    </row>
    <row r="47" spans="2:16">
      <c r="B47" s="109" t="s">
        <v>158</v>
      </c>
      <c r="C47" s="109" t="s">
        <v>235</v>
      </c>
      <c r="D47" s="177">
        <v>0</v>
      </c>
      <c r="E47" s="177">
        <v>0</v>
      </c>
      <c r="F47" s="177">
        <v>0</v>
      </c>
      <c r="G47" s="177">
        <v>0</v>
      </c>
      <c r="H47" s="177">
        <v>131.30000000000001</v>
      </c>
      <c r="I47" s="177">
        <v>299.10000000000002</v>
      </c>
      <c r="J47" s="177">
        <v>57.5</v>
      </c>
      <c r="K47" s="177">
        <v>69.8</v>
      </c>
      <c r="L47" s="177">
        <v>8.1</v>
      </c>
      <c r="M47" s="177">
        <v>7.9</v>
      </c>
      <c r="N47" s="177">
        <v>0</v>
      </c>
      <c r="O47" s="177">
        <v>16.5</v>
      </c>
      <c r="P47" s="177">
        <v>0</v>
      </c>
    </row>
    <row r="48" spans="2:16">
      <c r="B48" s="109" t="s">
        <v>158</v>
      </c>
      <c r="C48" s="109" t="s">
        <v>249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</row>
    <row r="49" spans="2:16">
      <c r="B49" s="109" t="s">
        <v>158</v>
      </c>
      <c r="C49" s="109" t="s">
        <v>239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</row>
    <row r="50" spans="2:16">
      <c r="B50" s="109" t="s">
        <v>158</v>
      </c>
      <c r="C50" s="109" t="s">
        <v>240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</row>
    <row r="51" spans="2:16">
      <c r="B51" s="109" t="s">
        <v>158</v>
      </c>
      <c r="C51" s="109" t="s">
        <v>237</v>
      </c>
      <c r="D51" s="177">
        <v>27501.3</v>
      </c>
      <c r="E51" s="177">
        <v>32397.1</v>
      </c>
      <c r="F51" s="177">
        <v>29140</v>
      </c>
      <c r="G51" s="177">
        <v>44532.5</v>
      </c>
      <c r="H51" s="177">
        <v>30549.8</v>
      </c>
      <c r="I51" s="177">
        <v>41077.1</v>
      </c>
      <c r="J51" s="177">
        <v>54906.6</v>
      </c>
      <c r="K51" s="177">
        <v>28937.8</v>
      </c>
      <c r="L51" s="177">
        <v>42931.7</v>
      </c>
      <c r="M51" s="177">
        <v>39005.1</v>
      </c>
      <c r="N51" s="177">
        <v>36861.199999999997</v>
      </c>
      <c r="O51" s="177">
        <v>20554.599999999999</v>
      </c>
      <c r="P51" s="177">
        <v>12771.1</v>
      </c>
    </row>
    <row r="52" spans="2:16">
      <c r="B52" s="109" t="s">
        <v>158</v>
      </c>
      <c r="C52" s="120" t="s">
        <v>0</v>
      </c>
      <c r="D52" s="121">
        <v>270796.09999999998</v>
      </c>
      <c r="E52" s="121">
        <v>156910</v>
      </c>
      <c r="F52" s="121">
        <v>143093</v>
      </c>
      <c r="G52" s="121">
        <v>160113.20000000001</v>
      </c>
      <c r="H52" s="121">
        <v>197101</v>
      </c>
      <c r="I52" s="121">
        <v>241984.7</v>
      </c>
      <c r="J52" s="121">
        <v>212848.4</v>
      </c>
      <c r="K52" s="121">
        <v>187173.8</v>
      </c>
      <c r="L52" s="121">
        <v>214628.2</v>
      </c>
      <c r="M52" s="121">
        <v>211506.9</v>
      </c>
      <c r="N52" s="121">
        <v>195270.9</v>
      </c>
      <c r="O52" s="121">
        <v>237219.8</v>
      </c>
      <c r="P52" s="121">
        <v>129319.8</v>
      </c>
    </row>
    <row r="53" spans="2:16">
      <c r="B53" s="109" t="s">
        <v>159</v>
      </c>
      <c r="C53" s="109" t="s">
        <v>244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159</v>
      </c>
      <c r="C54" s="109" t="s">
        <v>234</v>
      </c>
      <c r="D54" s="119">
        <v>31856.5</v>
      </c>
      <c r="E54" s="119">
        <v>64224.4</v>
      </c>
      <c r="F54" s="119">
        <v>71875.8</v>
      </c>
      <c r="G54" s="119">
        <v>46377.5</v>
      </c>
      <c r="H54" s="119">
        <v>28352.7</v>
      </c>
      <c r="I54" s="119">
        <v>20637.7</v>
      </c>
      <c r="J54" s="119">
        <v>30371.3</v>
      </c>
      <c r="K54" s="119">
        <v>49749</v>
      </c>
      <c r="L54" s="119">
        <v>47780.9</v>
      </c>
      <c r="M54" s="119">
        <v>18764.099999999999</v>
      </c>
      <c r="N54" s="119">
        <v>19179.5</v>
      </c>
      <c r="O54" s="119">
        <v>18994.099999999999</v>
      </c>
      <c r="P54" s="119">
        <v>24116.3</v>
      </c>
    </row>
    <row r="55" spans="2:16">
      <c r="B55" s="109" t="s">
        <v>159</v>
      </c>
      <c r="C55" s="109" t="s">
        <v>26</v>
      </c>
      <c r="D55" s="119">
        <v>21784.2</v>
      </c>
      <c r="E55" s="119">
        <v>40730.5</v>
      </c>
      <c r="F55" s="119">
        <v>44407.8</v>
      </c>
      <c r="G55" s="119">
        <v>52485.1</v>
      </c>
      <c r="H55" s="119">
        <v>33701.800000000003</v>
      </c>
      <c r="I55" s="119">
        <v>33409.300000000003</v>
      </c>
      <c r="J55" s="119">
        <v>38818.699999999997</v>
      </c>
      <c r="K55" s="119">
        <v>21689</v>
      </c>
      <c r="L55" s="119">
        <v>17066.099999999999</v>
      </c>
      <c r="M55" s="119">
        <v>9673.7999999999993</v>
      </c>
      <c r="N55" s="119">
        <v>6106.3</v>
      </c>
      <c r="O55" s="119">
        <v>10277</v>
      </c>
      <c r="P55" s="119">
        <v>8196.7000000000007</v>
      </c>
    </row>
    <row r="56" spans="2:16">
      <c r="B56" s="109" t="s">
        <v>159</v>
      </c>
      <c r="C56" s="109" t="s">
        <v>241</v>
      </c>
      <c r="D56" s="119">
        <v>332.6</v>
      </c>
      <c r="E56" s="119">
        <v>223.6</v>
      </c>
      <c r="F56" s="119">
        <v>356.8</v>
      </c>
      <c r="G56" s="119">
        <v>420.2</v>
      </c>
      <c r="H56" s="119">
        <v>72.5</v>
      </c>
      <c r="I56" s="119">
        <v>40.799999999999997</v>
      </c>
      <c r="J56" s="119">
        <v>239.5</v>
      </c>
      <c r="K56" s="119">
        <v>1091.7</v>
      </c>
      <c r="L56" s="119">
        <v>83.8</v>
      </c>
      <c r="M56" s="119">
        <v>444.5</v>
      </c>
      <c r="N56" s="119">
        <v>488.3</v>
      </c>
      <c r="O56" s="119">
        <v>353.4</v>
      </c>
      <c r="P56" s="119">
        <v>265.7</v>
      </c>
    </row>
    <row r="57" spans="2:16">
      <c r="B57" s="109" t="s">
        <v>159</v>
      </c>
      <c r="C57" s="109" t="s">
        <v>236</v>
      </c>
      <c r="D57" s="119">
        <v>25120.799999999999</v>
      </c>
      <c r="E57" s="119">
        <v>39459.699999999997</v>
      </c>
      <c r="F57" s="119">
        <v>41443.4</v>
      </c>
      <c r="G57" s="119">
        <v>46799.1</v>
      </c>
      <c r="H57" s="119">
        <v>27285.599999999999</v>
      </c>
      <c r="I57" s="119">
        <v>17072.8</v>
      </c>
      <c r="J57" s="119">
        <v>44331.3</v>
      </c>
      <c r="K57" s="119">
        <v>44705.2</v>
      </c>
      <c r="L57" s="119">
        <v>30784</v>
      </c>
      <c r="M57" s="119">
        <v>62414.7</v>
      </c>
      <c r="N57" s="119">
        <v>66560.399999999994</v>
      </c>
      <c r="O57" s="119">
        <v>20633.900000000001</v>
      </c>
      <c r="P57" s="119">
        <v>19665.3</v>
      </c>
    </row>
    <row r="58" spans="2:16">
      <c r="B58" s="109" t="s">
        <v>159</v>
      </c>
      <c r="C58" s="109" t="s">
        <v>245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159</v>
      </c>
      <c r="C59" s="109" t="s">
        <v>238</v>
      </c>
      <c r="D59" s="119">
        <v>3742.7</v>
      </c>
      <c r="E59" s="119">
        <v>10048.700000000001</v>
      </c>
      <c r="F59" s="119">
        <v>8916.4</v>
      </c>
      <c r="G59" s="119">
        <v>11262.5</v>
      </c>
      <c r="H59" s="119">
        <v>6968.9</v>
      </c>
      <c r="I59" s="119">
        <v>3847.5</v>
      </c>
      <c r="J59" s="119">
        <v>13873.3</v>
      </c>
      <c r="K59" s="119">
        <v>51833.3</v>
      </c>
      <c r="L59" s="119">
        <v>5603.4</v>
      </c>
      <c r="M59" s="119">
        <v>19679.2</v>
      </c>
      <c r="N59" s="119">
        <v>36687.300000000003</v>
      </c>
      <c r="O59" s="119">
        <v>5611.8</v>
      </c>
      <c r="P59" s="119">
        <v>5033.8999999999996</v>
      </c>
    </row>
    <row r="60" spans="2:16">
      <c r="B60" s="109" t="s">
        <v>159</v>
      </c>
      <c r="C60" s="109" t="s">
        <v>246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159</v>
      </c>
      <c r="C61" s="109" t="s">
        <v>22</v>
      </c>
      <c r="D61" s="119">
        <v>7869.8</v>
      </c>
      <c r="E61" s="119">
        <v>2606.4</v>
      </c>
      <c r="F61" s="119">
        <v>5181.1000000000004</v>
      </c>
      <c r="G61" s="119">
        <v>3698.4</v>
      </c>
      <c r="H61" s="119">
        <v>8057.2</v>
      </c>
      <c r="I61" s="119">
        <v>8820.4</v>
      </c>
      <c r="J61" s="119">
        <v>10280.700000000001</v>
      </c>
      <c r="K61" s="119">
        <v>26560.6</v>
      </c>
      <c r="L61" s="119">
        <v>24359.1</v>
      </c>
      <c r="M61" s="119">
        <v>27422.5</v>
      </c>
      <c r="N61" s="119">
        <v>16841.599999999999</v>
      </c>
      <c r="O61" s="119">
        <v>15058.8</v>
      </c>
      <c r="P61" s="119">
        <v>11035.4</v>
      </c>
    </row>
    <row r="62" spans="2:16">
      <c r="B62" s="109" t="s">
        <v>159</v>
      </c>
      <c r="C62" s="109" t="s">
        <v>247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159</v>
      </c>
      <c r="C63" s="109" t="s">
        <v>248</v>
      </c>
      <c r="D63" s="119">
        <v>320</v>
      </c>
      <c r="E63" s="119">
        <v>130</v>
      </c>
      <c r="F63" s="119">
        <v>179.2</v>
      </c>
      <c r="G63" s="119">
        <v>178.3</v>
      </c>
      <c r="H63" s="119">
        <v>1524.1</v>
      </c>
      <c r="I63" s="119">
        <v>0</v>
      </c>
      <c r="J63" s="119">
        <v>108.3</v>
      </c>
      <c r="K63" s="119">
        <v>159.6</v>
      </c>
      <c r="L63" s="119">
        <v>40</v>
      </c>
      <c r="M63" s="119">
        <v>0</v>
      </c>
      <c r="N63" s="119">
        <v>0</v>
      </c>
      <c r="O63" s="119">
        <v>96.2</v>
      </c>
      <c r="P63" s="119">
        <v>68.900000000000006</v>
      </c>
    </row>
    <row r="64" spans="2:16">
      <c r="B64" s="109" t="s">
        <v>159</v>
      </c>
      <c r="C64" s="109" t="s">
        <v>235</v>
      </c>
      <c r="D64" s="119">
        <v>0</v>
      </c>
      <c r="E64" s="119">
        <v>0</v>
      </c>
      <c r="F64" s="119">
        <v>0</v>
      </c>
      <c r="G64" s="119">
        <v>0</v>
      </c>
      <c r="H64" s="119">
        <v>736.2</v>
      </c>
      <c r="I64" s="119">
        <v>757.7</v>
      </c>
      <c r="J64" s="119">
        <v>133.80000000000001</v>
      </c>
      <c r="K64" s="119">
        <v>521.70000000000005</v>
      </c>
      <c r="L64" s="119">
        <v>286.60000000000002</v>
      </c>
      <c r="M64" s="119">
        <v>20.9</v>
      </c>
      <c r="N64" s="119">
        <v>122</v>
      </c>
      <c r="O64" s="119">
        <v>322.7</v>
      </c>
      <c r="P64" s="119">
        <v>6.7</v>
      </c>
    </row>
    <row r="65" spans="2:16">
      <c r="B65" s="109" t="s">
        <v>159</v>
      </c>
      <c r="C65" s="109" t="s">
        <v>249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159</v>
      </c>
      <c r="C66" s="109" t="s">
        <v>239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159</v>
      </c>
      <c r="C67" s="109" t="s">
        <v>240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159</v>
      </c>
      <c r="C68" s="109" t="s">
        <v>237</v>
      </c>
      <c r="D68" s="119">
        <v>1244.9000000000001</v>
      </c>
      <c r="E68" s="119">
        <v>1680.4</v>
      </c>
      <c r="F68" s="119">
        <v>4517</v>
      </c>
      <c r="G68" s="119">
        <v>4969.7</v>
      </c>
      <c r="H68" s="119">
        <v>3817.1</v>
      </c>
      <c r="I68" s="119">
        <v>5932.4</v>
      </c>
      <c r="J68" s="119">
        <v>8046.3</v>
      </c>
      <c r="K68" s="119">
        <v>11348.4</v>
      </c>
      <c r="L68" s="119">
        <v>5220.7</v>
      </c>
      <c r="M68" s="119">
        <v>8766.7999999999993</v>
      </c>
      <c r="N68" s="119">
        <v>6609.5</v>
      </c>
      <c r="O68" s="119">
        <v>1709.2</v>
      </c>
      <c r="P68" s="119">
        <v>99.1</v>
      </c>
    </row>
    <row r="69" spans="2:16">
      <c r="B69" s="145" t="s">
        <v>159</v>
      </c>
      <c r="C69" s="120" t="s">
        <v>0</v>
      </c>
      <c r="D69" s="121">
        <v>92271.5</v>
      </c>
      <c r="E69" s="121">
        <v>159103.70000000001</v>
      </c>
      <c r="F69" s="121">
        <v>176877.5</v>
      </c>
      <c r="G69" s="121">
        <v>166190.79999999999</v>
      </c>
      <c r="H69" s="121">
        <v>110516.1</v>
      </c>
      <c r="I69" s="121">
        <v>90518.6</v>
      </c>
      <c r="J69" s="121">
        <v>146203.20000000001</v>
      </c>
      <c r="K69" s="121">
        <v>207658.5</v>
      </c>
      <c r="L69" s="121">
        <v>131224.6</v>
      </c>
      <c r="M69" s="121">
        <v>147186.5</v>
      </c>
      <c r="N69" s="121">
        <v>152594.9</v>
      </c>
      <c r="O69" s="121">
        <v>73057.100000000006</v>
      </c>
      <c r="P69" s="121">
        <v>68488</v>
      </c>
    </row>
    <row r="70" spans="2:16">
      <c r="B70" s="202" t="s">
        <v>139</v>
      </c>
      <c r="C70" s="145"/>
      <c r="D70" s="174">
        <v>58.053899003700003</v>
      </c>
      <c r="E70" s="174">
        <v>57.819714231100001</v>
      </c>
      <c r="F70" s="174">
        <v>55.585096335899998</v>
      </c>
      <c r="G70" s="174">
        <v>56.231510706199998</v>
      </c>
      <c r="H70" s="174">
        <v>64.784309668600002</v>
      </c>
      <c r="I70" s="174">
        <v>70.107599447400005</v>
      </c>
      <c r="J70" s="174">
        <v>78.756404746300007</v>
      </c>
      <c r="K70" s="174">
        <v>62.437006568199998</v>
      </c>
      <c r="L70" s="174">
        <v>65.942944356799998</v>
      </c>
      <c r="M70" s="174">
        <v>56.060312311300002</v>
      </c>
      <c r="N70" s="174">
        <v>54.4493213274</v>
      </c>
      <c r="O70" s="174">
        <v>62.5355007466</v>
      </c>
      <c r="P70" s="174">
        <v>64.9082699633</v>
      </c>
    </row>
    <row r="71" spans="2:16" ht="15" customHeight="1">
      <c r="B71" s="203"/>
      <c r="C71" s="146"/>
      <c r="D71" s="175">
        <v>36.435668434999997</v>
      </c>
      <c r="E71" s="175">
        <v>36.143624378299997</v>
      </c>
      <c r="F71" s="175">
        <v>33.497112747499997</v>
      </c>
      <c r="G71" s="175">
        <v>30.933778283799999</v>
      </c>
      <c r="H71" s="175">
        <v>35.307517909200001</v>
      </c>
      <c r="I71" s="175">
        <v>45.196962723699997</v>
      </c>
      <c r="J71" s="175">
        <v>36.297392464700003</v>
      </c>
      <c r="K71" s="175">
        <v>24.798933392999999</v>
      </c>
      <c r="L71" s="175">
        <v>39.032916008100003</v>
      </c>
      <c r="M71" s="175">
        <v>22.945107465700001</v>
      </c>
      <c r="N71" s="175">
        <v>15.694614761</v>
      </c>
      <c r="O71" s="175">
        <v>38.9886902163</v>
      </c>
      <c r="P71" s="175">
        <v>46.671459671800001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2">
        <f>(P52-D52)/D52</f>
        <v>-0.5224458550178529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2">
        <f>(P69-D69)/D69</f>
        <v>-0.25775564502582055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2">
        <f>((P52+P69)-(D52+D69))/(D52+D69)</f>
        <v>-0.45517639139377902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2">
        <f>(P70-D70)/D70</f>
        <v>0.11806908885074439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2">
        <f>(P71-D71)/D71</f>
        <v>0.28092777425122062</v>
      </c>
    </row>
    <row r="80" spans="2:16">
      <c r="B80" s="106" t="s">
        <v>151</v>
      </c>
    </row>
    <row r="81" spans="2:16">
      <c r="B81" s="108"/>
      <c r="C81" s="108" t="s">
        <v>31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206</v>
      </c>
      <c r="E82" s="108" t="s">
        <v>207</v>
      </c>
      <c r="F82" s="108" t="s">
        <v>208</v>
      </c>
      <c r="G82" s="108" t="s">
        <v>209</v>
      </c>
      <c r="H82" s="108" t="s">
        <v>210</v>
      </c>
      <c r="I82" s="108" t="s">
        <v>211</v>
      </c>
      <c r="J82" s="108" t="s">
        <v>212</v>
      </c>
      <c r="K82" s="108" t="s">
        <v>213</v>
      </c>
      <c r="L82" s="108" t="s">
        <v>214</v>
      </c>
      <c r="M82" s="108" t="s">
        <v>215</v>
      </c>
      <c r="N82" s="108" t="s">
        <v>216</v>
      </c>
      <c r="O82" s="108" t="s">
        <v>217</v>
      </c>
      <c r="P82" s="108" t="s">
        <v>218</v>
      </c>
    </row>
    <row r="83" spans="2:16">
      <c r="B83" s="108" t="s">
        <v>123</v>
      </c>
      <c r="C83" s="108" t="s">
        <v>124</v>
      </c>
      <c r="D83" s="108" t="s">
        <v>9</v>
      </c>
      <c r="E83" s="108" t="s">
        <v>9</v>
      </c>
      <c r="F83" s="108" t="s">
        <v>8</v>
      </c>
      <c r="G83" s="108" t="s">
        <v>10</v>
      </c>
      <c r="H83" s="108" t="s">
        <v>11</v>
      </c>
      <c r="I83" s="108" t="s">
        <v>12</v>
      </c>
      <c r="J83" s="108" t="s">
        <v>13</v>
      </c>
      <c r="K83" s="108" t="s">
        <v>5</v>
      </c>
      <c r="L83" s="108" t="s">
        <v>6</v>
      </c>
      <c r="M83" s="108" t="s">
        <v>7</v>
      </c>
      <c r="N83" s="108" t="s">
        <v>8</v>
      </c>
      <c r="O83" s="108" t="s">
        <v>7</v>
      </c>
      <c r="P83" s="108" t="s">
        <v>9</v>
      </c>
    </row>
    <row r="84" spans="2:16">
      <c r="B84" s="109" t="s">
        <v>158</v>
      </c>
      <c r="C84" s="109" t="s">
        <v>234</v>
      </c>
      <c r="D84" s="119">
        <v>35897.1</v>
      </c>
      <c r="E84" s="119">
        <v>15424.3</v>
      </c>
      <c r="F84" s="119">
        <v>17604.099999999999</v>
      </c>
      <c r="G84" s="119">
        <v>9030.9</v>
      </c>
      <c r="H84" s="119">
        <v>13899.2</v>
      </c>
      <c r="I84" s="119">
        <v>19298.3</v>
      </c>
      <c r="J84" s="119">
        <v>36464.5</v>
      </c>
      <c r="K84" s="119">
        <v>18538.8</v>
      </c>
      <c r="L84" s="119">
        <v>33434.800000000003</v>
      </c>
      <c r="M84" s="119">
        <v>25308.3</v>
      </c>
      <c r="N84" s="119">
        <v>29845.7</v>
      </c>
      <c r="O84" s="119">
        <v>12672</v>
      </c>
      <c r="P84" s="119">
        <v>25536.3</v>
      </c>
    </row>
    <row r="85" spans="2:16">
      <c r="B85" s="109" t="s">
        <v>158</v>
      </c>
      <c r="C85" s="109" t="s">
        <v>26</v>
      </c>
      <c r="D85" s="119">
        <v>86103.9</v>
      </c>
      <c r="E85" s="119">
        <v>25298.7</v>
      </c>
      <c r="F85" s="119">
        <v>20278.5</v>
      </c>
      <c r="G85" s="119">
        <v>13355.9</v>
      </c>
      <c r="H85" s="119">
        <v>20227.3</v>
      </c>
      <c r="I85" s="119">
        <v>45604</v>
      </c>
      <c r="J85" s="119">
        <v>72616.800000000003</v>
      </c>
      <c r="K85" s="119">
        <v>25466.6</v>
      </c>
      <c r="L85" s="119">
        <v>34817.699999999997</v>
      </c>
      <c r="M85" s="119">
        <v>23702.3</v>
      </c>
      <c r="N85" s="119">
        <v>24356.1</v>
      </c>
      <c r="O85" s="119">
        <v>16812.400000000001</v>
      </c>
      <c r="P85" s="119">
        <v>51382.8</v>
      </c>
    </row>
    <row r="86" spans="2:16">
      <c r="B86" s="109" t="s">
        <v>158</v>
      </c>
      <c r="C86" s="109" t="s">
        <v>241</v>
      </c>
      <c r="D86" s="119">
        <v>16</v>
      </c>
      <c r="E86" s="119">
        <v>6</v>
      </c>
      <c r="F86" s="119">
        <v>0</v>
      </c>
      <c r="G86" s="119">
        <v>0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v>74</v>
      </c>
      <c r="O86" s="119">
        <v>0</v>
      </c>
      <c r="P86" s="119">
        <v>0</v>
      </c>
    </row>
    <row r="87" spans="2:16">
      <c r="B87" s="109" t="s">
        <v>158</v>
      </c>
      <c r="C87" s="109" t="s">
        <v>236</v>
      </c>
      <c r="D87" s="119">
        <v>4321.8999999999996</v>
      </c>
      <c r="E87" s="119">
        <v>1196.5</v>
      </c>
      <c r="F87" s="119">
        <v>1953.7</v>
      </c>
      <c r="G87" s="119">
        <v>972.7</v>
      </c>
      <c r="H87" s="119">
        <v>3473.9</v>
      </c>
      <c r="I87" s="119">
        <v>3226</v>
      </c>
      <c r="J87" s="119">
        <v>14393.3</v>
      </c>
      <c r="K87" s="119">
        <v>6696</v>
      </c>
      <c r="L87" s="119">
        <v>1704</v>
      </c>
      <c r="M87" s="119">
        <v>21100.1</v>
      </c>
      <c r="N87" s="119">
        <v>4947.8999999999996</v>
      </c>
      <c r="O87" s="119">
        <v>952.5</v>
      </c>
      <c r="P87" s="119">
        <v>1275.4000000000001</v>
      </c>
    </row>
    <row r="88" spans="2:16">
      <c r="B88" s="109" t="s">
        <v>158</v>
      </c>
      <c r="C88" s="109" t="s">
        <v>238</v>
      </c>
      <c r="D88" s="119">
        <v>1499</v>
      </c>
      <c r="E88" s="119">
        <v>694.8</v>
      </c>
      <c r="F88" s="119">
        <v>1479</v>
      </c>
      <c r="G88" s="119">
        <v>456.9</v>
      </c>
      <c r="H88" s="119">
        <v>731.2</v>
      </c>
      <c r="I88" s="119">
        <v>983.4</v>
      </c>
      <c r="J88" s="119">
        <v>4195.1000000000004</v>
      </c>
      <c r="K88" s="119">
        <v>686</v>
      </c>
      <c r="L88" s="119">
        <v>1654.6</v>
      </c>
      <c r="M88" s="119">
        <v>1712.3</v>
      </c>
      <c r="N88" s="119">
        <v>1233.0999999999999</v>
      </c>
      <c r="O88" s="119">
        <v>730.5</v>
      </c>
      <c r="P88" s="119">
        <v>2784.2</v>
      </c>
    </row>
    <row r="89" spans="2:16">
      <c r="B89" s="109" t="s">
        <v>158</v>
      </c>
      <c r="C89" s="109" t="s">
        <v>22</v>
      </c>
      <c r="D89" s="119">
        <v>35181.699999999997</v>
      </c>
      <c r="E89" s="119">
        <v>12560.8</v>
      </c>
      <c r="F89" s="119">
        <v>9282.6</v>
      </c>
      <c r="G89" s="119">
        <v>7586.6</v>
      </c>
      <c r="H89" s="119">
        <v>6859.3</v>
      </c>
      <c r="I89" s="119">
        <v>22432</v>
      </c>
      <c r="J89" s="119">
        <v>32118.7</v>
      </c>
      <c r="K89" s="119">
        <v>14339.3</v>
      </c>
      <c r="L89" s="119">
        <v>32219.8</v>
      </c>
      <c r="M89" s="119">
        <v>27908.3</v>
      </c>
      <c r="N89" s="119">
        <v>16888.599999999999</v>
      </c>
      <c r="O89" s="119">
        <v>23001.200000000001</v>
      </c>
      <c r="P89" s="119">
        <v>59979.3</v>
      </c>
    </row>
    <row r="90" spans="2:16">
      <c r="B90" s="109" t="s">
        <v>158</v>
      </c>
      <c r="C90" s="109" t="s">
        <v>248</v>
      </c>
      <c r="D90" s="119">
        <v>537</v>
      </c>
      <c r="E90" s="119">
        <v>231</v>
      </c>
      <c r="F90" s="119">
        <v>0</v>
      </c>
      <c r="G90" s="119">
        <v>0</v>
      </c>
      <c r="H90" s="119">
        <v>0</v>
      </c>
      <c r="I90" s="119">
        <v>0</v>
      </c>
      <c r="J90" s="119">
        <v>1236</v>
      </c>
      <c r="K90" s="119">
        <v>277</v>
      </c>
      <c r="L90" s="119">
        <v>258</v>
      </c>
      <c r="M90" s="119">
        <v>0</v>
      </c>
      <c r="N90" s="119">
        <v>0</v>
      </c>
      <c r="O90" s="119">
        <v>0</v>
      </c>
      <c r="P90" s="119">
        <v>310</v>
      </c>
    </row>
    <row r="91" spans="2:16">
      <c r="B91" s="109" t="s">
        <v>158</v>
      </c>
      <c r="C91" s="109" t="s">
        <v>237</v>
      </c>
      <c r="D91" s="119">
        <v>13587.3</v>
      </c>
      <c r="E91" s="119">
        <v>9853.2999999999993</v>
      </c>
      <c r="F91" s="119">
        <v>10537.6</v>
      </c>
      <c r="G91" s="119">
        <v>7497.3</v>
      </c>
      <c r="H91" s="119">
        <v>9809.2999999999993</v>
      </c>
      <c r="I91" s="119">
        <v>16186.5</v>
      </c>
      <c r="J91" s="119">
        <v>39485.4</v>
      </c>
      <c r="K91" s="119">
        <v>7767.7</v>
      </c>
      <c r="L91" s="119">
        <v>14790.9</v>
      </c>
      <c r="M91" s="119">
        <v>16090.2</v>
      </c>
      <c r="N91" s="119">
        <v>8367.7000000000007</v>
      </c>
      <c r="O91" s="119">
        <v>5631.5</v>
      </c>
      <c r="P91" s="119">
        <v>6998.5</v>
      </c>
    </row>
    <row r="92" spans="2:16">
      <c r="B92" s="109" t="s">
        <v>158</v>
      </c>
      <c r="C92" s="120" t="s">
        <v>0</v>
      </c>
      <c r="D92" s="121">
        <v>177143.9</v>
      </c>
      <c r="E92" s="121">
        <v>65265.4</v>
      </c>
      <c r="F92" s="121">
        <v>61135.5</v>
      </c>
      <c r="G92" s="121">
        <v>38900.300000000003</v>
      </c>
      <c r="H92" s="121">
        <v>55000.2</v>
      </c>
      <c r="I92" s="121">
        <v>107730.2</v>
      </c>
      <c r="J92" s="121">
        <v>200509.8</v>
      </c>
      <c r="K92" s="121">
        <v>73771.399999999994</v>
      </c>
      <c r="L92" s="121">
        <v>118879.8</v>
      </c>
      <c r="M92" s="121">
        <v>115821.5</v>
      </c>
      <c r="N92" s="121">
        <v>85713.1</v>
      </c>
      <c r="O92" s="121">
        <v>59800.1</v>
      </c>
      <c r="P92" s="121">
        <v>148266.5</v>
      </c>
    </row>
    <row r="93" spans="2:16">
      <c r="B93" s="109" t="s">
        <v>159</v>
      </c>
      <c r="C93" s="109" t="s">
        <v>234</v>
      </c>
      <c r="D93" s="119">
        <v>10864.5</v>
      </c>
      <c r="E93" s="119">
        <v>27924.7</v>
      </c>
      <c r="F93" s="119">
        <v>43819.1</v>
      </c>
      <c r="G93" s="119">
        <v>23995.8</v>
      </c>
      <c r="H93" s="119">
        <v>6238.1</v>
      </c>
      <c r="I93" s="119">
        <v>4345.3999999999996</v>
      </c>
      <c r="J93" s="119">
        <v>11031.5</v>
      </c>
      <c r="K93" s="119">
        <v>24843.5</v>
      </c>
      <c r="L93" s="119">
        <v>9788.2999999999993</v>
      </c>
      <c r="M93" s="119">
        <v>1915.7</v>
      </c>
      <c r="N93" s="119">
        <v>5601.6</v>
      </c>
      <c r="O93" s="119">
        <v>3825.2</v>
      </c>
      <c r="P93" s="119">
        <v>20542.2</v>
      </c>
    </row>
    <row r="94" spans="2:16">
      <c r="B94" s="109" t="s">
        <v>159</v>
      </c>
      <c r="C94" s="109" t="s">
        <v>26</v>
      </c>
      <c r="D94" s="119">
        <v>7378.2</v>
      </c>
      <c r="E94" s="119">
        <v>18737.8</v>
      </c>
      <c r="F94" s="119">
        <v>26947.4</v>
      </c>
      <c r="G94" s="119">
        <v>23603.4</v>
      </c>
      <c r="H94" s="119">
        <v>6107.2</v>
      </c>
      <c r="I94" s="119">
        <v>8205.2999999999993</v>
      </c>
      <c r="J94" s="119">
        <v>9660.7000000000007</v>
      </c>
      <c r="K94" s="119">
        <v>12025</v>
      </c>
      <c r="L94" s="119">
        <v>2896.9</v>
      </c>
      <c r="M94" s="119">
        <v>883.7</v>
      </c>
      <c r="N94" s="119">
        <v>1130.8</v>
      </c>
      <c r="O94" s="119">
        <v>805.7</v>
      </c>
      <c r="P94" s="119">
        <v>4950.3</v>
      </c>
    </row>
    <row r="95" spans="2:16">
      <c r="B95" s="109" t="s">
        <v>159</v>
      </c>
      <c r="C95" s="109" t="s">
        <v>241</v>
      </c>
      <c r="D95" s="119">
        <v>88.1</v>
      </c>
      <c r="E95" s="119">
        <v>26.5</v>
      </c>
      <c r="F95" s="119">
        <v>131.4</v>
      </c>
      <c r="G95" s="119">
        <v>120.4</v>
      </c>
      <c r="H95" s="119">
        <v>11.4</v>
      </c>
      <c r="I95" s="119">
        <v>0</v>
      </c>
      <c r="J95" s="119">
        <v>0</v>
      </c>
      <c r="K95" s="119">
        <v>139.19999999999999</v>
      </c>
      <c r="L95" s="119">
        <v>13</v>
      </c>
      <c r="M95" s="119">
        <v>0</v>
      </c>
      <c r="N95" s="119">
        <v>0</v>
      </c>
      <c r="O95" s="119">
        <v>1</v>
      </c>
      <c r="P95" s="119">
        <v>40.5</v>
      </c>
    </row>
    <row r="96" spans="2:16">
      <c r="B96" s="109" t="s">
        <v>159</v>
      </c>
      <c r="C96" s="109" t="s">
        <v>236</v>
      </c>
      <c r="D96" s="119">
        <v>16621.400000000001</v>
      </c>
      <c r="E96" s="119">
        <v>21039.7</v>
      </c>
      <c r="F96" s="119">
        <v>18038.2</v>
      </c>
      <c r="G96" s="119">
        <v>18312.900000000001</v>
      </c>
      <c r="H96" s="119">
        <v>8233.1</v>
      </c>
      <c r="I96" s="119">
        <v>6736.7</v>
      </c>
      <c r="J96" s="119">
        <v>16502.5</v>
      </c>
      <c r="K96" s="119">
        <v>12696.1</v>
      </c>
      <c r="L96" s="119">
        <v>5978.6</v>
      </c>
      <c r="M96" s="119">
        <v>4789.3</v>
      </c>
      <c r="N96" s="119">
        <v>19369.2</v>
      </c>
      <c r="O96" s="119">
        <v>4108.2</v>
      </c>
      <c r="P96" s="119">
        <v>10583.3</v>
      </c>
    </row>
    <row r="97" spans="2:16">
      <c r="B97" s="109" t="s">
        <v>159</v>
      </c>
      <c r="C97" s="109" t="s">
        <v>238</v>
      </c>
      <c r="D97" s="119">
        <v>464.4</v>
      </c>
      <c r="E97" s="119">
        <v>1083.3</v>
      </c>
      <c r="F97" s="119">
        <v>700.3</v>
      </c>
      <c r="G97" s="119">
        <v>630.70000000000005</v>
      </c>
      <c r="H97" s="119">
        <v>466.1</v>
      </c>
      <c r="I97" s="119">
        <v>204.5</v>
      </c>
      <c r="J97" s="119">
        <v>1775.9</v>
      </c>
      <c r="K97" s="119">
        <v>3036.8</v>
      </c>
      <c r="L97" s="119">
        <v>470.2</v>
      </c>
      <c r="M97" s="119">
        <v>395.2</v>
      </c>
      <c r="N97" s="119">
        <v>3910.4</v>
      </c>
      <c r="O97" s="119">
        <v>441.1</v>
      </c>
      <c r="P97" s="119">
        <v>2263.6999999999998</v>
      </c>
    </row>
    <row r="98" spans="2:16">
      <c r="B98" s="109" t="s">
        <v>159</v>
      </c>
      <c r="C98" s="109" t="s">
        <v>22</v>
      </c>
      <c r="D98" s="119">
        <v>2067.3000000000002</v>
      </c>
      <c r="E98" s="119">
        <v>2318.1</v>
      </c>
      <c r="F98" s="119">
        <v>5037</v>
      </c>
      <c r="G98" s="119">
        <v>2095.3000000000002</v>
      </c>
      <c r="H98" s="119">
        <v>1774.5</v>
      </c>
      <c r="I98" s="119">
        <v>506</v>
      </c>
      <c r="J98" s="119">
        <v>2151.1999999999998</v>
      </c>
      <c r="K98" s="119">
        <v>14862.1</v>
      </c>
      <c r="L98" s="119">
        <v>6144.5</v>
      </c>
      <c r="M98" s="119">
        <v>2417.8000000000002</v>
      </c>
      <c r="N98" s="119">
        <v>5534.9</v>
      </c>
      <c r="O98" s="119">
        <v>2792</v>
      </c>
      <c r="P98" s="119">
        <v>9147</v>
      </c>
    </row>
    <row r="99" spans="2:16">
      <c r="B99" s="109" t="s">
        <v>159</v>
      </c>
      <c r="C99" s="109" t="s">
        <v>248</v>
      </c>
      <c r="D99" s="119">
        <v>1381.8</v>
      </c>
      <c r="E99" s="119">
        <v>0</v>
      </c>
      <c r="F99" s="119">
        <v>0</v>
      </c>
      <c r="G99" s="119">
        <v>0</v>
      </c>
      <c r="H99" s="119">
        <v>300.5</v>
      </c>
      <c r="I99" s="119">
        <v>0</v>
      </c>
      <c r="J99" s="119">
        <v>0</v>
      </c>
      <c r="K99" s="119">
        <v>109.8</v>
      </c>
      <c r="L99" s="119">
        <v>0</v>
      </c>
      <c r="M99" s="119">
        <v>0</v>
      </c>
      <c r="N99" s="119">
        <v>0</v>
      </c>
      <c r="O99" s="119">
        <v>0</v>
      </c>
      <c r="P99" s="119">
        <v>197.5</v>
      </c>
    </row>
    <row r="100" spans="2:16">
      <c r="B100" s="109" t="s">
        <v>159</v>
      </c>
      <c r="C100" s="109" t="s">
        <v>235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2</v>
      </c>
      <c r="M100" s="119">
        <v>0</v>
      </c>
      <c r="N100" s="119">
        <v>0</v>
      </c>
      <c r="O100" s="119">
        <v>0</v>
      </c>
      <c r="P100" s="119">
        <v>0</v>
      </c>
    </row>
    <row r="101" spans="2:16">
      <c r="B101" s="109" t="s">
        <v>159</v>
      </c>
      <c r="C101" s="109" t="s">
        <v>237</v>
      </c>
      <c r="D101" s="119">
        <v>160.4</v>
      </c>
      <c r="E101" s="119">
        <v>4314</v>
      </c>
      <c r="F101" s="119">
        <v>3400</v>
      </c>
      <c r="G101" s="119">
        <v>1288.4000000000001</v>
      </c>
      <c r="H101" s="119">
        <v>185</v>
      </c>
      <c r="I101" s="119">
        <v>802.1</v>
      </c>
      <c r="J101" s="119">
        <v>2234.6</v>
      </c>
      <c r="K101" s="119">
        <v>13649</v>
      </c>
      <c r="L101" s="119">
        <v>2006.5</v>
      </c>
      <c r="M101" s="119">
        <v>2598.3000000000002</v>
      </c>
      <c r="N101" s="119">
        <v>1362.4</v>
      </c>
      <c r="O101" s="119">
        <v>67.3</v>
      </c>
      <c r="P101" s="119">
        <v>285</v>
      </c>
    </row>
    <row r="102" spans="2:16">
      <c r="B102" s="109" t="s">
        <v>159</v>
      </c>
      <c r="C102" s="120" t="s">
        <v>0</v>
      </c>
      <c r="D102" s="121">
        <v>39026.1</v>
      </c>
      <c r="E102" s="121">
        <v>75444.100000000006</v>
      </c>
      <c r="F102" s="121">
        <v>98073.4</v>
      </c>
      <c r="G102" s="121">
        <v>70046.899999999994</v>
      </c>
      <c r="H102" s="121">
        <v>23315.9</v>
      </c>
      <c r="I102" s="121">
        <v>20800</v>
      </c>
      <c r="J102" s="121">
        <v>43356.4</v>
      </c>
      <c r="K102" s="121">
        <v>81361.5</v>
      </c>
      <c r="L102" s="121">
        <v>27300</v>
      </c>
      <c r="M102" s="121">
        <v>13000</v>
      </c>
      <c r="N102" s="121">
        <v>36909.300000000003</v>
      </c>
      <c r="O102" s="121">
        <v>12040.5</v>
      </c>
      <c r="P102" s="121">
        <v>48009.5</v>
      </c>
    </row>
    <row r="103" spans="2:16">
      <c r="B103" s="184"/>
      <c r="C103" s="185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</row>
    <row r="104" spans="2:16">
      <c r="B104" s="109" t="s">
        <v>158</v>
      </c>
      <c r="C104" s="145"/>
      <c r="D104" s="174">
        <v>57.933831365300001</v>
      </c>
      <c r="E104" s="174">
        <v>57.393478933700003</v>
      </c>
      <c r="F104" s="174">
        <v>54.654758855300003</v>
      </c>
      <c r="G104" s="174">
        <v>54.685032249099997</v>
      </c>
      <c r="H104" s="174">
        <v>61.513323042499998</v>
      </c>
      <c r="I104" s="174">
        <v>71.000344286000001</v>
      </c>
      <c r="J104" s="174">
        <v>75.213326381100003</v>
      </c>
      <c r="K104" s="174">
        <v>60.115528511000001</v>
      </c>
      <c r="L104" s="174">
        <v>64.730818692499994</v>
      </c>
      <c r="M104" s="174">
        <v>53.523070068999999</v>
      </c>
      <c r="N104" s="174">
        <v>51.365419521600003</v>
      </c>
      <c r="O104" s="174">
        <v>61.214905660699998</v>
      </c>
      <c r="P104" s="174">
        <v>64.545211494200004</v>
      </c>
    </row>
    <row r="105" spans="2:16">
      <c r="B105" s="109" t="s">
        <v>159</v>
      </c>
      <c r="C105" s="146"/>
      <c r="D105" s="175">
        <v>38.300981138300003</v>
      </c>
      <c r="E105" s="175">
        <v>40.000333624500001</v>
      </c>
      <c r="F105" s="175">
        <v>35.937440223300001</v>
      </c>
      <c r="G105" s="175">
        <v>36.511317131799998</v>
      </c>
      <c r="H105" s="175">
        <v>38.937077702300002</v>
      </c>
      <c r="I105" s="175">
        <v>48.682983173099998</v>
      </c>
      <c r="J105" s="175">
        <v>37.017880635799997</v>
      </c>
      <c r="K105" s="175">
        <v>35.217388445399997</v>
      </c>
      <c r="L105" s="175">
        <v>45.9572454212</v>
      </c>
      <c r="M105" s="175">
        <v>31.268540000000002</v>
      </c>
      <c r="N105" s="175">
        <v>19.696550733799999</v>
      </c>
      <c r="O105" s="175">
        <v>42.9148424069</v>
      </c>
      <c r="P105" s="175">
        <v>49.8809423135</v>
      </c>
    </row>
    <row r="106" spans="2:16" ht="15">
      <c r="B106" s="118"/>
      <c r="C106" s="118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2:16" ht="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/>
      <c r="O107" s="116"/>
      <c r="P107" s="109"/>
    </row>
    <row r="108" spans="2:16" ht="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/>
      <c r="O108" s="116"/>
      <c r="P108" s="109" t="s">
        <v>85</v>
      </c>
    </row>
    <row r="109" spans="2:16" ht="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72</v>
      </c>
      <c r="O109" s="116"/>
      <c r="P109" s="172">
        <f>(P92-D92)/D92</f>
        <v>-0.16301662095053793</v>
      </c>
    </row>
    <row r="110" spans="2:16" ht="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73</v>
      </c>
      <c r="O110" s="116"/>
      <c r="P110" s="172">
        <f>(P102-D102)/D102</f>
        <v>0.23018953982078666</v>
      </c>
    </row>
    <row r="111" spans="2:16" ht="1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09" t="s">
        <v>75</v>
      </c>
      <c r="O111" s="116"/>
      <c r="P111" s="172">
        <f>((P92+P102)-(D92+D102))/(D92+D102)</f>
        <v>-9.2029421288800484E-2</v>
      </c>
    </row>
    <row r="112" spans="2:16" ht="1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09" t="s">
        <v>70</v>
      </c>
      <c r="O112" s="116"/>
      <c r="P112" s="172">
        <f>(P104-D104)/D104</f>
        <v>0.11411950449491502</v>
      </c>
    </row>
    <row r="113" spans="2:16">
      <c r="N113" s="109" t="s">
        <v>71</v>
      </c>
      <c r="O113" s="116"/>
      <c r="P113" s="172">
        <f>(P105-D105)/D105</f>
        <v>0.30234111062027946</v>
      </c>
    </row>
    <row r="114" spans="2:16">
      <c r="B114" s="106" t="s">
        <v>152</v>
      </c>
    </row>
    <row r="115" spans="2:16">
      <c r="B115" s="108" t="s">
        <v>31</v>
      </c>
      <c r="C115" s="108" t="s">
        <v>65</v>
      </c>
      <c r="D115" s="108" t="s">
        <v>65</v>
      </c>
      <c r="E115" s="108" t="s">
        <v>65</v>
      </c>
      <c r="F115" s="108" t="s">
        <v>65</v>
      </c>
      <c r="G115" s="108" t="s">
        <v>65</v>
      </c>
      <c r="H115" s="108" t="s">
        <v>65</v>
      </c>
      <c r="I115" s="108" t="s">
        <v>65</v>
      </c>
      <c r="J115" s="108" t="s">
        <v>65</v>
      </c>
      <c r="K115" s="108" t="s">
        <v>65</v>
      </c>
      <c r="L115" s="108" t="s">
        <v>65</v>
      </c>
      <c r="M115" s="108" t="s">
        <v>65</v>
      </c>
      <c r="N115" s="108" t="s">
        <v>65</v>
      </c>
      <c r="O115" s="108" t="s">
        <v>65</v>
      </c>
      <c r="P115" s="108" t="s">
        <v>65</v>
      </c>
    </row>
    <row r="116" spans="2:16">
      <c r="B116" s="108" t="s">
        <v>119</v>
      </c>
      <c r="C116" s="108" t="s">
        <v>206</v>
      </c>
      <c r="D116" s="108" t="s">
        <v>207</v>
      </c>
      <c r="E116" s="108" t="s">
        <v>208</v>
      </c>
      <c r="F116" s="108" t="s">
        <v>209</v>
      </c>
      <c r="G116" s="108" t="s">
        <v>210</v>
      </c>
      <c r="H116" s="108" t="s">
        <v>211</v>
      </c>
      <c r="I116" s="108" t="s">
        <v>212</v>
      </c>
      <c r="J116" s="108" t="s">
        <v>213</v>
      </c>
      <c r="K116" s="108" t="s">
        <v>214</v>
      </c>
      <c r="L116" s="108" t="s">
        <v>215</v>
      </c>
      <c r="M116" s="108" t="s">
        <v>216</v>
      </c>
      <c r="N116" s="108" t="s">
        <v>217</v>
      </c>
      <c r="O116" s="108" t="s">
        <v>218</v>
      </c>
      <c r="P116" s="108" t="s">
        <v>0</v>
      </c>
    </row>
    <row r="117" spans="2:16">
      <c r="B117" s="108" t="s">
        <v>124</v>
      </c>
      <c r="C117" s="108" t="s">
        <v>9</v>
      </c>
      <c r="D117" s="108" t="s">
        <v>9</v>
      </c>
      <c r="E117" s="108" t="s">
        <v>8</v>
      </c>
      <c r="F117" s="108" t="s">
        <v>10</v>
      </c>
      <c r="G117" s="108" t="s">
        <v>11</v>
      </c>
      <c r="H117" s="108" t="s">
        <v>12</v>
      </c>
      <c r="I117" s="108" t="s">
        <v>13</v>
      </c>
      <c r="J117" s="108" t="s">
        <v>5</v>
      </c>
      <c r="K117" s="108" t="s">
        <v>6</v>
      </c>
      <c r="L117" s="108" t="s">
        <v>7</v>
      </c>
      <c r="M117" s="108" t="s">
        <v>8</v>
      </c>
      <c r="N117" s="108" t="s">
        <v>7</v>
      </c>
      <c r="O117" s="108" t="s">
        <v>9</v>
      </c>
      <c r="P117" s="108"/>
    </row>
    <row r="118" spans="2:16">
      <c r="B118" s="109" t="s">
        <v>234</v>
      </c>
      <c r="C118" s="119">
        <v>673.2</v>
      </c>
      <c r="D118" s="119">
        <v>0</v>
      </c>
      <c r="E118" s="119">
        <v>1372.5</v>
      </c>
      <c r="F118" s="119">
        <v>0</v>
      </c>
      <c r="G118" s="119">
        <v>0</v>
      </c>
      <c r="H118" s="119">
        <v>0</v>
      </c>
      <c r="I118" s="119">
        <v>374</v>
      </c>
      <c r="J118" s="119">
        <v>0</v>
      </c>
      <c r="K118" s="119">
        <v>0</v>
      </c>
      <c r="L118" s="119">
        <v>1806.7</v>
      </c>
      <c r="M118" s="119">
        <v>3485.4</v>
      </c>
      <c r="N118" s="119">
        <v>0</v>
      </c>
      <c r="O118" s="119">
        <v>0</v>
      </c>
      <c r="P118" s="119">
        <v>7711.8</v>
      </c>
    </row>
    <row r="119" spans="2:16">
      <c r="B119" s="109" t="s">
        <v>26</v>
      </c>
      <c r="C119" s="119">
        <v>5702.5</v>
      </c>
      <c r="D119" s="119">
        <v>4906.7</v>
      </c>
      <c r="E119" s="119">
        <v>12488.5</v>
      </c>
      <c r="F119" s="119">
        <v>9962.2999999999993</v>
      </c>
      <c r="G119" s="119">
        <v>10119.200000000001</v>
      </c>
      <c r="H119" s="119">
        <v>8034.3</v>
      </c>
      <c r="I119" s="119">
        <v>3967.2</v>
      </c>
      <c r="J119" s="119">
        <v>4799.8</v>
      </c>
      <c r="K119" s="119">
        <v>9167.2000000000007</v>
      </c>
      <c r="L119" s="119">
        <v>43724.800000000003</v>
      </c>
      <c r="M119" s="119">
        <v>16735.099999999999</v>
      </c>
      <c r="N119" s="119">
        <v>12256.8</v>
      </c>
      <c r="O119" s="119">
        <v>9234.9</v>
      </c>
      <c r="P119" s="119">
        <v>151099.29999999999</v>
      </c>
    </row>
    <row r="120" spans="2:16">
      <c r="B120" s="109" t="s">
        <v>241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</row>
    <row r="121" spans="2:16">
      <c r="B121" s="109" t="s">
        <v>236</v>
      </c>
      <c r="C121" s="119">
        <v>1567.6</v>
      </c>
      <c r="D121" s="119">
        <v>593.20000000000005</v>
      </c>
      <c r="E121" s="119">
        <v>3675.7</v>
      </c>
      <c r="F121" s="119">
        <v>123.8</v>
      </c>
      <c r="G121" s="119">
        <v>1038.2</v>
      </c>
      <c r="H121" s="119">
        <v>863.8</v>
      </c>
      <c r="I121" s="119">
        <v>2746.1</v>
      </c>
      <c r="J121" s="119">
        <v>3776.1</v>
      </c>
      <c r="K121" s="119">
        <v>319.8</v>
      </c>
      <c r="L121" s="119">
        <v>4108.1000000000004</v>
      </c>
      <c r="M121" s="119">
        <v>3030.8</v>
      </c>
      <c r="N121" s="119">
        <v>795.1</v>
      </c>
      <c r="O121" s="119">
        <v>91.5</v>
      </c>
      <c r="P121" s="119">
        <v>22729.8</v>
      </c>
    </row>
    <row r="122" spans="2:16">
      <c r="B122" s="109" t="s">
        <v>245</v>
      </c>
      <c r="C122" s="119">
        <v>28.4</v>
      </c>
      <c r="D122" s="119">
        <v>844.1</v>
      </c>
      <c r="E122" s="119">
        <v>1561.2</v>
      </c>
      <c r="F122" s="119">
        <v>0</v>
      </c>
      <c r="G122" s="119">
        <v>495.2</v>
      </c>
      <c r="H122" s="119">
        <v>0</v>
      </c>
      <c r="I122" s="119">
        <v>58.6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19">
        <v>0</v>
      </c>
      <c r="P122" s="119">
        <v>2987.5</v>
      </c>
    </row>
    <row r="123" spans="2:16">
      <c r="B123" s="109" t="s">
        <v>238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0</v>
      </c>
    </row>
    <row r="124" spans="2:16">
      <c r="B124" s="109" t="s">
        <v>22</v>
      </c>
      <c r="C124" s="119">
        <v>149.4</v>
      </c>
      <c r="D124" s="119">
        <v>376.7</v>
      </c>
      <c r="E124" s="119">
        <v>359.5</v>
      </c>
      <c r="F124" s="119">
        <v>40</v>
      </c>
      <c r="G124" s="119">
        <v>208.4</v>
      </c>
      <c r="H124" s="119">
        <v>0</v>
      </c>
      <c r="I124" s="119">
        <v>52.1</v>
      </c>
      <c r="J124" s="119">
        <v>0</v>
      </c>
      <c r="K124" s="119">
        <v>367.5</v>
      </c>
      <c r="L124" s="119">
        <v>0</v>
      </c>
      <c r="M124" s="119">
        <v>0</v>
      </c>
      <c r="N124" s="119">
        <v>0</v>
      </c>
      <c r="O124" s="119">
        <v>0</v>
      </c>
      <c r="P124" s="119">
        <v>1553.6</v>
      </c>
    </row>
    <row r="125" spans="2:16">
      <c r="B125" s="109" t="s">
        <v>247</v>
      </c>
      <c r="C125" s="119">
        <v>0</v>
      </c>
      <c r="D125" s="119">
        <v>973.2</v>
      </c>
      <c r="E125" s="119">
        <v>1700.4</v>
      </c>
      <c r="F125" s="119">
        <v>0</v>
      </c>
      <c r="G125" s="119">
        <v>0</v>
      </c>
      <c r="H125" s="119">
        <v>3635.7</v>
      </c>
      <c r="I125" s="119">
        <v>0</v>
      </c>
      <c r="J125" s="119">
        <v>5766.5</v>
      </c>
      <c r="K125" s="119">
        <v>0</v>
      </c>
      <c r="L125" s="119">
        <v>0</v>
      </c>
      <c r="M125" s="119">
        <v>0</v>
      </c>
      <c r="N125" s="119">
        <v>0</v>
      </c>
      <c r="O125" s="119">
        <v>976</v>
      </c>
      <c r="P125" s="119">
        <v>13051.8</v>
      </c>
    </row>
    <row r="126" spans="2:16">
      <c r="B126" s="109" t="s">
        <v>239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</row>
    <row r="127" spans="2:16">
      <c r="B127" s="109" t="s">
        <v>237</v>
      </c>
      <c r="C127" s="119">
        <v>940.1</v>
      </c>
      <c r="D127" s="119">
        <v>7214.8</v>
      </c>
      <c r="E127" s="119">
        <v>1397.9</v>
      </c>
      <c r="F127" s="119">
        <v>759.3</v>
      </c>
      <c r="G127" s="119">
        <v>2510.5</v>
      </c>
      <c r="H127" s="119">
        <v>1650.6</v>
      </c>
      <c r="I127" s="119">
        <v>774.9</v>
      </c>
      <c r="J127" s="119">
        <v>1181.9000000000001</v>
      </c>
      <c r="K127" s="119">
        <v>436</v>
      </c>
      <c r="L127" s="119">
        <v>249</v>
      </c>
      <c r="M127" s="119">
        <v>3717.6</v>
      </c>
      <c r="N127" s="119">
        <v>330.9</v>
      </c>
      <c r="O127" s="119">
        <v>107.7</v>
      </c>
      <c r="P127" s="119">
        <v>21271.200000000001</v>
      </c>
    </row>
    <row r="128" spans="2:16">
      <c r="B128" s="120" t="s">
        <v>0</v>
      </c>
      <c r="C128" s="121">
        <v>9061.2000000000007</v>
      </c>
      <c r="D128" s="121">
        <v>14908.7</v>
      </c>
      <c r="E128" s="121">
        <v>22555.7</v>
      </c>
      <c r="F128" s="121">
        <v>10885.4</v>
      </c>
      <c r="G128" s="121">
        <v>14371.5</v>
      </c>
      <c r="H128" s="121">
        <v>14184.4</v>
      </c>
      <c r="I128" s="121">
        <v>7972.9</v>
      </c>
      <c r="J128" s="121">
        <v>15524.3</v>
      </c>
      <c r="K128" s="121">
        <v>10290.5</v>
      </c>
      <c r="L128" s="121">
        <v>49888.6</v>
      </c>
      <c r="M128" s="121">
        <v>26968.9</v>
      </c>
      <c r="N128" s="121">
        <v>13382.8</v>
      </c>
      <c r="O128" s="121">
        <v>10410.1</v>
      </c>
      <c r="P128" s="121">
        <v>220405</v>
      </c>
    </row>
    <row r="129" spans="2:16">
      <c r="B129" s="109" t="s">
        <v>234</v>
      </c>
      <c r="C129" s="119">
        <v>294.2</v>
      </c>
      <c r="D129" s="119">
        <v>516.70000000000005</v>
      </c>
      <c r="E129" s="119">
        <v>0</v>
      </c>
      <c r="F129" s="119">
        <v>0</v>
      </c>
      <c r="G129" s="119">
        <v>8149.5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350.4</v>
      </c>
      <c r="N129" s="119">
        <v>0</v>
      </c>
      <c r="O129" s="119">
        <v>0</v>
      </c>
      <c r="P129" s="119">
        <v>9310.7999999999993</v>
      </c>
    </row>
    <row r="130" spans="2:16">
      <c r="B130" s="109" t="s">
        <v>26</v>
      </c>
      <c r="C130" s="119">
        <v>0</v>
      </c>
      <c r="D130" s="119">
        <v>1537.9</v>
      </c>
      <c r="E130" s="119">
        <v>2533.1</v>
      </c>
      <c r="F130" s="119">
        <v>555.79999999999995</v>
      </c>
      <c r="G130" s="119">
        <v>754.8</v>
      </c>
      <c r="H130" s="119">
        <v>458.3</v>
      </c>
      <c r="I130" s="119">
        <v>223.8</v>
      </c>
      <c r="J130" s="119">
        <v>0</v>
      </c>
      <c r="K130" s="119">
        <v>20</v>
      </c>
      <c r="L130" s="119">
        <v>0</v>
      </c>
      <c r="M130" s="119">
        <v>0</v>
      </c>
      <c r="N130" s="119">
        <v>90</v>
      </c>
      <c r="O130" s="119">
        <v>0</v>
      </c>
      <c r="P130" s="119">
        <v>6173.7</v>
      </c>
    </row>
    <row r="131" spans="2:16">
      <c r="B131" s="109" t="s">
        <v>241</v>
      </c>
      <c r="C131" s="119">
        <v>0</v>
      </c>
      <c r="D131" s="119">
        <v>257</v>
      </c>
      <c r="E131" s="119">
        <v>0</v>
      </c>
      <c r="F131" s="119">
        <v>0</v>
      </c>
      <c r="G131" s="119">
        <v>3.5</v>
      </c>
      <c r="H131" s="119">
        <v>0</v>
      </c>
      <c r="I131" s="119">
        <v>2.4</v>
      </c>
      <c r="J131" s="119">
        <v>0</v>
      </c>
      <c r="K131" s="119">
        <v>0</v>
      </c>
      <c r="L131" s="119">
        <v>0</v>
      </c>
      <c r="M131" s="119">
        <v>0</v>
      </c>
      <c r="N131" s="119">
        <v>154.4</v>
      </c>
      <c r="O131" s="119">
        <v>0</v>
      </c>
      <c r="P131" s="119">
        <v>417.3</v>
      </c>
    </row>
    <row r="132" spans="2:16">
      <c r="B132" s="109" t="s">
        <v>236</v>
      </c>
      <c r="C132" s="119">
        <v>4310.8</v>
      </c>
      <c r="D132" s="119">
        <v>809.6</v>
      </c>
      <c r="E132" s="119">
        <v>2991.4</v>
      </c>
      <c r="F132" s="119">
        <v>20748.5</v>
      </c>
      <c r="G132" s="119">
        <v>31856.3</v>
      </c>
      <c r="H132" s="119">
        <v>31829.7</v>
      </c>
      <c r="I132" s="119">
        <v>30752.2</v>
      </c>
      <c r="J132" s="119">
        <v>31097.5</v>
      </c>
      <c r="K132" s="119">
        <v>30123.599999999999</v>
      </c>
      <c r="L132" s="119">
        <v>16053.6</v>
      </c>
      <c r="M132" s="119">
        <v>32084.5</v>
      </c>
      <c r="N132" s="119">
        <v>34261.699999999997</v>
      </c>
      <c r="O132" s="119">
        <v>11426.8</v>
      </c>
      <c r="P132" s="119">
        <v>278346.2</v>
      </c>
    </row>
    <row r="133" spans="2:16">
      <c r="B133" s="109" t="s">
        <v>245</v>
      </c>
      <c r="C133" s="119">
        <v>42.4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42.4</v>
      </c>
    </row>
    <row r="134" spans="2:16">
      <c r="B134" s="109" t="s">
        <v>238</v>
      </c>
      <c r="C134" s="119">
        <v>0.6</v>
      </c>
      <c r="D134" s="119">
        <v>9502.9</v>
      </c>
      <c r="E134" s="119">
        <v>42.6</v>
      </c>
      <c r="F134" s="119">
        <v>1071</v>
      </c>
      <c r="G134" s="119">
        <v>1760.6</v>
      </c>
      <c r="H134" s="119">
        <v>671.7</v>
      </c>
      <c r="I134" s="119">
        <v>2324.3000000000002</v>
      </c>
      <c r="J134" s="119">
        <v>268.5</v>
      </c>
      <c r="K134" s="119">
        <v>373.8</v>
      </c>
      <c r="L134" s="119">
        <v>185.3</v>
      </c>
      <c r="M134" s="119">
        <v>425.7</v>
      </c>
      <c r="N134" s="119">
        <v>11163.7</v>
      </c>
      <c r="O134" s="119">
        <v>1911.2</v>
      </c>
      <c r="P134" s="119">
        <v>29701.9</v>
      </c>
    </row>
    <row r="135" spans="2:16">
      <c r="B135" s="109" t="s">
        <v>22</v>
      </c>
      <c r="C135" s="119">
        <v>0</v>
      </c>
      <c r="D135" s="119">
        <v>408.7</v>
      </c>
      <c r="E135" s="119">
        <v>0</v>
      </c>
      <c r="F135" s="119">
        <v>8.1999999999999993</v>
      </c>
      <c r="G135" s="119">
        <v>0</v>
      </c>
      <c r="H135" s="119">
        <v>189.5</v>
      </c>
      <c r="I135" s="119">
        <v>0</v>
      </c>
      <c r="J135" s="119">
        <v>0</v>
      </c>
      <c r="K135" s="119">
        <v>1416.6</v>
      </c>
      <c r="L135" s="119">
        <v>1837.6</v>
      </c>
      <c r="M135" s="119">
        <v>531.20000000000005</v>
      </c>
      <c r="N135" s="119">
        <v>589.5</v>
      </c>
      <c r="O135" s="119">
        <v>1375.3</v>
      </c>
      <c r="P135" s="119">
        <v>6356.6</v>
      </c>
    </row>
    <row r="136" spans="2:16">
      <c r="B136" s="109" t="s">
        <v>235</v>
      </c>
      <c r="C136" s="119">
        <v>0</v>
      </c>
      <c r="D136" s="119">
        <v>117.5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122.2</v>
      </c>
      <c r="O136" s="119">
        <v>0</v>
      </c>
      <c r="P136" s="119">
        <v>239.7</v>
      </c>
    </row>
    <row r="137" spans="2:16">
      <c r="B137" s="109" t="s">
        <v>239</v>
      </c>
      <c r="C137" s="119">
        <v>0</v>
      </c>
      <c r="D137" s="119">
        <v>0.4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0.4</v>
      </c>
    </row>
    <row r="138" spans="2:16">
      <c r="B138" s="109" t="s">
        <v>240</v>
      </c>
      <c r="C138" s="119">
        <v>0</v>
      </c>
      <c r="D138" s="119">
        <v>1254.7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44.1</v>
      </c>
      <c r="O138" s="119">
        <v>0</v>
      </c>
      <c r="P138" s="119">
        <v>1298.8</v>
      </c>
    </row>
    <row r="139" spans="2:16">
      <c r="B139" s="109" t="s">
        <v>237</v>
      </c>
      <c r="C139" s="119">
        <v>0</v>
      </c>
      <c r="D139" s="119">
        <v>102.9</v>
      </c>
      <c r="E139" s="119">
        <v>65</v>
      </c>
      <c r="F139" s="119">
        <v>183.2</v>
      </c>
      <c r="G139" s="119">
        <v>177.8</v>
      </c>
      <c r="H139" s="119">
        <v>613.5</v>
      </c>
      <c r="I139" s="119">
        <v>1135.9000000000001</v>
      </c>
      <c r="J139" s="119">
        <v>1121.8</v>
      </c>
      <c r="K139" s="119">
        <v>1190.9000000000001</v>
      </c>
      <c r="L139" s="119">
        <v>606.6</v>
      </c>
      <c r="M139" s="119">
        <v>413.1</v>
      </c>
      <c r="N139" s="119">
        <v>171.5</v>
      </c>
      <c r="O139" s="119">
        <v>67.5</v>
      </c>
      <c r="P139" s="119">
        <v>5849.7</v>
      </c>
    </row>
    <row r="140" spans="2:16">
      <c r="B140" s="120" t="s">
        <v>0</v>
      </c>
      <c r="C140" s="121">
        <v>4648</v>
      </c>
      <c r="D140" s="121">
        <v>14508.3</v>
      </c>
      <c r="E140" s="121">
        <v>5632.1</v>
      </c>
      <c r="F140" s="121">
        <v>22566.7</v>
      </c>
      <c r="G140" s="121">
        <v>42702.5</v>
      </c>
      <c r="H140" s="121">
        <v>33762.699999999997</v>
      </c>
      <c r="I140" s="121">
        <v>34438.6</v>
      </c>
      <c r="J140" s="121">
        <v>32487.8</v>
      </c>
      <c r="K140" s="121">
        <v>33124.9</v>
      </c>
      <c r="L140" s="121">
        <v>18683.099999999999</v>
      </c>
      <c r="M140" s="121">
        <v>33804.9</v>
      </c>
      <c r="N140" s="121">
        <v>46597.1</v>
      </c>
      <c r="O140" s="121">
        <v>14780.8</v>
      </c>
      <c r="P140" s="121">
        <v>337737.5</v>
      </c>
    </row>
    <row r="141" spans="2:16">
      <c r="B141" s="109"/>
      <c r="C141" s="119">
        <v>13709.2</v>
      </c>
      <c r="D141" s="119">
        <v>29417</v>
      </c>
      <c r="E141" s="119">
        <v>28187.8</v>
      </c>
      <c r="F141" s="119">
        <v>33452.1</v>
      </c>
      <c r="G141" s="119">
        <v>57074</v>
      </c>
      <c r="H141" s="119">
        <v>47947.1</v>
      </c>
      <c r="I141" s="119">
        <v>42411.5</v>
      </c>
      <c r="J141" s="119">
        <v>48012.1</v>
      </c>
      <c r="K141" s="119">
        <v>43415.4</v>
      </c>
      <c r="L141" s="119">
        <v>68571.7</v>
      </c>
      <c r="M141" s="119">
        <v>60773.8</v>
      </c>
      <c r="N141" s="119">
        <v>59979.9</v>
      </c>
      <c r="O141" s="119">
        <v>25190.9</v>
      </c>
      <c r="P141" s="119">
        <v>558142.5</v>
      </c>
    </row>
    <row r="142" spans="2:16">
      <c r="B142" s="10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09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</row>
    <row r="145" spans="2:16">
      <c r="B145" s="120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</row>
    <row r="146" spans="2:16">
      <c r="B146" s="10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09" t="s">
        <v>70</v>
      </c>
      <c r="C147" s="174">
        <v>91.525396333399996</v>
      </c>
      <c r="D147" s="174">
        <v>88.581907768400001</v>
      </c>
      <c r="E147" s="174">
        <v>86.157873728799999</v>
      </c>
      <c r="F147" s="174">
        <v>132.9255103166</v>
      </c>
      <c r="G147" s="174">
        <v>162.3070364578</v>
      </c>
      <c r="H147" s="174">
        <v>156.44702913059999</v>
      </c>
      <c r="I147" s="174">
        <v>137.28795092429999</v>
      </c>
      <c r="J147" s="174">
        <v>95.193314352300007</v>
      </c>
      <c r="K147" s="174">
        <v>113.42185996790001</v>
      </c>
      <c r="L147" s="174">
        <v>116.86911518860001</v>
      </c>
      <c r="M147" s="174">
        <v>103.6372710789</v>
      </c>
      <c r="N147" s="174">
        <v>144.02376109630001</v>
      </c>
      <c r="O147" s="174">
        <v>140.18530945910001</v>
      </c>
      <c r="P147" s="145"/>
    </row>
    <row r="148" spans="2:16">
      <c r="B148" s="111" t="s">
        <v>71</v>
      </c>
      <c r="C148" s="175">
        <v>38.1623566962</v>
      </c>
      <c r="D148" s="175">
        <v>7.5200099254000001</v>
      </c>
      <c r="E148" s="175">
        <v>24.361699898800001</v>
      </c>
      <c r="F148" s="175">
        <v>37.7942734206</v>
      </c>
      <c r="G148" s="175">
        <v>31.409996136099998</v>
      </c>
      <c r="H148" s="175">
        <v>38.9460973204</v>
      </c>
      <c r="I148" s="175">
        <v>34.010933952000002</v>
      </c>
      <c r="J148" s="175">
        <v>33.175365521800003</v>
      </c>
      <c r="K148" s="175">
        <v>35.092640581600001</v>
      </c>
      <c r="L148" s="175">
        <v>29.133979907000001</v>
      </c>
      <c r="M148" s="175">
        <v>29.7914500561</v>
      </c>
      <c r="N148" s="175">
        <v>29.2085445232</v>
      </c>
      <c r="O148" s="175">
        <v>35.4605900898</v>
      </c>
      <c r="P148" s="146"/>
    </row>
    <row r="149" spans="2:16" ht="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5">
      <c r="B150" s="118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14"/>
    </row>
    <row r="151" spans="2:16" ht="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</row>
    <row r="152" spans="2:16" ht="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</row>
    <row r="153" spans="2:16" ht="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72</v>
      </c>
      <c r="O153" s="172">
        <f>(O128-C128)/C128</f>
        <v>0.14886549242925876</v>
      </c>
      <c r="P153" s="114"/>
    </row>
    <row r="154" spans="2:16" ht="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73</v>
      </c>
      <c r="O154" s="172">
        <f>(O128-C128)/C128</f>
        <v>0.14886549242925876</v>
      </c>
      <c r="P154" s="114"/>
    </row>
    <row r="155" spans="2:16" ht="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76</v>
      </c>
      <c r="O155" s="172">
        <f>((O128+O140)-(C128+C140))/(C128+C140)</f>
        <v>0.83751787121057397</v>
      </c>
      <c r="P155" s="114"/>
    </row>
    <row r="156" spans="2:16" ht="15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09" t="s">
        <v>70</v>
      </c>
      <c r="O156" s="172">
        <f>(O147-C147)/C147</f>
        <v>0.53165476550843127</v>
      </c>
      <c r="P156" s="114"/>
    </row>
    <row r="157" spans="2:16" ht="15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09" t="s">
        <v>71</v>
      </c>
      <c r="O157" s="172">
        <f>(O148-C148)/C148</f>
        <v>-7.079663941899654E-2</v>
      </c>
      <c r="P157" s="114"/>
    </row>
    <row r="159" spans="2:16">
      <c r="B159" s="106" t="s">
        <v>153</v>
      </c>
    </row>
    <row r="160" spans="2:16">
      <c r="B160" s="108" t="s">
        <v>31</v>
      </c>
      <c r="C160" s="108" t="s">
        <v>131</v>
      </c>
      <c r="D160" s="108" t="s">
        <v>131</v>
      </c>
      <c r="E160" s="108" t="s">
        <v>131</v>
      </c>
      <c r="F160" s="108" t="s">
        <v>131</v>
      </c>
      <c r="G160" s="108" t="s">
        <v>131</v>
      </c>
      <c r="H160" s="108" t="s">
        <v>131</v>
      </c>
      <c r="I160" s="108" t="s">
        <v>131</v>
      </c>
      <c r="J160" s="108" t="s">
        <v>131</v>
      </c>
      <c r="K160" s="108" t="s">
        <v>131</v>
      </c>
      <c r="L160" s="108" t="s">
        <v>131</v>
      </c>
      <c r="M160" s="108" t="s">
        <v>131</v>
      </c>
      <c r="N160" s="108" t="s">
        <v>131</v>
      </c>
      <c r="O160" s="108" t="s">
        <v>131</v>
      </c>
    </row>
    <row r="161" spans="2:15">
      <c r="B161" s="108" t="s">
        <v>119</v>
      </c>
      <c r="C161" s="108" t="s">
        <v>206</v>
      </c>
      <c r="D161" s="108" t="s">
        <v>207</v>
      </c>
      <c r="E161" s="108" t="s">
        <v>208</v>
      </c>
      <c r="F161" s="108" t="s">
        <v>209</v>
      </c>
      <c r="G161" s="108" t="s">
        <v>210</v>
      </c>
      <c r="H161" s="108" t="s">
        <v>211</v>
      </c>
      <c r="I161" s="108" t="s">
        <v>212</v>
      </c>
      <c r="J161" s="108" t="s">
        <v>213</v>
      </c>
      <c r="K161" s="108" t="s">
        <v>214</v>
      </c>
      <c r="L161" s="108" t="s">
        <v>215</v>
      </c>
      <c r="M161" s="108" t="s">
        <v>216</v>
      </c>
      <c r="N161" s="108" t="s">
        <v>217</v>
      </c>
      <c r="O161" s="108" t="s">
        <v>218</v>
      </c>
    </row>
    <row r="162" spans="2:15">
      <c r="B162" s="108" t="s">
        <v>124</v>
      </c>
      <c r="C162" s="108" t="s">
        <v>9</v>
      </c>
      <c r="D162" s="108" t="s">
        <v>9</v>
      </c>
      <c r="E162" s="108" t="s">
        <v>8</v>
      </c>
      <c r="F162" s="108" t="s">
        <v>10</v>
      </c>
      <c r="G162" s="108" t="s">
        <v>11</v>
      </c>
      <c r="H162" s="108" t="s">
        <v>12</v>
      </c>
      <c r="I162" s="108" t="s">
        <v>13</v>
      </c>
      <c r="J162" s="108" t="s">
        <v>5</v>
      </c>
      <c r="K162" s="108" t="s">
        <v>6</v>
      </c>
      <c r="L162" s="108" t="s">
        <v>7</v>
      </c>
      <c r="M162" s="108" t="s">
        <v>8</v>
      </c>
      <c r="N162" s="108" t="s">
        <v>7</v>
      </c>
      <c r="O162" s="108" t="s">
        <v>9</v>
      </c>
    </row>
    <row r="163" spans="2:15">
      <c r="B163" s="109" t="s">
        <v>244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</row>
    <row r="164" spans="2:15">
      <c r="B164" s="109" t="s">
        <v>234</v>
      </c>
      <c r="C164" s="119">
        <v>4305</v>
      </c>
      <c r="D164" s="119">
        <v>0</v>
      </c>
      <c r="E164" s="119">
        <v>0</v>
      </c>
      <c r="F164" s="119">
        <v>3306.6</v>
      </c>
      <c r="G164" s="119">
        <v>27914.400000000001</v>
      </c>
      <c r="H164" s="119">
        <v>23926.9</v>
      </c>
      <c r="I164" s="119">
        <v>3200.6</v>
      </c>
      <c r="J164" s="119">
        <v>10696.2</v>
      </c>
      <c r="K164" s="119">
        <v>4341.8999999999996</v>
      </c>
      <c r="L164" s="119">
        <v>45246.3</v>
      </c>
      <c r="M164" s="119">
        <v>55123</v>
      </c>
      <c r="N164" s="119">
        <v>40054.5</v>
      </c>
      <c r="O164" s="119">
        <v>24939.8</v>
      </c>
    </row>
    <row r="165" spans="2:15">
      <c r="B165" s="109" t="s">
        <v>26</v>
      </c>
      <c r="C165" s="119">
        <v>11713</v>
      </c>
      <c r="D165" s="119">
        <v>0</v>
      </c>
      <c r="E165" s="119">
        <v>15430.5</v>
      </c>
      <c r="F165" s="119">
        <v>27967.5</v>
      </c>
      <c r="G165" s="119">
        <v>638167.19999999995</v>
      </c>
      <c r="H165" s="119">
        <v>455734.5</v>
      </c>
      <c r="I165" s="119">
        <v>67420.5</v>
      </c>
      <c r="J165" s="119">
        <v>39454.699999999997</v>
      </c>
      <c r="K165" s="119">
        <v>58215.4</v>
      </c>
      <c r="L165" s="119">
        <v>142680.5</v>
      </c>
      <c r="M165" s="119">
        <v>258682.2</v>
      </c>
      <c r="N165" s="119">
        <v>170347.3</v>
      </c>
      <c r="O165" s="119">
        <v>227127.5</v>
      </c>
    </row>
    <row r="166" spans="2:15">
      <c r="B166" s="109" t="s">
        <v>241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236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245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238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246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22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247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248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235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249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239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09" t="s">
        <v>240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</row>
    <row r="178" spans="2:15">
      <c r="B178" s="109" t="s">
        <v>237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</row>
    <row r="179" spans="2:15">
      <c r="B179" s="109"/>
      <c r="C179" s="175">
        <v>12.8</v>
      </c>
      <c r="D179" s="175" t="s">
        <v>191</v>
      </c>
      <c r="E179" s="175">
        <v>23.340193253599999</v>
      </c>
      <c r="F179" s="175">
        <v>21.599768498500001</v>
      </c>
      <c r="G179" s="175">
        <v>20.4834082251</v>
      </c>
      <c r="H179" s="175">
        <v>7.6688870712000003</v>
      </c>
      <c r="I179" s="175">
        <v>8.8270115871999995</v>
      </c>
      <c r="J179" s="175">
        <v>9.1079265776000007</v>
      </c>
      <c r="K179" s="175">
        <v>20.767300458899999</v>
      </c>
      <c r="L179" s="175">
        <v>23.806060237299999</v>
      </c>
      <c r="M179" s="175">
        <v>17.740267306</v>
      </c>
      <c r="N179" s="175">
        <v>13.0302566518</v>
      </c>
      <c r="O179" s="175">
        <v>6.7044843975999999</v>
      </c>
    </row>
  </sheetData>
  <mergeCells count="1">
    <mergeCell ref="B70:B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2018-07-16T11:24:07Z</dcterms:modified>
</cp:coreProperties>
</file>