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4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harts/chart6.xml" ContentType="application/vnd.openxmlformats-officedocument.drawingml.chart+xml"/>
  <Override PartName="/xl/drawings/drawing13.xml" ContentType="application/vnd.openxmlformats-officedocument.drawingml.chartshapes+xml"/>
  <Override PartName="/xl/drawings/drawing14.xml" ContentType="application/vnd.openxmlformats-officedocument.drawing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15.xml" ContentType="application/vnd.openxmlformats-officedocument.drawingml.chartshapes+xml"/>
  <Override PartName="/xl/charts/chart8.xml" ContentType="application/vnd.openxmlformats-officedocument.drawingml.chart+xml"/>
  <Override PartName="/xl/drawings/drawing16.xml" ContentType="application/vnd.openxmlformats-officedocument.drawingml.chartshapes+xml"/>
  <Override PartName="/xl/drawings/drawing17.xml" ContentType="application/vnd.openxmlformats-officedocument.drawing+xml"/>
  <Override PartName="/xl/charts/chart9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18.xml" ContentType="application/vnd.openxmlformats-officedocument.drawingml.chartshapes+xml"/>
  <Override PartName="/xl/charts/chart10.xml" ContentType="application/vnd.openxmlformats-officedocument.drawingml.chart+xml"/>
  <Override PartName="/xl/drawings/drawing19.xml" ContentType="application/vnd.openxmlformats-officedocument.drawingml.chartshapes+xml"/>
  <Override PartName="/xl/drawings/drawing20.xml" ContentType="application/vnd.openxmlformats-officedocument.drawing+xml"/>
  <Override PartName="/xl/charts/chart11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21.xml" ContentType="application/vnd.openxmlformats-officedocument.drawingml.chartshapes+xml"/>
  <Override PartName="/xl/charts/chart12.xml" ContentType="application/vnd.openxmlformats-officedocument.drawingml.chart+xml"/>
  <Override PartName="/xl/drawings/drawing22.xml" ContentType="application/vnd.openxmlformats-officedocument.drawingml.chartshapes+xml"/>
  <Override PartName="/xl/drawings/drawing23.xml" ContentType="application/vnd.openxmlformats-officedocument.drawing+xml"/>
  <Override PartName="/xl/charts/chart13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24.xml" ContentType="application/vnd.openxmlformats-officedocument.drawingml.chartshapes+xml"/>
  <Override PartName="/xl/charts/chart14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25.xml" ContentType="application/vnd.openxmlformats-officedocument.drawingml.chartshapes+xml"/>
  <Override PartName="/xl/drawings/drawing26.xml" ContentType="application/vnd.openxmlformats-officedocument.drawing+xml"/>
  <Override PartName="/xl/charts/chart15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27.xml" ContentType="application/vnd.openxmlformats-officedocument.drawingml.chartshapes+xml"/>
  <Override PartName="/xl/charts/chart16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28.xml" ContentType="application/vnd.openxmlformats-officedocument.drawingml.chartshapes+xml"/>
  <Override PartName="/xl/drawings/drawing29.xml" ContentType="application/vnd.openxmlformats-officedocument.drawing+xml"/>
  <Override PartName="/xl/charts/chart17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30.xml" ContentType="application/vnd.openxmlformats-officedocument.drawingml.chartshapes+xml"/>
  <Override PartName="/xl/charts/chart18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31.xml" ContentType="application/vnd.openxmlformats-officedocument.drawingml.chartshapes+xml"/>
  <Override PartName="/xl/drawings/drawing32.xml" ContentType="application/vnd.openxmlformats-officedocument.drawing+xml"/>
  <Override PartName="/xl/charts/chart19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3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MORNT4\analisis\Informacion\COMUN\BOLETIN ELECTRONICO\2018\FEB\INF_ELABORADA\"/>
    </mc:Choice>
  </mc:AlternateContent>
  <bookViews>
    <workbookView xWindow="0" yWindow="0" windowWidth="19395" windowHeight="7440" tabRatio="1000" activeTab="16"/>
  </bookViews>
  <sheets>
    <sheet name="Indice" sheetId="92" r:id="rId1"/>
    <sheet name="M1" sheetId="70" r:id="rId2"/>
    <sheet name="M2" sheetId="71" r:id="rId3"/>
    <sheet name="M3" sheetId="3" r:id="rId4"/>
    <sheet name="M4" sheetId="53" r:id="rId5"/>
    <sheet name="M5" sheetId="10" r:id="rId6"/>
    <sheet name="M6" sheetId="76" r:id="rId7"/>
    <sheet name="M7" sheetId="75" r:id="rId8"/>
    <sheet name="M8" sheetId="58" r:id="rId9"/>
    <sheet name="M9" sheetId="77" r:id="rId10"/>
    <sheet name="M10" sheetId="83" r:id="rId11"/>
    <sheet name="M11" sheetId="85" r:id="rId12"/>
    <sheet name="M12" sheetId="86" r:id="rId13"/>
    <sheet name="M13" sheetId="87" r:id="rId14"/>
    <sheet name="M14" sheetId="84" r:id="rId15"/>
    <sheet name="Data 1" sheetId="88" r:id="rId16"/>
    <sheet name="Data 2" sheetId="91" r:id="rId17"/>
  </sheets>
  <externalReferences>
    <externalReference r:id="rId18"/>
    <externalReference r:id="rId19"/>
  </externalReferences>
  <definedNames>
    <definedName name="_xlnm.Print_Area" localSheetId="1">'M1'!$B$2:$K$63</definedName>
    <definedName name="_xlnm.Print_Area" localSheetId="10">'M10'!$A$4:$M$67</definedName>
    <definedName name="_xlnm.Print_Area" localSheetId="11">'M11'!$A$4:$M$67</definedName>
    <definedName name="_xlnm.Print_Area" localSheetId="12">'M12'!$A$4:$M$67</definedName>
    <definedName name="_xlnm.Print_Area" localSheetId="13">'M13'!$A$4:$M$67</definedName>
    <definedName name="_xlnm.Print_Area" localSheetId="14">'M14'!$A$4:$M$67</definedName>
    <definedName name="_xlnm.Print_Area" localSheetId="2">'M2'!$A$1:$E$22</definedName>
    <definedName name="_xlnm.Print_Area" localSheetId="3">'M3'!$A$1:$E$22</definedName>
    <definedName name="_xlnm.Print_Area" localSheetId="5">'M5'!$A$1:$E$22</definedName>
    <definedName name="_xlnm.Print_Area" localSheetId="6">'M6'!$A$1:$E$22</definedName>
    <definedName name="_xlnm.Print_Area" localSheetId="7">'M7'!$A$1:$E$22</definedName>
    <definedName name="_xlnm.Print_Area" localSheetId="8">'M8'!$A$4:$M$69</definedName>
    <definedName name="_xlnm.Print_Area" localSheetId="9">'M9'!$A$4:$M$67</definedName>
    <definedName name="CUADRO_ANTERIOR" localSheetId="0">Indice!CUADRO_ANTERIOR</definedName>
    <definedName name="CUADRO_ANTERIOR" localSheetId="1">'M1'!CUADRO_ANTERIOR</definedName>
    <definedName name="CUADRO_ANTERIOR">[0]!CUADRO_ANTERIOR</definedName>
    <definedName name="cuadro_anterior_jcol" localSheetId="0">Indice!CUADRO_ANTERIOR</definedName>
    <definedName name="cuadro_anterior_jcol" localSheetId="1">'M1'!CUADRO_ANTERIOR</definedName>
    <definedName name="cuadro_anterior_jcol">[0]!CUADRO_ANTERIOR</definedName>
    <definedName name="CUADRO_PROXIMO" localSheetId="0">Indice!CUADRO_PROXIMO</definedName>
    <definedName name="CUADRO_PROXIMO" localSheetId="1">'M1'!CUADRO_PROXIMO</definedName>
    <definedName name="CUADRO_PROXIMO">[0]!CUADRO_PROXIMO</definedName>
    <definedName name="cuadro_proximo_jcol" localSheetId="0">Indice!CUADRO_PROXIMO</definedName>
    <definedName name="cuadro_proximo_jcol" localSheetId="1">'M1'!CUADRO_PROXIMO</definedName>
    <definedName name="cuadro_proximo_jcol">[0]!CUADRO_PROXIMO</definedName>
    <definedName name="Demanda">[1]Demanda!$D$371:$AA$371</definedName>
    <definedName name="Fecha">[1]I.Precios!$A$1:$A$74</definedName>
    <definedName name="FINALIZAR" localSheetId="0">Indice!FINALIZAR</definedName>
    <definedName name="FINALIZAR" localSheetId="1">'M1'!FINALIZAR</definedName>
    <definedName name="FINALIZAR">[0]!FINALIZAR</definedName>
    <definedName name="finalizar_jcol" localSheetId="0">Indice!FINALIZAR</definedName>
    <definedName name="finalizar_jcol" localSheetId="1">'M1'!FINALIZAR</definedName>
    <definedName name="finalizar_jcol">[0]!FINALIZAR</definedName>
    <definedName name="fl" localSheetId="0">Indice!CUADRO_PROXIMO</definedName>
    <definedName name="fl" localSheetId="1">[0]!CUADRO_PROXIMO</definedName>
    <definedName name="fl">[0]!CUADRO_PROXIMO</definedName>
    <definedName name="hola" localSheetId="0">Indice!FINALIZAR</definedName>
    <definedName name="hola" localSheetId="1">[0]!FINALIZAR</definedName>
    <definedName name="hola">[0]!FINALIZAR</definedName>
    <definedName name="Horas" localSheetId="1">[2]I.Precios!#REF!</definedName>
    <definedName name="Horas" localSheetId="10">[1]I.Precios!#REF!</definedName>
    <definedName name="Horas" localSheetId="11">[1]I.Precios!#REF!</definedName>
    <definedName name="Horas" localSheetId="12">[1]I.Precios!#REF!</definedName>
    <definedName name="Horas" localSheetId="13">[1]I.Precios!#REF!</definedName>
    <definedName name="Horas" localSheetId="14">[1]I.Precios!#REF!</definedName>
    <definedName name="Horas" localSheetId="2">[1]I.Precios!#REF!</definedName>
    <definedName name="Horas" localSheetId="6">[1]I.Precios!#REF!</definedName>
    <definedName name="Horas" localSheetId="7">[1]I.Precios!#REF!</definedName>
    <definedName name="Horas" localSheetId="8">[1]I.Precios!#REF!</definedName>
    <definedName name="Horas" localSheetId="9">[1]I.Precios!#REF!</definedName>
    <definedName name="Horas">[1]I.Precios!#REF!</definedName>
    <definedName name="IMPRESION" localSheetId="0">Indice!IMPRESION</definedName>
    <definedName name="IMPRESION" localSheetId="1">'M1'!IMPRESION</definedName>
    <definedName name="IMPRESION">[0]!IMPRESION</definedName>
    <definedName name="impresion_jcol" localSheetId="0">Indice!IMPRESION</definedName>
    <definedName name="impresion_jcol" localSheetId="1">'M1'!IMPRESION</definedName>
    <definedName name="impresion_jcol">[0]!IMPRESION</definedName>
    <definedName name="Índice" localSheetId="0">[0]!INDICE</definedName>
    <definedName name="Índice" localSheetId="1">[0]!INDICE</definedName>
    <definedName name="Índice" localSheetId="10">[0]!INDICE</definedName>
    <definedName name="Índice" localSheetId="11">[0]!INDICE</definedName>
    <definedName name="Índice" localSheetId="12">[0]!INDICE</definedName>
    <definedName name="Índice" localSheetId="13">[0]!INDICE</definedName>
    <definedName name="Índice" localSheetId="14">[0]!INDICE</definedName>
    <definedName name="Índice" localSheetId="2">[0]!INDICE</definedName>
    <definedName name="Índice" localSheetId="6">[0]!INDICE</definedName>
    <definedName name="Índice" localSheetId="7">[0]!INDICE</definedName>
    <definedName name="Índice" localSheetId="8">[0]!INDICE</definedName>
    <definedName name="Índice" localSheetId="9">[0]!INDICE</definedName>
    <definedName name="Índice">[0]!INDICE</definedName>
    <definedName name="indice_jcol" localSheetId="0">[0]!INDICE</definedName>
    <definedName name="indice_jcol" localSheetId="1">[0]!INDICE</definedName>
    <definedName name="indice_jcol" localSheetId="10">[0]!INDICE</definedName>
    <definedName name="indice_jcol" localSheetId="11">[0]!INDICE</definedName>
    <definedName name="indice_jcol" localSheetId="12">[0]!INDICE</definedName>
    <definedName name="indice_jcol" localSheetId="13">[0]!INDICE</definedName>
    <definedName name="indice_jcol" localSheetId="14">[0]!INDICE</definedName>
    <definedName name="indice_jcol" localSheetId="2">[0]!INDICE</definedName>
    <definedName name="indice_jcol" localSheetId="6">[0]!INDICE</definedName>
    <definedName name="indice_jcol" localSheetId="7">[0]!INDICE</definedName>
    <definedName name="indice_jcol" localSheetId="8">[0]!INDICE</definedName>
    <definedName name="indice_jcol" localSheetId="9">[0]!INDICE</definedName>
    <definedName name="indice_jcol">[0]!INDICE</definedName>
    <definedName name="jkhjklhjkhjkl" localSheetId="0">Indice!PRINCIPAL</definedName>
    <definedName name="jkhjklhjkhjkl" localSheetId="1">[0]!PRINCIPAL</definedName>
    <definedName name="jkhjklhjkhjkl" localSheetId="10">'M10'!PRINCIPAL</definedName>
    <definedName name="jkhjklhjkhjkl" localSheetId="11">'M11'!PRINCIPAL</definedName>
    <definedName name="jkhjklhjkhjkl" localSheetId="12">'M12'!PRINCIPAL</definedName>
    <definedName name="jkhjklhjkhjkl" localSheetId="13">'M13'!PRINCIPAL</definedName>
    <definedName name="jkhjklhjkhjkl" localSheetId="14">'M14'!PRINCIPAL</definedName>
    <definedName name="jkhjklhjkhjkl" localSheetId="2">'M2'!PRINCIPAL</definedName>
    <definedName name="jkhjklhjkhjkl" localSheetId="6">'M6'!PRINCIPAL</definedName>
    <definedName name="jkhjklhjkhjkl" localSheetId="7">'M7'!PRINCIPAL</definedName>
    <definedName name="jkhjklhjkhjkl" localSheetId="9">'M9'!PRINCIPAL</definedName>
    <definedName name="jkhjklhjkhjkl">[0]!PRINCIPAL</definedName>
    <definedName name="lionel" localSheetId="0">Indice!CUADRO_PROXIMO</definedName>
    <definedName name="lionel">[0]!CUADRO_PROXIMO</definedName>
    <definedName name="MSTR.Asignaciones__Mensual_simple_" localSheetId="0">#REF!</definedName>
    <definedName name="MSTR.Asignaciones__Mensual_simple_" localSheetId="10">#REF!</definedName>
    <definedName name="MSTR.Asignaciones__Mensual_simple_" localSheetId="11">#REF!</definedName>
    <definedName name="MSTR.Asignaciones__Mensual_simple_" localSheetId="12">#REF!</definedName>
    <definedName name="MSTR.Asignaciones__Mensual_simple_" localSheetId="13">#REF!</definedName>
    <definedName name="MSTR.Asignaciones__Mensual_simple_" localSheetId="14">#REF!</definedName>
    <definedName name="MSTR.Asignaciones__Mensual_simple_" localSheetId="2">#REF!</definedName>
    <definedName name="MSTR.Asignaciones__Mensual_simple_" localSheetId="6">#REF!</definedName>
    <definedName name="MSTR.Asignaciones__Mensual_simple_" localSheetId="7">#REF!</definedName>
    <definedName name="MSTR.Asignaciones__Mensual_simple_" localSheetId="9">#REF!</definedName>
    <definedName name="MSTR.Asignaciones__Mensual_simple_">#REF!</definedName>
    <definedName name="MSTR.Asignaciones__Periodo_simple___Combustible" localSheetId="0">#REF!</definedName>
    <definedName name="MSTR.Asignaciones__Periodo_simple___Combustible">#REF!</definedName>
    <definedName name="MSTR.Asignaciones_Gestión_de_desvíos" localSheetId="0">#REF!</definedName>
    <definedName name="MSTR.Asignaciones_Gestión_de_desvíos">#REF!</definedName>
    <definedName name="MSTR.Asignaciones_Restricciones_TReal" localSheetId="0">#REF!</definedName>
    <definedName name="MSTR.Asignaciones_Restricciones_TReal">#REF!</definedName>
    <definedName name="MSTR.Energia_de_Regulación_Secundaria" localSheetId="0">#REF!</definedName>
    <definedName name="MSTR.Energia_de_Regulación_Secundaria">#REF!</definedName>
    <definedName name="MSTR.Energía_restricciones_técnicas_PDBF_Combustible" localSheetId="0">#REF!</definedName>
    <definedName name="MSTR.Energía_restricciones_técnicas_PDBF_Combustible" localSheetId="10">#REF!</definedName>
    <definedName name="MSTR.Energía_restricciones_técnicas_PDBF_Combustible" localSheetId="11">#REF!</definedName>
    <definedName name="MSTR.Energía_restricciones_técnicas_PDBF_Combustible" localSheetId="12">#REF!</definedName>
    <definedName name="MSTR.Energía_restricciones_técnicas_PDBF_Combustible" localSheetId="13">#REF!</definedName>
    <definedName name="MSTR.Energía_restricciones_técnicas_PDBF_Combustible" localSheetId="14">#REF!</definedName>
    <definedName name="MSTR.Energía_restricciones_técnicas_PDBF_Combustible" localSheetId="6">#REF!</definedName>
    <definedName name="MSTR.Energía_restricciones_técnicas_PDBF_Combustible" localSheetId="7">#REF!</definedName>
    <definedName name="MSTR.Energía_restricciones_técnicas_PDBF_Combustible" localSheetId="9">#REF!</definedName>
    <definedName name="MSTR.Energía_restricciones_técnicas_PDBF_Combustible">#REF!</definedName>
    <definedName name="MSTR.Mercados_de_Operacion._Energía_Gestionada" localSheetId="0">#REF!</definedName>
    <definedName name="MSTR.Mercados_de_Operacion._Energía_Gestionada" localSheetId="10">#REF!</definedName>
    <definedName name="MSTR.Mercados_de_Operacion._Energía_Gestionada" localSheetId="11">#REF!</definedName>
    <definedName name="MSTR.Mercados_de_Operacion._Energía_Gestionada" localSheetId="12">#REF!</definedName>
    <definedName name="MSTR.Mercados_de_Operacion._Energía_Gestionada" localSheetId="13">#REF!</definedName>
    <definedName name="MSTR.Mercados_de_Operacion._Energía_Gestionada" localSheetId="14">#REF!</definedName>
    <definedName name="MSTR.Mercados_de_Operacion._Energía_Gestionada" localSheetId="9">#REF!</definedName>
    <definedName name="MSTR.Mercados_de_Operacion._Energía_Gestionada">#REF!</definedName>
    <definedName name="MSTR.Res_adi_subir_mensual__Combustible" localSheetId="0">#REF!</definedName>
    <definedName name="MSTR.Res_adi_subir_mensual__Combustible">#REF!</definedName>
    <definedName name="nuevo" localSheetId="0">Indice!CUADRO_PROXIMO</definedName>
    <definedName name="nuevo" localSheetId="1">[0]!CUADRO_PROXIMO</definedName>
    <definedName name="nuevo">[0]!CUADRO_PROXIMO</definedName>
    <definedName name="PRINCIPAL" localSheetId="0">#N/A</definedName>
    <definedName name="PRINCIPAL" localSheetId="1">'M1'!PRINCIPAL</definedName>
    <definedName name="PRINCIPAL" localSheetId="10">#N/A</definedName>
    <definedName name="PRINCIPAL" localSheetId="11">#N/A</definedName>
    <definedName name="PRINCIPAL" localSheetId="12">#N/A</definedName>
    <definedName name="PRINCIPAL" localSheetId="13">#N/A</definedName>
    <definedName name="PRINCIPAL" localSheetId="14">#N/A</definedName>
    <definedName name="PRINCIPAL" localSheetId="2">#N/A</definedName>
    <definedName name="PRINCIPAL" localSheetId="6">#N/A</definedName>
    <definedName name="PRINCIPAL" localSheetId="7">#N/A</definedName>
    <definedName name="PRINCIPAL" localSheetId="9">#N/A</definedName>
    <definedName name="PRINCIPAL">'M9'!PRINCIPAL</definedName>
    <definedName name="principal_jcol" localSheetId="0">Indice!PRINCIPAL</definedName>
    <definedName name="principal_jcol" localSheetId="1">'M1'!PRINCIPAL</definedName>
    <definedName name="principal_jcol" localSheetId="10">'M10'!PRINCIPAL</definedName>
    <definedName name="principal_jcol" localSheetId="11">'M11'!PRINCIPAL</definedName>
    <definedName name="principal_jcol" localSheetId="12">'M12'!PRINCIPAL</definedName>
    <definedName name="principal_jcol" localSheetId="13">'M13'!PRINCIPAL</definedName>
    <definedName name="principal_jcol" localSheetId="14">'M14'!PRINCIPAL</definedName>
    <definedName name="principal_jcol" localSheetId="2">'M2'!PRINCIPAL</definedName>
    <definedName name="principal_jcol" localSheetId="6">'M6'!PRINCIPAL</definedName>
    <definedName name="principal_jcol" localSheetId="7">'M7'!PRINCIPAL</definedName>
    <definedName name="principal_jcol" localSheetId="9">'M9'!PRINCIPAL</definedName>
    <definedName name="principal_jcol">[0]!PRINCIPAL</definedName>
    <definedName name="Rango" localSheetId="1">[2]I.PxD!#REF!</definedName>
    <definedName name="Rango" localSheetId="10">[1]I.PxD!#REF!</definedName>
    <definedName name="Rango" localSheetId="11">[1]I.PxD!#REF!</definedName>
    <definedName name="Rango" localSheetId="12">[1]I.PxD!#REF!</definedName>
    <definedName name="Rango" localSheetId="13">[1]I.PxD!#REF!</definedName>
    <definedName name="Rango" localSheetId="14">[1]I.PxD!#REF!</definedName>
    <definedName name="Rango" localSheetId="2">[1]I.PxD!#REF!</definedName>
    <definedName name="Rango" localSheetId="6">[1]I.PxD!#REF!</definedName>
    <definedName name="Rango" localSheetId="7">[1]I.PxD!#REF!</definedName>
    <definedName name="Rango" localSheetId="8">[1]I.PxD!#REF!</definedName>
    <definedName name="Rango" localSheetId="9">[1]I.PxD!#REF!</definedName>
    <definedName name="Rango">[1]I.PxD!#REF!</definedName>
    <definedName name="sfasfasf" localSheetId="0">[0]!INDICE</definedName>
    <definedName name="sfasfasf" localSheetId="1">[0]!INDICE</definedName>
    <definedName name="sfasfasf" localSheetId="10">[0]!INDICE</definedName>
    <definedName name="sfasfasf" localSheetId="11">[0]!INDICE</definedName>
    <definedName name="sfasfasf" localSheetId="12">[0]!INDICE</definedName>
    <definedName name="sfasfasf" localSheetId="13">[0]!INDICE</definedName>
    <definedName name="sfasfasf" localSheetId="14">[0]!INDICE</definedName>
    <definedName name="sfasfasf" localSheetId="2">[0]!INDICE</definedName>
    <definedName name="sfasfasf" localSheetId="6">[0]!INDICE</definedName>
    <definedName name="sfasfasf" localSheetId="7">[0]!INDICE</definedName>
    <definedName name="sfasfasf" localSheetId="8">[0]!INDICE</definedName>
    <definedName name="sfasfasf" localSheetId="9">[0]!INDICE</definedName>
    <definedName name="sfasfasf">[0]!INDICE</definedName>
    <definedName name="v" localSheetId="0">Indice!CUADRO_PROXIMO</definedName>
    <definedName name="v" localSheetId="1">[0]!CUADRO_PROXIMO</definedName>
    <definedName name="v">[0]!CUADRO_PROXIMO</definedName>
    <definedName name="xx" localSheetId="0">[0]!INDICE</definedName>
    <definedName name="xx" localSheetId="1">[0]!INDICE</definedName>
    <definedName name="xx" localSheetId="10">[0]!INDICE</definedName>
    <definedName name="xx" localSheetId="11">[0]!INDICE</definedName>
    <definedName name="xx" localSheetId="12">[0]!INDICE</definedName>
    <definedName name="xx" localSheetId="13">[0]!INDICE</definedName>
    <definedName name="xx" localSheetId="14">[0]!INDICE</definedName>
    <definedName name="xx" localSheetId="2">[0]!INDICE</definedName>
    <definedName name="xx" localSheetId="6">[0]!INDICE</definedName>
    <definedName name="xx" localSheetId="7">[0]!INDICE</definedName>
    <definedName name="xx" localSheetId="8">[0]!INDICE</definedName>
    <definedName name="xx" localSheetId="9">[0]!INDICE</definedName>
    <definedName name="xx">[0]!INDICE</definedName>
  </definedNames>
  <calcPr calcId="152511"/>
  <customWorkbookViews>
    <customWorkbookView name="C33_V" guid="{900DFCC7-DCF9-11D6-8470-0008C7298EBA}" includePrintSettings="0" includeHiddenRowCol="0" maximized="1" showSheetTabs="0" windowWidth="794" windowHeight="457" tabRatio="905" activeSheetId="62755" showStatusbar="0"/>
    <customWorkbookView name="C31_V" guid="{900DFCC6-DCF9-11D6-8470-0008C7298EBA}" includePrintSettings="0" includeHiddenRowCol="0" maximized="1" showSheetTabs="0" windowWidth="794" windowHeight="457" tabRatio="905" activeSheetId="62755" showStatusbar="0"/>
    <customWorkbookView name="C29_V" guid="{900DFCC5-DCF9-11D6-8470-0008C7298EBA}" includePrintSettings="0" includeHiddenRowCol="0" maximized="1" showSheetTabs="0" windowWidth="794" windowHeight="457" tabRatio="905" activeSheetId="62755" showStatusbar="0"/>
    <customWorkbookView name="C28_V" guid="{900DFCC4-DCF9-11D6-8470-0008C7298EBA}" includePrintSettings="0" includeHiddenRowCol="0" maximized="1" showSheetTabs="0" windowWidth="794" windowHeight="457" tabRatio="905" activeSheetId="62755" showStatusbar="0"/>
    <customWorkbookView name="C26_V" guid="{900DFCC3-DCF9-11D6-8470-0008C7298EBA}" includePrintSettings="0" includeHiddenRowCol="0" maximized="1" showSheetTabs="0" windowWidth="794" windowHeight="457" tabRatio="905" activeSheetId="62755" showStatusbar="0"/>
    <customWorkbookView name="C25_V" guid="{900DFCC2-DCF9-11D6-8470-0008C7298EBA}" includePrintSettings="0" includeHiddenRowCol="0" maximized="1" showSheetTabs="0" windowWidth="794" windowHeight="457" tabRatio="905" activeSheetId="62755" showStatusbar="0"/>
    <customWorkbookView name="C23_V" guid="{900DFCC1-DCF9-11D6-8470-0008C7298EBA}" includePrintSettings="0" includeHiddenRowCol="0" maximized="1" showSheetTabs="0" windowWidth="794" windowHeight="457" tabRatio="905" activeSheetId="62755" showStatusbar="0"/>
    <customWorkbookView name="C20_V" guid="{900DFCC0-DCF9-11D6-8470-0008C7298EBA}" includePrintSettings="0" includeHiddenRowCol="0" maximized="1" showSheetTabs="0" windowWidth="794" windowHeight="457" tabRatio="905" activeSheetId="62755" showStatusbar="0"/>
    <customWorkbookView name="C14_V" guid="{900DFCBF-DCF9-11D6-8470-0008C7298EBA}" includePrintSettings="0" includeHiddenRowCol="0" maximized="1" showSheetTabs="0" windowWidth="794" windowHeight="457" tabRatio="905" activeSheetId="62755" showStatusbar="0"/>
    <customWorkbookView name="C13_V" guid="{900DFCBE-DCF9-11D6-8470-0008C7298EBA}" includePrintSettings="0" includeHiddenRowCol="0" maximized="1" showSheetTabs="0" windowWidth="794" windowHeight="457" tabRatio="905" activeSheetId="62755" showStatusbar="0"/>
    <customWorkbookView name="C12_V" guid="{900DFCBD-DCF9-11D6-8470-0008C7298EBA}" includePrintSettings="0" includeHiddenRowCol="0" maximized="1" showSheetTabs="0" windowWidth="794" windowHeight="457" tabRatio="905" activeSheetId="62755" showStatusbar="0"/>
    <customWorkbookView name="C11_V" guid="{900DFCBC-DCF9-11D6-8470-0008C7298EBA}" includePrintSettings="0" includeHiddenRowCol="0" maximized="1" showSheetTabs="0" windowWidth="794" windowHeight="457" tabRatio="905" activeSheetId="62755" showStatusbar="0"/>
    <customWorkbookView name="C10_V" guid="{900DFCBB-DCF9-11D6-8470-0008C7298EBA}" includePrintSettings="0" includeHiddenRowCol="0" maximized="1" showSheetTabs="0" windowWidth="794" windowHeight="457" tabRatio="905" activeSheetId="62755" showStatusbar="0"/>
    <customWorkbookView name="C9_V" guid="{900DFCBA-DCF9-11D6-8470-0008C7298EBA}" includePrintSettings="0" includeHiddenRowCol="0" maximized="1" showSheetTabs="0" windowWidth="794" windowHeight="457" tabRatio="905" activeSheetId="62755" showStatusbar="0"/>
    <customWorkbookView name="C8_V" guid="{900DFCB9-DCF9-11D6-8470-0008C7298EBA}" includePrintSettings="0" includeHiddenRowCol="0" maximized="1" showSheetTabs="0" windowWidth="794" windowHeight="457" tabRatio="905" activeSheetId="62755" showStatusbar="0"/>
    <customWorkbookView name="C7_V" guid="{900DFCB8-DCF9-11D6-8470-0008C7298EBA}" includePrintSettings="0" includeHiddenRowCol="0" maximized="1" showSheetTabs="0" windowWidth="794" windowHeight="457" tabRatio="905" activeSheetId="62754" showStatusbar="0"/>
    <customWorkbookView name="C5_V" guid="{900DFCB7-DCF9-11D6-8470-0008C7298EBA}" includePrintSettings="0" includeHiddenRowCol="0" maximized="1" showSheetTabs="0" windowWidth="794" windowHeight="457" tabRatio="905" activeSheetId="62755" showStatusbar="0"/>
    <customWorkbookView name="C4_V" guid="{900DFCB6-DCF9-11D6-8470-0008C7298EBA}" includePrintSettings="0" includeHiddenRowCol="0" maximized="1" showSheetTabs="0" windowWidth="794" windowHeight="457" tabRatio="905" activeSheetId="62755" showStatusbar="0"/>
    <customWorkbookView name="C2_V" guid="{900DFCB5-DCF9-11D6-8470-0008C7298EBA}" includePrintSettings="0" includeHiddenRowCol="0" maximized="1" showSheetTabs="0" windowWidth="794" windowHeight="457" tabRatio="905" activeSheetId="62754" showStatusbar="0"/>
    <customWorkbookView name="C3_V" guid="{900DFCB4-DCF9-11D6-8470-0008C7298EBA}" includePrintSettings="0" includeHiddenRowCol="0" maximized="1" showSheetTabs="0" windowWidth="794" windowHeight="457" tabRatio="905" activeSheetId="62755" showStatusbar="0"/>
    <customWorkbookView name="C1_V" guid="{900DFCB2-DCF9-11D6-8470-0008C7298EBA}" includePrintSettings="0" includeHiddenRowCol="0" maximized="1" showSheetTabs="0" windowWidth="794" windowHeight="457" tabRatio="905" activeSheetId="62755" showStatusbar="0"/>
  </customWorkbookViews>
</workbook>
</file>

<file path=xl/calcChain.xml><?xml version="1.0" encoding="utf-8"?>
<calcChain xmlns="http://schemas.openxmlformats.org/spreadsheetml/2006/main">
  <c r="O155" i="91" l="1"/>
  <c r="P111" i="91"/>
  <c r="O91" i="88" l="1"/>
  <c r="K74" i="88" l="1"/>
  <c r="K73" i="88"/>
  <c r="M74" i="88"/>
  <c r="M78" i="88"/>
  <c r="O153" i="91" l="1"/>
  <c r="O154" i="91"/>
  <c r="O157" i="91"/>
  <c r="O156" i="91"/>
  <c r="E165" i="88"/>
  <c r="E164" i="88"/>
  <c r="E162" i="88"/>
  <c r="E161" i="88"/>
  <c r="P113" i="91" l="1"/>
  <c r="P112" i="91"/>
  <c r="P110" i="91"/>
  <c r="P109" i="91"/>
  <c r="P78" i="91" l="1"/>
  <c r="P77" i="91"/>
  <c r="P76" i="91"/>
  <c r="P75" i="91"/>
  <c r="P74" i="91"/>
  <c r="O30" i="91"/>
  <c r="O29" i="91"/>
  <c r="O28" i="91"/>
  <c r="O27" i="91"/>
  <c r="O26" i="91"/>
  <c r="E163" i="88"/>
  <c r="E3" i="92" l="1"/>
  <c r="G39" i="88" l="1"/>
  <c r="O21" i="91" l="1"/>
  <c r="N21" i="91"/>
  <c r="M21" i="91"/>
  <c r="L21" i="91"/>
  <c r="K21" i="91"/>
  <c r="J21" i="91"/>
  <c r="I21" i="91"/>
  <c r="H21" i="91"/>
  <c r="G21" i="91"/>
  <c r="F21" i="91"/>
  <c r="E21" i="91"/>
  <c r="D21" i="91"/>
  <c r="C21" i="91"/>
  <c r="G14" i="76" l="1"/>
  <c r="G15" i="76"/>
  <c r="G16" i="76"/>
  <c r="F16" i="76"/>
  <c r="F15" i="76"/>
  <c r="F14" i="76"/>
  <c r="F9" i="76"/>
  <c r="F11" i="76" s="1"/>
  <c r="F10" i="76"/>
  <c r="F12" i="76"/>
  <c r="F13" i="76"/>
  <c r="F17" i="76" l="1"/>
  <c r="O87" i="88"/>
  <c r="N87" i="88"/>
  <c r="M87" i="88"/>
  <c r="L87" i="88"/>
  <c r="K87" i="88"/>
  <c r="J87" i="88"/>
  <c r="I87" i="88"/>
  <c r="H87" i="88"/>
  <c r="G87" i="88"/>
  <c r="F87" i="88"/>
  <c r="E87" i="88"/>
  <c r="D87" i="88"/>
  <c r="C87" i="88"/>
  <c r="C13" i="91" l="1"/>
  <c r="C12" i="91"/>
  <c r="G13" i="76"/>
  <c r="G12" i="76"/>
  <c r="G10" i="76"/>
  <c r="G9" i="76"/>
  <c r="C81" i="88"/>
  <c r="D81" i="88"/>
  <c r="E81" i="88"/>
  <c r="F81" i="88"/>
  <c r="G81" i="88"/>
  <c r="H81" i="88"/>
  <c r="I81" i="88"/>
  <c r="J81" i="88"/>
  <c r="K81" i="88"/>
  <c r="L81" i="88"/>
  <c r="M81" i="88"/>
  <c r="N81" i="88"/>
  <c r="O81" i="88"/>
  <c r="C82" i="88"/>
  <c r="D82" i="88"/>
  <c r="E82" i="88"/>
  <c r="F82" i="88"/>
  <c r="G82" i="88"/>
  <c r="H82" i="88"/>
  <c r="I82" i="88"/>
  <c r="J82" i="88"/>
  <c r="K82" i="88"/>
  <c r="L82" i="88"/>
  <c r="M82" i="88"/>
  <c r="N82" i="88"/>
  <c r="O82" i="88"/>
  <c r="C83" i="88"/>
  <c r="D83" i="88"/>
  <c r="E83" i="88"/>
  <c r="F83" i="88"/>
  <c r="G83" i="88"/>
  <c r="H83" i="88"/>
  <c r="I83" i="88"/>
  <c r="J83" i="88"/>
  <c r="K83" i="88"/>
  <c r="L83" i="88"/>
  <c r="M83" i="88"/>
  <c r="N83" i="88"/>
  <c r="O83" i="88"/>
  <c r="C84" i="88"/>
  <c r="D84" i="88"/>
  <c r="E84" i="88"/>
  <c r="F84" i="88"/>
  <c r="G84" i="88"/>
  <c r="H84" i="88"/>
  <c r="I84" i="88"/>
  <c r="J84" i="88"/>
  <c r="K84" i="88"/>
  <c r="L84" i="88"/>
  <c r="M84" i="88"/>
  <c r="N84" i="88"/>
  <c r="O84" i="88"/>
  <c r="C85" i="88"/>
  <c r="D85" i="88"/>
  <c r="E85" i="88"/>
  <c r="F85" i="88"/>
  <c r="G85" i="88"/>
  <c r="H85" i="88"/>
  <c r="I85" i="88"/>
  <c r="J85" i="88"/>
  <c r="K85" i="88"/>
  <c r="L85" i="88"/>
  <c r="M85" i="88"/>
  <c r="N85" i="88"/>
  <c r="O85" i="88"/>
  <c r="C86" i="88"/>
  <c r="D86" i="88"/>
  <c r="E86" i="88"/>
  <c r="F86" i="88"/>
  <c r="G86" i="88"/>
  <c r="H86" i="88"/>
  <c r="I86" i="88"/>
  <c r="J86" i="88"/>
  <c r="K86" i="88"/>
  <c r="L86" i="88"/>
  <c r="M86" i="88"/>
  <c r="N86" i="88"/>
  <c r="O86" i="88"/>
  <c r="C88" i="88"/>
  <c r="D88" i="88"/>
  <c r="E88" i="88"/>
  <c r="F88" i="88"/>
  <c r="G88" i="88"/>
  <c r="H88" i="88"/>
  <c r="I88" i="88"/>
  <c r="J88" i="88"/>
  <c r="K88" i="88"/>
  <c r="L88" i="88"/>
  <c r="M88" i="88"/>
  <c r="N88" i="88"/>
  <c r="O88" i="88"/>
  <c r="C78" i="88"/>
  <c r="D78" i="88"/>
  <c r="F78" i="88"/>
  <c r="G78" i="88"/>
  <c r="I78" i="88"/>
  <c r="J78" i="88"/>
  <c r="L78" i="88"/>
  <c r="B62" i="88"/>
  <c r="C62" i="88"/>
  <c r="D62" i="88"/>
  <c r="G62" i="88"/>
  <c r="H62" i="88"/>
  <c r="J62" i="88"/>
  <c r="B63" i="88"/>
  <c r="C63" i="88"/>
  <c r="D63" i="88"/>
  <c r="G63" i="88"/>
  <c r="H63" i="88"/>
  <c r="J63" i="88"/>
  <c r="L63" i="88"/>
  <c r="B64" i="88"/>
  <c r="C64" i="88"/>
  <c r="D64" i="88"/>
  <c r="G64" i="88"/>
  <c r="H64" i="88"/>
  <c r="J64" i="88"/>
  <c r="B65" i="88"/>
  <c r="C65" i="88"/>
  <c r="D65" i="88"/>
  <c r="G65" i="88"/>
  <c r="H65" i="88"/>
  <c r="J65" i="88"/>
  <c r="B66" i="88"/>
  <c r="C66" i="88"/>
  <c r="D66" i="88"/>
  <c r="G66" i="88"/>
  <c r="H66" i="88"/>
  <c r="J66" i="88"/>
  <c r="B67" i="88"/>
  <c r="C67" i="88"/>
  <c r="D67" i="88"/>
  <c r="G67" i="88"/>
  <c r="H67" i="88"/>
  <c r="J67" i="88"/>
  <c r="B68" i="88"/>
  <c r="C68" i="88"/>
  <c r="D68" i="88"/>
  <c r="G68" i="88"/>
  <c r="H68" i="88"/>
  <c r="J68" i="88"/>
  <c r="B69" i="88"/>
  <c r="C69" i="88"/>
  <c r="D69" i="88"/>
  <c r="G69" i="88"/>
  <c r="H69" i="88"/>
  <c r="J69" i="88"/>
  <c r="B70" i="88"/>
  <c r="C70" i="88"/>
  <c r="D70" i="88"/>
  <c r="G70" i="88"/>
  <c r="H70" i="88"/>
  <c r="J70" i="88"/>
  <c r="B71" i="88"/>
  <c r="C71" i="88"/>
  <c r="D71" i="88"/>
  <c r="G71" i="88"/>
  <c r="H71" i="88"/>
  <c r="J71" i="88"/>
  <c r="B72" i="88"/>
  <c r="C72" i="88"/>
  <c r="D72" i="88"/>
  <c r="G72" i="88"/>
  <c r="H72" i="88"/>
  <c r="J72" i="88"/>
  <c r="B73" i="88"/>
  <c r="C73" i="88"/>
  <c r="D73" i="88"/>
  <c r="G73" i="88"/>
  <c r="H73" i="88"/>
  <c r="J73" i="88"/>
  <c r="B74" i="88"/>
  <c r="C74" i="88"/>
  <c r="D74" i="88"/>
  <c r="G74" i="88"/>
  <c r="H74" i="88"/>
  <c r="J74" i="88"/>
  <c r="K78" i="88" l="1"/>
  <c r="D89" i="88"/>
  <c r="E65" i="88"/>
  <c r="E62" i="88"/>
  <c r="L89" i="88"/>
  <c r="H89" i="88"/>
  <c r="E73" i="88"/>
  <c r="E69" i="88"/>
  <c r="E67" i="88"/>
  <c r="E78" i="88"/>
  <c r="E63" i="88"/>
  <c r="E72" i="88"/>
  <c r="E70" i="88"/>
  <c r="E64" i="88"/>
  <c r="M89" i="88"/>
  <c r="I89" i="88"/>
  <c r="E89" i="88"/>
  <c r="N89" i="88"/>
  <c r="J89" i="88"/>
  <c r="F89" i="88"/>
  <c r="O89" i="88"/>
  <c r="K89" i="88"/>
  <c r="G89" i="88"/>
  <c r="C89" i="88"/>
  <c r="E74" i="88"/>
  <c r="E71" i="88"/>
  <c r="E66" i="88"/>
  <c r="E68" i="88"/>
  <c r="H78" i="88" l="1"/>
  <c r="F11" i="3" l="1"/>
  <c r="F15" i="3"/>
  <c r="F19" i="3"/>
  <c r="F9" i="3"/>
  <c r="F21" i="3"/>
  <c r="F20" i="3"/>
  <c r="F18" i="3"/>
  <c r="F17" i="3"/>
  <c r="F16" i="3"/>
  <c r="F14" i="3"/>
  <c r="F13" i="3"/>
  <c r="F12" i="3"/>
  <c r="F10" i="3"/>
  <c r="G11" i="76" l="1"/>
  <c r="G17" i="76" s="1"/>
  <c r="G18" i="76" s="1"/>
  <c r="F62" i="88" l="1"/>
  <c r="K62" i="88" s="1"/>
  <c r="F63" i="88"/>
  <c r="K63" i="88" s="1"/>
  <c r="F64" i="88"/>
  <c r="K64" i="88" s="1"/>
  <c r="F65" i="88"/>
  <c r="K65" i="88" s="1"/>
  <c r="F66" i="88"/>
  <c r="K66" i="88" s="1"/>
  <c r="F67" i="88"/>
  <c r="K67" i="88" s="1"/>
  <c r="F68" i="88"/>
  <c r="K68" i="88" s="1"/>
  <c r="F69" i="88"/>
  <c r="K69" i="88" s="1"/>
  <c r="F70" i="88"/>
  <c r="K70" i="88" s="1"/>
  <c r="F71" i="88"/>
  <c r="K71" i="88" s="1"/>
  <c r="F72" i="88"/>
  <c r="K72" i="88" s="1"/>
  <c r="F73" i="88"/>
  <c r="I72" i="88" l="1"/>
  <c r="I64" i="88"/>
  <c r="I67" i="88"/>
  <c r="I73" i="88"/>
  <c r="I69" i="88"/>
  <c r="I65" i="88"/>
  <c r="I68" i="88"/>
  <c r="I71" i="88"/>
  <c r="I63" i="88"/>
  <c r="I70" i="88"/>
  <c r="I66" i="88"/>
  <c r="I62" i="88"/>
  <c r="F74" i="88"/>
  <c r="I74" i="88" l="1"/>
  <c r="L74" i="88" l="1"/>
</calcChain>
</file>

<file path=xl/sharedStrings.xml><?xml version="1.0" encoding="utf-8"?>
<sst xmlns="http://schemas.openxmlformats.org/spreadsheetml/2006/main" count="927" uniqueCount="246">
  <si>
    <t>Total</t>
  </si>
  <si>
    <t>Mercado diario</t>
  </si>
  <si>
    <t>Mercado intradiario</t>
  </si>
  <si>
    <t>Regulación terciaria</t>
  </si>
  <si>
    <t xml:space="preserve"> </t>
  </si>
  <si>
    <t>E</t>
  </si>
  <si>
    <t>F</t>
  </si>
  <si>
    <t>M</t>
  </si>
  <si>
    <t>A</t>
  </si>
  <si>
    <t>J</t>
  </si>
  <si>
    <t>S</t>
  </si>
  <si>
    <t>O</t>
  </si>
  <si>
    <t>N</t>
  </si>
  <si>
    <t>D</t>
  </si>
  <si>
    <t>Banda de regulación secundaria</t>
  </si>
  <si>
    <t>Precio medio</t>
  </si>
  <si>
    <t>(€/MWh)</t>
  </si>
  <si>
    <t>Desvíos</t>
  </si>
  <si>
    <t>Excedente desvíos</t>
  </si>
  <si>
    <t>Servicios de ajuste</t>
  </si>
  <si>
    <t>Pagos por capacidad</t>
  </si>
  <si>
    <t>Repercusión de los servicios de ajuste en el precio final (€/MWh)</t>
  </si>
  <si>
    <t>Hidráulica</t>
  </si>
  <si>
    <t>Restricciones técnicas PDBF</t>
  </si>
  <si>
    <t>Banda</t>
  </si>
  <si>
    <t>Control del factor de potencia</t>
  </si>
  <si>
    <t>Ciclo Combinado</t>
  </si>
  <si>
    <t>Reserva de potencia adicional a subir</t>
  </si>
  <si>
    <t>Restricciones técnicas en tiempo real</t>
  </si>
  <si>
    <t>Servicio de interrumpibilidad</t>
  </si>
  <si>
    <t xml:space="preserve">PRECIO FINAL </t>
  </si>
  <si>
    <t>Indicadores</t>
  </si>
  <si>
    <t>Repercusión de los servicios de ajuste del sistema en el precio final medio</t>
  </si>
  <si>
    <t>(1) Incluye liquidación servicios transfronterizos de balance.</t>
  </si>
  <si>
    <t>Energía final</t>
  </si>
  <si>
    <t>Mercado eléctrico</t>
  </si>
  <si>
    <t>Boletín mensual</t>
  </si>
  <si>
    <t xml:space="preserve"> Restricciones técnicas PBF</t>
  </si>
  <si>
    <t>Pagos  por capacidad</t>
  </si>
  <si>
    <t>Servicio interrumpibilidad</t>
  </si>
  <si>
    <t>Demanda peninsular</t>
  </si>
  <si>
    <t>Excedentes desvíos</t>
  </si>
  <si>
    <t>Fecha</t>
  </si>
  <si>
    <t>Solución de restricciones técnicas (Fase I)</t>
  </si>
  <si>
    <t>Otros procesos OS</t>
  </si>
  <si>
    <t>Banda de precios</t>
  </si>
  <si>
    <t>Precio máximo</t>
  </si>
  <si>
    <t>Precio mínimo</t>
  </si>
  <si>
    <t>Valores extremos y medio del precio del mercado diario</t>
  </si>
  <si>
    <t>Bombeo</t>
  </si>
  <si>
    <t>Mibel importación desde sistema eléctrico español</t>
  </si>
  <si>
    <t>Mibel importación desde sistema eléctrico portugués</t>
  </si>
  <si>
    <t>Térmica convencional</t>
  </si>
  <si>
    <t>Importaciones internacionales</t>
  </si>
  <si>
    <t>Renovables, Cogeneración y Residuos</t>
  </si>
  <si>
    <t>Componentes del precio final medio de la energía</t>
  </si>
  <si>
    <t>Mercado diario e intradiario</t>
  </si>
  <si>
    <t>Desvíos(1)</t>
  </si>
  <si>
    <t>Restricciones técnicas</t>
  </si>
  <si>
    <t>Control de factor de potencia</t>
  </si>
  <si>
    <t>Total Servicios ajustes</t>
  </si>
  <si>
    <t>Energía gestionada en los servicios de ajustes</t>
  </si>
  <si>
    <t>(GWh)</t>
  </si>
  <si>
    <t xml:space="preserve">  Restricciones técnicas al PDBF</t>
  </si>
  <si>
    <t xml:space="preserve">  Restricciones técnicas en tiempo real</t>
  </si>
  <si>
    <t>Energía limitada por restricciones (MWh)</t>
  </si>
  <si>
    <t>BANDA SUBIR</t>
  </si>
  <si>
    <t>(GW y €/MW)</t>
  </si>
  <si>
    <t>energia bajar</t>
  </si>
  <si>
    <t>energia subir</t>
  </si>
  <si>
    <t>precio medio subir</t>
  </si>
  <si>
    <t>precio medio bajar</t>
  </si>
  <si>
    <t>energía subir</t>
  </si>
  <si>
    <t>energía bajar</t>
  </si>
  <si>
    <t>volumen energía</t>
  </si>
  <si>
    <t>Volumen energía</t>
  </si>
  <si>
    <t>Volumen de energía</t>
  </si>
  <si>
    <t>energía subir fase i</t>
  </si>
  <si>
    <t>Energía bajar fase i</t>
  </si>
  <si>
    <t>Volumen energia</t>
  </si>
  <si>
    <t>Precio medio subir</t>
  </si>
  <si>
    <t>Precio medio bajar</t>
  </si>
  <si>
    <t>Variación repercusion</t>
  </si>
  <si>
    <t>SA sobre mes año anterior</t>
  </si>
  <si>
    <t>variaciones</t>
  </si>
  <si>
    <t>Variaciones</t>
  </si>
  <si>
    <t>(GWh y €/MWh)</t>
  </si>
  <si>
    <t>Regulación secundaria utilizada</t>
  </si>
  <si>
    <t>Gestión de desvíos</t>
  </si>
  <si>
    <r>
      <t xml:space="preserve">Evolución del componente del precio final medio de la energía. </t>
    </r>
    <r>
      <rPr>
        <b/>
        <sz val="8"/>
        <color indexed="8"/>
        <rFont val="Arial"/>
        <family val="2"/>
      </rPr>
      <t>(Suministro de referencia + libre)</t>
    </r>
  </si>
  <si>
    <t>d</t>
  </si>
  <si>
    <t>e</t>
  </si>
  <si>
    <t>f</t>
  </si>
  <si>
    <t>m</t>
  </si>
  <si>
    <t>a</t>
  </si>
  <si>
    <t>j</t>
  </si>
  <si>
    <t>s</t>
  </si>
  <si>
    <t>o</t>
  </si>
  <si>
    <t>n</t>
  </si>
  <si>
    <t>Coste medio de la energía de comercializadores y consumidores directos</t>
  </si>
  <si>
    <t>Mes_ind ID</t>
  </si>
  <si>
    <t>Mes ID</t>
  </si>
  <si>
    <t>Concepto DESC</t>
  </si>
  <si>
    <t>Energía final MWh</t>
  </si>
  <si>
    <t>Cuota %</t>
  </si>
  <si>
    <t>Mercado Diario</t>
  </si>
  <si>
    <t>Restricciones PBF</t>
  </si>
  <si>
    <t>Restricciones TR</t>
  </si>
  <si>
    <t>Mercado Intradiario</t>
  </si>
  <si>
    <t>Restricciones Intradiario</t>
  </si>
  <si>
    <t>Reserva subir</t>
  </si>
  <si>
    <t>Banda Secundaria</t>
  </si>
  <si>
    <t>Incumplimiento energía balance</t>
  </si>
  <si>
    <t>Coste desvíos</t>
  </si>
  <si>
    <t>Saldo desvíos</t>
  </si>
  <si>
    <t>Pago capacidad</t>
  </si>
  <si>
    <t>Saldo PO 14.6</t>
  </si>
  <si>
    <t>Fallo Nominación UPG</t>
  </si>
  <si>
    <t>Coste medio final (€/MWh)</t>
  </si>
  <si>
    <t>Mes DESC</t>
  </si>
  <si>
    <t>Importe (EUR) Obligaciones de pago</t>
  </si>
  <si>
    <t>Importe (EUR) Saldo</t>
  </si>
  <si>
    <t>Energía Programada (MWh)</t>
  </si>
  <si>
    <t>Sentido Sentido</t>
  </si>
  <si>
    <t>Combustible DESC</t>
  </si>
  <si>
    <t>Energia (MWh) a subir</t>
  </si>
  <si>
    <t>Energia (MWh) a bajar</t>
  </si>
  <si>
    <t>Precio ( €/MWh)</t>
  </si>
  <si>
    <t>Año ID</t>
  </si>
  <si>
    <t>Energía Asignada (MWh) - Mercado de Terciaria</t>
  </si>
  <si>
    <t>Valor periodo</t>
  </si>
  <si>
    <t>Reserva Asignada (MW)</t>
  </si>
  <si>
    <t>Evolución del precio del mercado diario</t>
  </si>
  <si>
    <t>Mercado diario: participación en cada tecnología en el precio marginal (%)</t>
  </si>
  <si>
    <r>
      <t>Evolución de los componentes del precio final medio (</t>
    </r>
    <r>
      <rPr>
        <b/>
        <sz val="8"/>
        <color rgb="FF004563"/>
        <rFont val="Calibri"/>
        <family val="2"/>
      </rPr>
      <t>€</t>
    </r>
    <r>
      <rPr>
        <b/>
        <sz val="8"/>
        <color rgb="FF004563"/>
        <rFont val="Arial"/>
        <family val="2"/>
      </rPr>
      <t>/MWh)</t>
    </r>
  </si>
  <si>
    <t>Coste de los servicios de ajuste (M€)</t>
  </si>
  <si>
    <t>Regulación secundaria</t>
  </si>
  <si>
    <t>Gestión Desvios</t>
  </si>
  <si>
    <t>Mercado diario: participación de cada tecnología en el precio marginal (%)</t>
  </si>
  <si>
    <t>Precio</t>
  </si>
  <si>
    <t xml:space="preserve">• </t>
  </si>
  <si>
    <t>Mercado diario: participación de cada tecnología en el precio marginal.</t>
  </si>
  <si>
    <t>Evolución del componente del  precio medio final de la energía.</t>
  </si>
  <si>
    <t>Componentes del precio medio final de la energía.</t>
  </si>
  <si>
    <t>Coste de los servicios de ajuste</t>
  </si>
  <si>
    <t>Fuentes: OMIE y REE.</t>
  </si>
  <si>
    <t>precio medio aritmético mensual</t>
  </si>
  <si>
    <t>Solución de restricciones técnicas (Fase I) (MWh y €/MWh)</t>
  </si>
  <si>
    <t>Banda de regulación secundaria (MW y €/MW)</t>
  </si>
  <si>
    <t>Regulación terciaria (MWh y €/MWh)</t>
  </si>
  <si>
    <t>Gestión de desvíos (MWh y €/MWh)</t>
  </si>
  <si>
    <t>Restricciones técnicas en tiempo real (MWh y €/MWh)</t>
  </si>
  <si>
    <t>Reserva adicional a subir (MW y €/MW)</t>
  </si>
  <si>
    <t>Regulación secundaria utilizada (MWh y €/MW)</t>
  </si>
  <si>
    <t>Coste de los servicios de ajuste (€)</t>
  </si>
  <si>
    <t>∆2018/2017</t>
  </si>
  <si>
    <t>01/02/2018</t>
  </si>
  <si>
    <t>02/02/2018</t>
  </si>
  <si>
    <t>03/02/2018</t>
  </si>
  <si>
    <t>04/02/2018</t>
  </si>
  <si>
    <t>05/02/2018</t>
  </si>
  <si>
    <t>06/02/2018</t>
  </si>
  <si>
    <t>07/02/2018</t>
  </si>
  <si>
    <t>08/02/2018</t>
  </si>
  <si>
    <t>09/02/2018</t>
  </si>
  <si>
    <t>10/02/2018</t>
  </si>
  <si>
    <t>11/02/2018</t>
  </si>
  <si>
    <t>12/02/2018</t>
  </si>
  <si>
    <t>13/02/2018</t>
  </si>
  <si>
    <t>14/02/2018</t>
  </si>
  <si>
    <t>15/02/2018</t>
  </si>
  <si>
    <t>16/02/2018</t>
  </si>
  <si>
    <t>17/02/2018</t>
  </si>
  <si>
    <t>18/02/2018</t>
  </si>
  <si>
    <t>19/02/2018</t>
  </si>
  <si>
    <t>20/02/2018</t>
  </si>
  <si>
    <t>21/02/2018</t>
  </si>
  <si>
    <t>22/02/2018</t>
  </si>
  <si>
    <t>23/02/2018</t>
  </si>
  <si>
    <t>24/02/2018</t>
  </si>
  <si>
    <t>25/02/2018</t>
  </si>
  <si>
    <t>26/02/2018</t>
  </si>
  <si>
    <t>27/02/2018</t>
  </si>
  <si>
    <t>28/02/2018</t>
  </si>
  <si>
    <t>Promedio</t>
  </si>
  <si>
    <t>-</t>
  </si>
  <si>
    <t>Febrero 2018</t>
  </si>
  <si>
    <t>FEB-17</t>
  </si>
  <si>
    <t>MAR-17</t>
  </si>
  <si>
    <t>ABR-17</t>
  </si>
  <si>
    <t>MAY-17</t>
  </si>
  <si>
    <t>JUN-17</t>
  </si>
  <si>
    <t>JUL-17</t>
  </si>
  <si>
    <t>AGO-17</t>
  </si>
  <si>
    <t>SEP-17</t>
  </si>
  <si>
    <t>OCT-17</t>
  </si>
  <si>
    <t>NOV-17</t>
  </si>
  <si>
    <t>DIC-17</t>
  </si>
  <si>
    <t>ENE-18</t>
  </si>
  <si>
    <t>FEB-18</t>
  </si>
  <si>
    <t>2017 Febrero</t>
  </si>
  <si>
    <t>2017 Marzo</t>
  </si>
  <si>
    <t>2017 Abril</t>
  </si>
  <si>
    <t>2017 Mayo</t>
  </si>
  <si>
    <t>2017 Junio</t>
  </si>
  <si>
    <t>2017 Julio</t>
  </si>
  <si>
    <t>2017 Agosto</t>
  </si>
  <si>
    <t>2017 Septiembre</t>
  </si>
  <si>
    <t>2017 Octubre</t>
  </si>
  <si>
    <t>2017 Noviembre</t>
  </si>
  <si>
    <t>2017 Diciembre</t>
  </si>
  <si>
    <t>2018 Enero</t>
  </si>
  <si>
    <t>2018 Febrero</t>
  </si>
  <si>
    <t>Segmento Seg_desc_corta</t>
  </si>
  <si>
    <t>Restricciones PBF - Coste</t>
  </si>
  <si>
    <t>Reserva subir - Coste</t>
  </si>
  <si>
    <t>Banda secundaria - CF</t>
  </si>
  <si>
    <t>Restricciones tiempo real (SC)</t>
  </si>
  <si>
    <t>Reducción servicio interrumpibilidad</t>
  </si>
  <si>
    <t>Gestión de desvíos y terciaria (I)</t>
  </si>
  <si>
    <t>Servicios transfronterizos balance</t>
  </si>
  <si>
    <t>Acciones de balance</t>
  </si>
  <si>
    <t>Desvío entre sistemas</t>
  </si>
  <si>
    <t>Febrero 2017</t>
  </si>
  <si>
    <t>Restricciones Técnicas al PBF</t>
  </si>
  <si>
    <t>Restric. en Tiempo Real</t>
  </si>
  <si>
    <t>Febrero</t>
  </si>
  <si>
    <t>Subir</t>
  </si>
  <si>
    <t>Nuclear</t>
  </si>
  <si>
    <t>Carbón</t>
  </si>
  <si>
    <t>Consumo Bombeo</t>
  </si>
  <si>
    <t>Bajar</t>
  </si>
  <si>
    <t>Turbinación bombeo</t>
  </si>
  <si>
    <t>Eólica</t>
  </si>
  <si>
    <t>Solar fotovoltaica</t>
  </si>
  <si>
    <t>Solar térmica</t>
  </si>
  <si>
    <t>Cogeneración</t>
  </si>
  <si>
    <t>Otras Renovables</t>
  </si>
  <si>
    <t>Energía a subir</t>
  </si>
  <si>
    <t>Energía a bajar</t>
  </si>
  <si>
    <t>Adquisición de Energía</t>
  </si>
  <si>
    <t>Enlace Península Baleares</t>
  </si>
  <si>
    <t>Fuel-Gas</t>
  </si>
  <si>
    <t>Internacionales</t>
  </si>
  <si>
    <t>Residuos no Renovables</t>
  </si>
  <si>
    <t xml:space="preserve">Mercados diario e intradiario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</si>
</sst>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#,##0.0"/>
    <numFmt numFmtId="165" formatCode="0.000"/>
    <numFmt numFmtId="166" formatCode="0.0"/>
    <numFmt numFmtId="167" formatCode="_-* #,##0.00[$€]_-;\-* #,##0.00[$€]_-;_-* &quot;-&quot;??[$€]_-;_-@_-"/>
    <numFmt numFmtId="168" formatCode="0.0%"/>
    <numFmt numFmtId="169" formatCode="#,##0.00;\(#,##0.00\)"/>
    <numFmt numFmtId="170" formatCode="#,##0.000"/>
  </numFmts>
  <fonts count="55">
    <font>
      <sz val="10"/>
      <name val="Geneva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Geneva"/>
      <family val="2"/>
    </font>
    <font>
      <sz val="9"/>
      <name val="Futura"/>
      <family val="2"/>
    </font>
    <font>
      <sz val="10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  <font>
      <sz val="10"/>
      <color indexed="56"/>
      <name val="Geneva"/>
      <family val="2"/>
    </font>
    <font>
      <sz val="10"/>
      <color indexed="8"/>
      <name val="Geneva"/>
      <family val="2"/>
    </font>
    <font>
      <sz val="10"/>
      <color indexed="32"/>
      <name val="Avant Garde"/>
    </font>
    <font>
      <sz val="10"/>
      <name val="Arial"/>
      <family val="2"/>
    </font>
    <font>
      <sz val="10"/>
      <name val="Geneva"/>
    </font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b/>
      <sz val="8"/>
      <color rgb="FFFFFFFF"/>
      <name val="Arial"/>
      <family val="2"/>
    </font>
    <font>
      <sz val="10"/>
      <color theme="0"/>
      <name val="Arial"/>
      <family val="2"/>
    </font>
    <font>
      <b/>
      <sz val="8"/>
      <color rgb="FF004563"/>
      <name val="Arial"/>
      <family val="2"/>
    </font>
    <font>
      <sz val="8"/>
      <color rgb="FF004563"/>
      <name val="Arial"/>
      <family val="2"/>
    </font>
    <font>
      <sz val="10"/>
      <color rgb="FF004563"/>
      <name val="Geneva"/>
    </font>
    <font>
      <b/>
      <sz val="10"/>
      <color rgb="FF004563"/>
      <name val="Geneva"/>
    </font>
    <font>
      <sz val="8"/>
      <name val="Symbol"/>
      <family val="1"/>
      <charset val="2"/>
    </font>
    <font>
      <b/>
      <sz val="8"/>
      <color rgb="FF005675"/>
      <name val="Verdana"/>
      <family val="2"/>
    </font>
    <font>
      <b/>
      <sz val="1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8"/>
      <name val="Arial"/>
      <family val="2"/>
    </font>
    <font>
      <sz val="8"/>
      <name val="Helv"/>
    </font>
    <font>
      <sz val="8"/>
      <color indexed="10"/>
      <name val="Helv"/>
    </font>
    <font>
      <sz val="10"/>
      <name val="Arial"/>
      <family val="2"/>
    </font>
    <font>
      <sz val="10"/>
      <color theme="0"/>
      <name val="Geneva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Arial"/>
      <family val="2"/>
    </font>
    <font>
      <sz val="11"/>
      <color rgb="FF004563"/>
      <name val="Arial"/>
      <family val="2"/>
    </font>
    <font>
      <b/>
      <sz val="11"/>
      <color rgb="FF004563"/>
      <name val="Arial"/>
      <family val="2"/>
    </font>
    <font>
      <b/>
      <sz val="11"/>
      <color indexed="8"/>
      <name val="Arial"/>
      <family val="2"/>
    </font>
    <font>
      <b/>
      <sz val="8"/>
      <color rgb="FF000000"/>
      <name val="Arial"/>
      <family val="2"/>
    </font>
    <font>
      <b/>
      <sz val="10"/>
      <color rgb="FFFF0000"/>
      <name val="Arial"/>
      <family val="2"/>
    </font>
    <font>
      <b/>
      <sz val="11"/>
      <color rgb="FFFF0000"/>
      <name val="Arial"/>
      <family val="2"/>
    </font>
    <font>
      <sz val="10"/>
      <color rgb="FFFF0000"/>
      <name val="Avant Garde"/>
    </font>
    <font>
      <sz val="10"/>
      <color rgb="FFFF0000"/>
      <name val="Geneva"/>
      <family val="2"/>
    </font>
    <font>
      <b/>
      <sz val="8"/>
      <color rgb="FFFF0000"/>
      <name val="Arial"/>
      <family val="2"/>
    </font>
    <font>
      <sz val="10"/>
      <color theme="3"/>
      <name val="Geneva"/>
      <family val="2"/>
    </font>
    <font>
      <b/>
      <sz val="8"/>
      <color rgb="FF004563"/>
      <name val="Calibri"/>
      <family val="2"/>
    </font>
    <font>
      <sz val="10"/>
      <color rgb="FF004563"/>
      <name val="Arial"/>
      <family val="2"/>
    </font>
    <font>
      <sz val="11"/>
      <color rgb="FF004563"/>
      <name val="Calibri"/>
      <family val="2"/>
      <scheme val="minor"/>
    </font>
    <font>
      <sz val="10"/>
      <color rgb="FF004563"/>
      <name val="Geneva"/>
      <family val="2"/>
    </font>
    <font>
      <sz val="9"/>
      <color rgb="FF004563"/>
      <name val="Geneva"/>
    </font>
    <font>
      <sz val="10"/>
      <color indexed="21"/>
      <name val="Symbol"/>
      <family val="1"/>
      <charset val="2"/>
    </font>
    <font>
      <sz val="14"/>
      <color indexed="21"/>
      <name val="Arial"/>
      <family val="2"/>
    </font>
    <font>
      <u/>
      <sz val="10"/>
      <color indexed="12"/>
      <name val="Geneva"/>
      <family val="2"/>
    </font>
    <font>
      <sz val="10"/>
      <color theme="0"/>
      <name val="Geneva"/>
    </font>
  </fonts>
  <fills count="10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34839D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C99"/>
        <bgColor rgb="FFFFFFFF"/>
      </patternFill>
    </fill>
    <fill>
      <patternFill patternType="solid">
        <fgColor rgb="FFF5F5F5"/>
        <bgColor rgb="FFFFFFFF"/>
      </patternFill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3"/>
      </top>
      <bottom style="thin">
        <color indexed="63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/>
      <right/>
      <top/>
      <bottom style="thin">
        <color rgb="FFA6A6A6"/>
      </bottom>
      <diagonal/>
    </border>
    <border>
      <left/>
      <right/>
      <top style="thin">
        <color rgb="FFA6A6A6"/>
      </top>
      <bottom style="thin">
        <color indexed="63"/>
      </bottom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/>
      <right/>
      <top/>
      <bottom style="thin">
        <color rgb="FFC0C0C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indexed="23"/>
      </top>
      <bottom/>
      <diagonal/>
    </border>
    <border>
      <left/>
      <right/>
      <top style="thin">
        <color rgb="FFC0C0C0"/>
      </top>
      <bottom/>
      <diagonal/>
    </border>
    <border>
      <left/>
      <right/>
      <top/>
      <bottom style="thin">
        <color theme="0" tint="-0.249977111117893"/>
      </bottom>
      <diagonal/>
    </border>
    <border>
      <left/>
      <right/>
      <top style="thin">
        <color indexed="63"/>
      </top>
      <bottom style="thin">
        <color theme="0" tint="-0.249977111117893"/>
      </bottom>
      <diagonal/>
    </border>
  </borders>
  <cellStyleXfs count="34">
    <xf numFmtId="0" fontId="0" fillId="0" borderId="0"/>
    <xf numFmtId="167" fontId="4" fillId="0" borderId="0" applyFont="0" applyFill="0" applyBorder="0" applyAlignment="0" applyProtection="0"/>
    <xf numFmtId="0" fontId="5" fillId="0" borderId="0"/>
    <xf numFmtId="4" fontId="17" fillId="2" borderId="2">
      <alignment horizontal="right" vertical="center"/>
    </xf>
    <xf numFmtId="0" fontId="6" fillId="0" borderId="0"/>
    <xf numFmtId="0" fontId="6" fillId="0" borderId="0"/>
    <xf numFmtId="0" fontId="16" fillId="0" borderId="0"/>
    <xf numFmtId="0" fontId="16" fillId="0" borderId="0"/>
    <xf numFmtId="0" fontId="14" fillId="0" borderId="0"/>
    <xf numFmtId="9" fontId="15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27" fillId="0" borderId="0"/>
    <xf numFmtId="0" fontId="28" fillId="0" borderId="0"/>
    <xf numFmtId="9" fontId="27" fillId="0" borderId="0" applyFont="0" applyFill="0" applyBorder="0" applyAlignment="0" applyProtection="0"/>
    <xf numFmtId="0" fontId="29" fillId="0" borderId="0"/>
    <xf numFmtId="0" fontId="32" fillId="0" borderId="0"/>
    <xf numFmtId="0" fontId="18" fillId="3" borderId="2">
      <alignment vertical="center" wrapText="1"/>
    </xf>
    <xf numFmtId="0" fontId="18" fillId="3" borderId="2">
      <alignment horizontal="center" wrapText="1"/>
    </xf>
    <xf numFmtId="0" fontId="3" fillId="0" borderId="0"/>
    <xf numFmtId="0" fontId="17" fillId="2" borderId="2">
      <alignment horizontal="left" vertical="center" wrapText="1"/>
    </xf>
    <xf numFmtId="3" fontId="17" fillId="2" borderId="2">
      <alignment horizontal="right" vertical="center"/>
    </xf>
    <xf numFmtId="9" fontId="3" fillId="0" borderId="0" applyFont="0" applyFill="0" applyBorder="0" applyAlignment="0" applyProtection="0"/>
    <xf numFmtId="164" fontId="17" fillId="2" borderId="2">
      <alignment horizontal="right" vertical="center"/>
    </xf>
    <xf numFmtId="164" fontId="39" fillId="7" borderId="2">
      <alignment horizontal="right" vertical="center"/>
    </xf>
    <xf numFmtId="0" fontId="2" fillId="0" borderId="0"/>
    <xf numFmtId="9" fontId="2" fillId="0" borderId="0" applyFont="0" applyFill="0" applyBorder="0" applyAlignment="0" applyProtection="0"/>
    <xf numFmtId="0" fontId="18" fillId="3" borderId="2">
      <alignment horizontal="center" wrapText="1"/>
    </xf>
    <xf numFmtId="0" fontId="17" fillId="2" borderId="2">
      <alignment horizontal="left" vertical="center" wrapText="1"/>
    </xf>
    <xf numFmtId="169" fontId="39" fillId="7" borderId="2">
      <alignment horizontal="left" vertical="center"/>
    </xf>
    <xf numFmtId="0" fontId="15" fillId="0" borderId="0"/>
    <xf numFmtId="0" fontId="6" fillId="0" borderId="0"/>
    <xf numFmtId="0" fontId="53" fillId="0" borderId="0" applyNumberFormat="0" applyFill="0" applyBorder="0" applyAlignment="0" applyProtection="0">
      <alignment vertical="top"/>
      <protection locked="0"/>
    </xf>
  </cellStyleXfs>
  <cellXfs count="207">
    <xf numFmtId="0" fontId="0" fillId="0" borderId="0" xfId="0"/>
    <xf numFmtId="0" fontId="0" fillId="0" borderId="0" xfId="0" applyFill="1" applyProtection="1"/>
    <xf numFmtId="0" fontId="11" fillId="0" borderId="0" xfId="0" applyFont="1" applyFill="1" applyBorder="1" applyProtection="1"/>
    <xf numFmtId="0" fontId="12" fillId="0" borderId="0" xfId="0" applyFont="1" applyFill="1" applyBorder="1" applyProtection="1"/>
    <xf numFmtId="0" fontId="10" fillId="0" borderId="0" xfId="0" applyFont="1" applyFill="1" applyBorder="1" applyAlignment="1" applyProtection="1"/>
    <xf numFmtId="0" fontId="10" fillId="0" borderId="0" xfId="0" applyFont="1" applyFill="1" applyBorder="1" applyAlignment="1" applyProtection="1">
      <alignment horizontal="left" vertical="center" indent="1"/>
    </xf>
    <xf numFmtId="0" fontId="11" fillId="0" borderId="0" xfId="0" applyFont="1" applyFill="1" applyBorder="1" applyAlignment="1" applyProtection="1">
      <alignment horizontal="left" indent="1"/>
    </xf>
    <xf numFmtId="0" fontId="10" fillId="0" borderId="0" xfId="0" applyFont="1" applyFill="1" applyBorder="1" applyAlignment="1" applyProtection="1">
      <alignment horizontal="left"/>
    </xf>
    <xf numFmtId="0" fontId="13" fillId="0" borderId="0" xfId="0" applyFont="1" applyFill="1" applyProtection="1"/>
    <xf numFmtId="0" fontId="0" fillId="0" borderId="0" xfId="0" applyFill="1" applyBorder="1" applyProtection="1"/>
    <xf numFmtId="164" fontId="10" fillId="0" borderId="0" xfId="0" applyNumberFormat="1" applyFont="1" applyFill="1" applyBorder="1" applyAlignment="1" applyProtection="1">
      <alignment wrapText="1"/>
    </xf>
    <xf numFmtId="0" fontId="11" fillId="5" borderId="0" xfId="0" applyFont="1" applyFill="1" applyBorder="1" applyAlignment="1" applyProtection="1">
      <alignment horizontal="left" indent="1"/>
    </xf>
    <xf numFmtId="0" fontId="9" fillId="0" borderId="0" xfId="8" applyFont="1" applyFill="1" applyAlignment="1" applyProtection="1"/>
    <xf numFmtId="0" fontId="9" fillId="0" borderId="0" xfId="0" applyFont="1" applyFill="1" applyAlignment="1" applyProtection="1"/>
    <xf numFmtId="0" fontId="10" fillId="5" borderId="0" xfId="0" applyFont="1" applyFill="1" applyBorder="1" applyAlignment="1" applyProtection="1">
      <alignment horizontal="left"/>
    </xf>
    <xf numFmtId="0" fontId="0" fillId="5" borderId="0" xfId="0" applyFill="1" applyProtection="1"/>
    <xf numFmtId="0" fontId="22" fillId="5" borderId="6" xfId="0" applyFont="1" applyFill="1" applyBorder="1"/>
    <xf numFmtId="0" fontId="23" fillId="5" borderId="5" xfId="0" applyFont="1" applyFill="1" applyBorder="1"/>
    <xf numFmtId="49" fontId="21" fillId="5" borderId="0" xfId="0" applyNumberFormat="1" applyFont="1" applyFill="1"/>
    <xf numFmtId="0" fontId="9" fillId="0" borderId="0" xfId="8" applyFont="1" applyFill="1" applyAlignment="1" applyProtection="1">
      <alignment horizontal="right"/>
    </xf>
    <xf numFmtId="0" fontId="9" fillId="0" borderId="0" xfId="0" applyFont="1" applyFill="1" applyAlignment="1" applyProtection="1">
      <alignment horizontal="right"/>
    </xf>
    <xf numFmtId="0" fontId="9" fillId="0" borderId="0" xfId="8" applyFont="1" applyFill="1" applyAlignment="1" applyProtection="1">
      <alignment horizontal="left"/>
    </xf>
    <xf numFmtId="0" fontId="6" fillId="0" borderId="0" xfId="4"/>
    <xf numFmtId="0" fontId="7" fillId="0" borderId="0" xfId="4" applyFont="1" applyAlignment="1">
      <alignment horizontal="center" wrapText="1"/>
    </xf>
    <xf numFmtId="0" fontId="24" fillId="0" borderId="0" xfId="4" applyFont="1"/>
    <xf numFmtId="2" fontId="7" fillId="4" borderId="0" xfId="4" applyNumberFormat="1" applyFont="1" applyFill="1"/>
    <xf numFmtId="166" fontId="7" fillId="4" borderId="0" xfId="4" applyNumberFormat="1" applyFont="1" applyFill="1"/>
    <xf numFmtId="0" fontId="6" fillId="4" borderId="0" xfId="4" applyFill="1"/>
    <xf numFmtId="0" fontId="25" fillId="4" borderId="0" xfId="4" applyFont="1" applyFill="1" applyAlignment="1">
      <alignment horizontal="right" wrapText="1"/>
    </xf>
    <xf numFmtId="0" fontId="6" fillId="0" borderId="0" xfId="4" applyAlignment="1">
      <alignment vertical="center" wrapText="1"/>
    </xf>
    <xf numFmtId="0" fontId="6" fillId="0" borderId="0" xfId="11"/>
    <xf numFmtId="166" fontId="6" fillId="0" borderId="0" xfId="11" applyNumberFormat="1"/>
    <xf numFmtId="4" fontId="26" fillId="0" borderId="0" xfId="11" applyNumberFormat="1" applyFont="1"/>
    <xf numFmtId="0" fontId="6" fillId="0" borderId="0" xfId="11" applyFont="1"/>
    <xf numFmtId="0" fontId="6" fillId="0" borderId="0" xfId="12"/>
    <xf numFmtId="165" fontId="6" fillId="0" borderId="0" xfId="11" applyNumberFormat="1"/>
    <xf numFmtId="165" fontId="6" fillId="0" borderId="0" xfId="12" applyNumberFormat="1"/>
    <xf numFmtId="2" fontId="6" fillId="0" borderId="0" xfId="11" applyNumberFormat="1"/>
    <xf numFmtId="4" fontId="6" fillId="0" borderId="0" xfId="11" applyNumberFormat="1"/>
    <xf numFmtId="3" fontId="6" fillId="0" borderId="0" xfId="11" applyNumberFormat="1"/>
    <xf numFmtId="3" fontId="6" fillId="0" borderId="0" xfId="4" applyNumberFormat="1"/>
    <xf numFmtId="164" fontId="20" fillId="0" borderId="0" xfId="0" applyNumberFormat="1" applyFont="1" applyFill="1" applyBorder="1" applyAlignment="1" applyProtection="1">
      <alignment wrapText="1"/>
    </xf>
    <xf numFmtId="3" fontId="8" fillId="6" borderId="0" xfId="0" applyNumberFormat="1" applyFont="1" applyFill="1" applyBorder="1" applyAlignment="1"/>
    <xf numFmtId="0" fontId="30" fillId="0" borderId="0" xfId="16" applyFont="1" applyAlignment="1">
      <alignment horizontal="center"/>
    </xf>
    <xf numFmtId="0" fontId="30" fillId="0" borderId="0" xfId="16" applyFont="1"/>
    <xf numFmtId="1" fontId="30" fillId="0" borderId="0" xfId="16" applyNumberFormat="1" applyFont="1"/>
    <xf numFmtId="165" fontId="30" fillId="0" borderId="0" xfId="16" applyNumberFormat="1" applyFont="1"/>
    <xf numFmtId="165" fontId="31" fillId="0" borderId="0" xfId="16" applyNumberFormat="1" applyFont="1"/>
    <xf numFmtId="2" fontId="30" fillId="0" borderId="0" xfId="16" applyNumberFormat="1" applyFont="1"/>
    <xf numFmtId="0" fontId="32" fillId="0" borderId="0" xfId="17"/>
    <xf numFmtId="0" fontId="30" fillId="0" borderId="0" xfId="16" applyFont="1" applyFill="1"/>
    <xf numFmtId="0" fontId="30" fillId="0" borderId="0" xfId="16" applyFont="1" applyBorder="1"/>
    <xf numFmtId="0" fontId="10" fillId="0" borderId="0" xfId="0" applyFont="1" applyAlignment="1">
      <alignment vertical="top" wrapText="1"/>
    </xf>
    <xf numFmtId="0" fontId="20" fillId="0" borderId="0" xfId="0" applyFont="1"/>
    <xf numFmtId="166" fontId="21" fillId="5" borderId="0" xfId="0" applyNumberFormat="1" applyFont="1" applyFill="1" applyBorder="1" applyAlignment="1" applyProtection="1">
      <alignment horizontal="right" vertical="center"/>
    </xf>
    <xf numFmtId="166" fontId="21" fillId="5" borderId="0" xfId="0" applyNumberFormat="1" applyFont="1" applyFill="1" applyBorder="1" applyAlignment="1" applyProtection="1">
      <alignment horizontal="right"/>
    </xf>
    <xf numFmtId="49" fontId="21" fillId="5" borderId="5" xfId="0" applyNumberFormat="1" applyFont="1" applyFill="1" applyBorder="1"/>
    <xf numFmtId="166" fontId="21" fillId="5" borderId="5" xfId="0" applyNumberFormat="1" applyFont="1" applyFill="1" applyBorder="1" applyAlignment="1" applyProtection="1">
      <alignment horizontal="right" vertical="center"/>
    </xf>
    <xf numFmtId="166" fontId="21" fillId="5" borderId="5" xfId="0" applyNumberFormat="1" applyFont="1" applyFill="1" applyBorder="1" applyAlignment="1" applyProtection="1">
      <alignment horizontal="right"/>
    </xf>
    <xf numFmtId="166" fontId="21" fillId="5" borderId="0" xfId="0" applyNumberFormat="1" applyFont="1" applyFill="1"/>
    <xf numFmtId="166" fontId="21" fillId="5" borderId="5" xfId="0" applyNumberFormat="1" applyFont="1" applyFill="1" applyBorder="1"/>
    <xf numFmtId="164" fontId="20" fillId="0" borderId="0" xfId="0" applyNumberFormat="1" applyFont="1" applyFill="1" applyBorder="1" applyAlignment="1" applyProtection="1">
      <alignment vertical="top" wrapText="1"/>
    </xf>
    <xf numFmtId="166" fontId="0" fillId="0" borderId="0" xfId="0" applyNumberFormat="1"/>
    <xf numFmtId="0" fontId="33" fillId="0" borderId="0" xfId="0" applyFont="1" applyFill="1" applyBorder="1" applyProtection="1"/>
    <xf numFmtId="4" fontId="4" fillId="0" borderId="0" xfId="0" applyNumberFormat="1" applyFont="1" applyFill="1" applyBorder="1" applyProtection="1"/>
    <xf numFmtId="0" fontId="10" fillId="5" borderId="9" xfId="0" applyFont="1" applyFill="1" applyBorder="1" applyAlignment="1" applyProtection="1">
      <alignment horizontal="left" vertical="center" indent="1"/>
    </xf>
    <xf numFmtId="0" fontId="36" fillId="5" borderId="0" xfId="20" applyFont="1" applyFill="1" applyBorder="1"/>
    <xf numFmtId="0" fontId="37" fillId="5" borderId="9" xfId="20" applyFont="1" applyFill="1" applyBorder="1"/>
    <xf numFmtId="0" fontId="12" fillId="0" borderId="0" xfId="0" applyFont="1" applyFill="1" applyBorder="1" applyAlignment="1" applyProtection="1">
      <alignment wrapText="1"/>
    </xf>
    <xf numFmtId="0" fontId="11" fillId="0" borderId="0" xfId="0" applyFont="1" applyFill="1" applyBorder="1" applyAlignment="1" applyProtection="1">
      <alignment horizontal="left" wrapText="1"/>
    </xf>
    <xf numFmtId="0" fontId="34" fillId="0" borderId="0" xfId="20" applyFont="1" applyBorder="1" applyAlignment="1">
      <alignment wrapText="1"/>
    </xf>
    <xf numFmtId="0" fontId="11" fillId="0" borderId="0" xfId="0" applyFont="1" applyFill="1" applyBorder="1" applyAlignment="1" applyProtection="1">
      <alignment wrapText="1"/>
    </xf>
    <xf numFmtId="0" fontId="35" fillId="5" borderId="8" xfId="20" applyFont="1" applyFill="1" applyBorder="1" applyAlignment="1">
      <alignment wrapText="1"/>
    </xf>
    <xf numFmtId="17" fontId="37" fillId="5" borderId="8" xfId="20" quotePrefix="1" applyNumberFormat="1" applyFont="1" applyFill="1" applyBorder="1" applyAlignment="1">
      <alignment horizontal="right" wrapText="1"/>
    </xf>
    <xf numFmtId="0" fontId="38" fillId="5" borderId="9" xfId="0" applyFont="1" applyFill="1" applyBorder="1" applyAlignment="1" applyProtection="1">
      <alignment horizontal="left" vertical="center"/>
    </xf>
    <xf numFmtId="168" fontId="38" fillId="5" borderId="9" xfId="9" applyNumberFormat="1" applyFont="1" applyFill="1" applyBorder="1" applyAlignment="1" applyProtection="1">
      <alignment vertical="center"/>
    </xf>
    <xf numFmtId="4" fontId="0" fillId="0" borderId="0" xfId="0" applyNumberFormat="1"/>
    <xf numFmtId="0" fontId="19" fillId="0" borderId="0" xfId="11" applyFont="1" applyFill="1"/>
    <xf numFmtId="0" fontId="2" fillId="0" borderId="0" xfId="26"/>
    <xf numFmtId="4" fontId="2" fillId="0" borderId="0" xfId="26" applyNumberFormat="1"/>
    <xf numFmtId="168" fontId="6" fillId="0" borderId="0" xfId="9" applyNumberFormat="1" applyFont="1"/>
    <xf numFmtId="0" fontId="40" fillId="0" borderId="0" xfId="11" applyFont="1"/>
    <xf numFmtId="0" fontId="41" fillId="0" borderId="0" xfId="11" applyFont="1"/>
    <xf numFmtId="0" fontId="2" fillId="0" borderId="0" xfId="26" applyFill="1"/>
    <xf numFmtId="168" fontId="0" fillId="0" borderId="0" xfId="27" applyNumberFormat="1" applyFont="1" applyFill="1"/>
    <xf numFmtId="164" fontId="21" fillId="5" borderId="0" xfId="0" applyNumberFormat="1" applyFont="1" applyFill="1" applyBorder="1" applyAlignment="1" applyProtection="1">
      <alignment horizontal="right" vertical="center"/>
    </xf>
    <xf numFmtId="0" fontId="42" fillId="0" borderId="0" xfId="0" applyFont="1" applyFill="1" applyProtection="1"/>
    <xf numFmtId="0" fontId="9" fillId="0" borderId="0" xfId="8" applyFont="1" applyFill="1" applyAlignment="1" applyProtection="1">
      <alignment horizontal="right"/>
    </xf>
    <xf numFmtId="0" fontId="9" fillId="0" borderId="0" xfId="0" applyFont="1" applyFill="1" applyAlignment="1" applyProtection="1">
      <alignment horizontal="right"/>
    </xf>
    <xf numFmtId="0" fontId="1" fillId="0" borderId="0" xfId="26" applyFont="1"/>
    <xf numFmtId="0" fontId="34" fillId="0" borderId="0" xfId="20" applyFont="1" applyBorder="1" applyAlignment="1">
      <alignment horizontal="center" wrapText="1"/>
    </xf>
    <xf numFmtId="0" fontId="11" fillId="0" borderId="0" xfId="0" quotePrefix="1" applyFont="1" applyFill="1" applyBorder="1" applyProtection="1"/>
    <xf numFmtId="0" fontId="43" fillId="0" borderId="0" xfId="0" applyFont="1" applyFill="1" applyBorder="1" applyProtection="1"/>
    <xf numFmtId="0" fontId="44" fillId="0" borderId="0" xfId="0" applyFont="1" applyFill="1" applyBorder="1" applyAlignment="1" applyProtection="1">
      <alignment horizontal="left" vertical="center" indent="1"/>
    </xf>
    <xf numFmtId="0" fontId="43" fillId="0" borderId="0" xfId="0" applyFont="1" applyFill="1" applyBorder="1" applyAlignment="1" applyProtection="1">
      <alignment horizontal="left" indent="1"/>
    </xf>
    <xf numFmtId="0" fontId="43" fillId="5" borderId="0" xfId="0" applyFont="1" applyFill="1" applyBorder="1" applyAlignment="1" applyProtection="1">
      <alignment horizontal="left" indent="1"/>
    </xf>
    <xf numFmtId="17" fontId="9" fillId="0" borderId="0" xfId="0" applyNumberFormat="1" applyFont="1" applyFill="1" applyAlignment="1" applyProtection="1">
      <alignment horizontal="right"/>
    </xf>
    <xf numFmtId="165" fontId="45" fillId="0" borderId="0" xfId="0" applyNumberFormat="1" applyFont="1" applyFill="1" applyBorder="1" applyProtection="1"/>
    <xf numFmtId="0" fontId="45" fillId="0" borderId="0" xfId="0" applyFont="1"/>
    <xf numFmtId="164" fontId="45" fillId="0" borderId="0" xfId="0" applyNumberFormat="1" applyFont="1"/>
    <xf numFmtId="170" fontId="45" fillId="0" borderId="0" xfId="0" applyNumberFormat="1" applyFont="1" applyFill="1" applyBorder="1" applyProtection="1"/>
    <xf numFmtId="0" fontId="21" fillId="5" borderId="10" xfId="31" applyFont="1" applyFill="1" applyBorder="1" applyProtection="1"/>
    <xf numFmtId="166" fontId="21" fillId="5" borderId="5" xfId="0" applyNumberFormat="1" applyFont="1" applyFill="1" applyBorder="1" applyAlignment="1" applyProtection="1">
      <alignment horizontal="left" vertical="center"/>
    </xf>
    <xf numFmtId="3" fontId="36" fillId="5" borderId="0" xfId="20" applyNumberFormat="1" applyFont="1" applyFill="1" applyBorder="1"/>
    <xf numFmtId="3" fontId="37" fillId="5" borderId="9" xfId="20" applyNumberFormat="1" applyFont="1" applyFill="1" applyBorder="1"/>
    <xf numFmtId="3" fontId="20" fillId="5" borderId="6" xfId="0" applyNumberFormat="1" applyFont="1" applyFill="1" applyBorder="1" applyAlignment="1">
      <alignment horizontal="right" wrapText="1"/>
    </xf>
    <xf numFmtId="164" fontId="20" fillId="0" borderId="0" xfId="0" applyNumberFormat="1" applyFont="1" applyFill="1" applyBorder="1" applyAlignment="1" applyProtection="1">
      <alignment horizontal="left"/>
    </xf>
    <xf numFmtId="0" fontId="22" fillId="0" borderId="0" xfId="0" applyFont="1"/>
    <xf numFmtId="3" fontId="20" fillId="5" borderId="1" xfId="0" applyNumberFormat="1" applyFont="1" applyFill="1" applyBorder="1" applyAlignment="1">
      <alignment horizontal="left" vertical="center"/>
    </xf>
    <xf numFmtId="164" fontId="21" fillId="5" borderId="0" xfId="0" applyNumberFormat="1" applyFont="1" applyFill="1" applyBorder="1" applyAlignment="1" applyProtection="1">
      <alignment horizontal="left" vertical="center"/>
    </xf>
    <xf numFmtId="3" fontId="21" fillId="5" borderId="0" xfId="0" applyNumberFormat="1" applyFont="1" applyFill="1" applyBorder="1" applyAlignment="1">
      <alignment horizontal="right" vertical="center"/>
    </xf>
    <xf numFmtId="164" fontId="21" fillId="5" borderId="3" xfId="0" applyNumberFormat="1" applyFont="1" applyFill="1" applyBorder="1" applyAlignment="1" applyProtection="1">
      <alignment horizontal="left" vertical="center"/>
    </xf>
    <xf numFmtId="1" fontId="21" fillId="5" borderId="3" xfId="0" applyNumberFormat="1" applyFont="1" applyFill="1" applyBorder="1" applyAlignment="1">
      <alignment horizontal="right" vertical="center"/>
    </xf>
    <xf numFmtId="0" fontId="47" fillId="0" borderId="0" xfId="12" applyFont="1"/>
    <xf numFmtId="0" fontId="47" fillId="0" borderId="0" xfId="11" applyFont="1"/>
    <xf numFmtId="168" fontId="47" fillId="0" borderId="0" xfId="9" applyNumberFormat="1" applyFont="1"/>
    <xf numFmtId="10" fontId="21" fillId="5" borderId="0" xfId="0" applyNumberFormat="1" applyFont="1" applyFill="1" applyBorder="1" applyAlignment="1">
      <alignment horizontal="right" vertical="center"/>
    </xf>
    <xf numFmtId="49" fontId="20" fillId="5" borderId="1" xfId="0" applyNumberFormat="1" applyFont="1" applyFill="1" applyBorder="1" applyAlignment="1">
      <alignment horizontal="right" vertical="center"/>
    </xf>
    <xf numFmtId="0" fontId="48" fillId="0" borderId="0" xfId="26" applyFont="1"/>
    <xf numFmtId="164" fontId="21" fillId="2" borderId="2" xfId="24" applyFont="1" applyAlignment="1">
      <alignment horizontal="right" vertical="center"/>
    </xf>
    <xf numFmtId="164" fontId="20" fillId="5" borderId="1" xfId="0" applyNumberFormat="1" applyFont="1" applyFill="1" applyBorder="1" applyAlignment="1">
      <alignment horizontal="left" vertical="center"/>
    </xf>
    <xf numFmtId="164" fontId="20" fillId="5" borderId="1" xfId="0" applyNumberFormat="1" applyFont="1" applyFill="1" applyBorder="1" applyAlignment="1">
      <alignment horizontal="right" vertical="center"/>
    </xf>
    <xf numFmtId="17" fontId="48" fillId="0" borderId="0" xfId="26" applyNumberFormat="1" applyFont="1"/>
    <xf numFmtId="164" fontId="48" fillId="0" borderId="0" xfId="26" applyNumberFormat="1" applyFont="1"/>
    <xf numFmtId="0" fontId="22" fillId="0" borderId="0" xfId="0" applyFont="1" applyBorder="1"/>
    <xf numFmtId="0" fontId="49" fillId="0" borderId="0" xfId="0" applyFont="1" applyFill="1" applyBorder="1" applyProtection="1"/>
    <xf numFmtId="3" fontId="21" fillId="0" borderId="0" xfId="0" applyNumberFormat="1" applyFont="1" applyFill="1" applyBorder="1" applyAlignment="1" applyProtection="1">
      <alignment horizontal="centerContinuous"/>
    </xf>
    <xf numFmtId="3" fontId="21" fillId="0" borderId="0" xfId="0" applyNumberFormat="1" applyFont="1" applyFill="1" applyBorder="1"/>
    <xf numFmtId="0" fontId="20" fillId="5" borderId="4" xfId="0" applyNumberFormat="1" applyFont="1" applyFill="1" applyBorder="1" applyAlignment="1">
      <alignment horizontal="right" vertical="center"/>
    </xf>
    <xf numFmtId="0" fontId="50" fillId="0" borderId="0" xfId="0" applyFont="1"/>
    <xf numFmtId="4" fontId="21" fillId="5" borderId="0" xfId="0" applyNumberFormat="1" applyFont="1" applyFill="1" applyBorder="1" applyAlignment="1">
      <alignment horizontal="right" vertical="center"/>
    </xf>
    <xf numFmtId="170" fontId="50" fillId="0" borderId="0" xfId="0" applyNumberFormat="1" applyFont="1" applyAlignment="1"/>
    <xf numFmtId="164" fontId="50" fillId="0" borderId="0" xfId="0" applyNumberFormat="1" applyFont="1" applyAlignment="1"/>
    <xf numFmtId="4" fontId="50" fillId="0" borderId="0" xfId="0" applyNumberFormat="1" applyFont="1" applyAlignment="1"/>
    <xf numFmtId="2" fontId="21" fillId="5" borderId="3" xfId="0" applyNumberFormat="1" applyFont="1" applyFill="1" applyBorder="1" applyAlignment="1">
      <alignment horizontal="right" vertical="center"/>
    </xf>
    <xf numFmtId="4" fontId="49" fillId="0" borderId="0" xfId="0" applyNumberFormat="1" applyFont="1" applyFill="1" applyBorder="1" applyProtection="1"/>
    <xf numFmtId="4" fontId="22" fillId="0" borderId="0" xfId="0" applyNumberFormat="1" applyFont="1" applyFill="1"/>
    <xf numFmtId="0" fontId="22" fillId="0" borderId="0" xfId="0" applyFont="1" applyFill="1"/>
    <xf numFmtId="164" fontId="21" fillId="5" borderId="3" xfId="0" applyNumberFormat="1" applyFont="1" applyFill="1" applyBorder="1" applyAlignment="1" applyProtection="1">
      <alignment horizontal="right" vertical="center"/>
    </xf>
    <xf numFmtId="164" fontId="20" fillId="5" borderId="0" xfId="0" applyNumberFormat="1" applyFont="1" applyFill="1" applyBorder="1" applyAlignment="1" applyProtection="1">
      <alignment horizontal="left" vertical="center"/>
    </xf>
    <xf numFmtId="49" fontId="20" fillId="5" borderId="1" xfId="0" applyNumberFormat="1" applyFont="1" applyFill="1" applyBorder="1" applyAlignment="1">
      <alignment horizontal="left" vertical="center"/>
    </xf>
    <xf numFmtId="4" fontId="21" fillId="5" borderId="0" xfId="0" applyNumberFormat="1" applyFont="1" applyFill="1" applyBorder="1" applyAlignment="1">
      <alignment horizontal="left" vertical="center"/>
    </xf>
    <xf numFmtId="49" fontId="21" fillId="5" borderId="3" xfId="0" applyNumberFormat="1" applyFont="1" applyFill="1" applyBorder="1" applyAlignment="1" applyProtection="1">
      <alignment horizontal="left" vertical="center"/>
    </xf>
    <xf numFmtId="4" fontId="21" fillId="5" borderId="3" xfId="0" applyNumberFormat="1" applyFont="1" applyFill="1" applyBorder="1" applyAlignment="1" applyProtection="1">
      <alignment horizontal="right" vertical="center"/>
    </xf>
    <xf numFmtId="0" fontId="9" fillId="0" borderId="0" xfId="0" applyFont="1" applyFill="1" applyAlignment="1" applyProtection="1">
      <alignment horizontal="right"/>
    </xf>
    <xf numFmtId="0" fontId="21" fillId="8" borderId="11" xfId="21" applyFont="1" applyFill="1" applyBorder="1" applyAlignment="1">
      <alignment horizontal="left" vertical="center"/>
    </xf>
    <xf numFmtId="0" fontId="21" fillId="8" borderId="7" xfId="21" applyFont="1" applyFill="1" applyBorder="1" applyAlignment="1">
      <alignment horizontal="left" vertical="center"/>
    </xf>
    <xf numFmtId="0" fontId="4" fillId="0" borderId="0" xfId="0" applyFont="1" applyFill="1" applyProtection="1"/>
    <xf numFmtId="0" fontId="9" fillId="0" borderId="0" xfId="32" applyFont="1" applyFill="1" applyAlignment="1" applyProtection="1">
      <alignment horizontal="right"/>
    </xf>
    <xf numFmtId="0" fontId="9" fillId="0" borderId="0" xfId="0" applyFont="1" applyFill="1" applyBorder="1" applyAlignment="1" applyProtection="1"/>
    <xf numFmtId="0" fontId="10" fillId="0" borderId="0" xfId="0" applyFont="1" applyFill="1" applyBorder="1" applyAlignment="1" applyProtection="1">
      <alignment horizontal="right" vertical="center"/>
    </xf>
    <xf numFmtId="0" fontId="51" fillId="0" borderId="0" xfId="0" applyFont="1" applyFill="1" applyBorder="1" applyAlignment="1" applyProtection="1">
      <alignment horizontal="right"/>
    </xf>
    <xf numFmtId="0" fontId="52" fillId="5" borderId="0" xfId="0" applyFont="1" applyFill="1" applyBorder="1" applyAlignment="1" applyProtection="1">
      <alignment horizontal="right" vertical="center"/>
    </xf>
    <xf numFmtId="0" fontId="20" fillId="5" borderId="0" xfId="33" applyFont="1" applyFill="1" applyBorder="1" applyAlignment="1" applyProtection="1">
      <alignment horizontal="left"/>
    </xf>
    <xf numFmtId="164" fontId="10" fillId="0" borderId="0" xfId="0" applyNumberFormat="1" applyFont="1" applyFill="1" applyBorder="1" applyAlignment="1" applyProtection="1">
      <alignment horizontal="left"/>
    </xf>
    <xf numFmtId="0" fontId="4" fillId="0" borderId="0" xfId="0" applyFont="1" applyFill="1" applyBorder="1" applyProtection="1"/>
    <xf numFmtId="0" fontId="52" fillId="5" borderId="0" xfId="0" applyFont="1" applyFill="1" applyBorder="1" applyAlignment="1" applyProtection="1">
      <alignment horizontal="right" vertical="top"/>
    </xf>
    <xf numFmtId="0" fontId="10" fillId="5" borderId="0" xfId="33" applyFont="1" applyFill="1" applyBorder="1" applyAlignment="1" applyProtection="1">
      <alignment horizontal="left"/>
    </xf>
    <xf numFmtId="0" fontId="21" fillId="0" borderId="0" xfId="0" applyFont="1" applyFill="1" applyProtection="1"/>
    <xf numFmtId="0" fontId="10" fillId="0" borderId="0" xfId="0" applyFont="1"/>
    <xf numFmtId="3" fontId="10" fillId="0" borderId="0" xfId="0" applyNumberFormat="1" applyFont="1" applyFill="1" applyBorder="1" applyAlignment="1">
      <alignment horizontal="left"/>
    </xf>
    <xf numFmtId="0" fontId="21" fillId="8" borderId="11" xfId="21" quotePrefix="1" applyFont="1" applyFill="1" applyBorder="1" applyAlignment="1">
      <alignment vertical="center"/>
    </xf>
    <xf numFmtId="2" fontId="21" fillId="5" borderId="5" xfId="0" applyNumberFormat="1" applyFont="1" applyFill="1" applyBorder="1" applyAlignment="1" applyProtection="1">
      <alignment horizontal="right" vertical="center"/>
    </xf>
    <xf numFmtId="2" fontId="21" fillId="5" borderId="10" xfId="31" applyNumberFormat="1" applyFont="1" applyFill="1" applyBorder="1" applyProtection="1"/>
    <xf numFmtId="2" fontId="21" fillId="5" borderId="0" xfId="0" applyNumberFormat="1" applyFont="1" applyFill="1" applyBorder="1" applyAlignment="1" applyProtection="1">
      <alignment horizontal="right" vertical="center"/>
    </xf>
    <xf numFmtId="0" fontId="20" fillId="4" borderId="0" xfId="31" applyFont="1" applyFill="1" applyBorder="1" applyProtection="1"/>
    <xf numFmtId="164" fontId="20" fillId="4" borderId="0" xfId="0" applyNumberFormat="1" applyFont="1" applyFill="1" applyBorder="1" applyAlignment="1" applyProtection="1">
      <alignment horizontal="left"/>
    </xf>
    <xf numFmtId="4" fontId="21" fillId="4" borderId="0" xfId="0" applyNumberFormat="1" applyFont="1" applyFill="1" applyBorder="1" applyAlignment="1">
      <alignment horizontal="right" vertical="center"/>
    </xf>
    <xf numFmtId="164" fontId="21" fillId="4" borderId="0" xfId="0" applyNumberFormat="1" applyFont="1" applyFill="1" applyBorder="1" applyAlignment="1" applyProtection="1">
      <alignment horizontal="left" vertical="center"/>
    </xf>
    <xf numFmtId="2" fontId="21" fillId="4" borderId="0" xfId="0" applyNumberFormat="1" applyFont="1" applyFill="1" applyBorder="1" applyAlignment="1">
      <alignment horizontal="right" vertical="center"/>
    </xf>
    <xf numFmtId="0" fontId="20" fillId="4" borderId="10" xfId="31" applyFont="1" applyFill="1" applyBorder="1" applyProtection="1"/>
    <xf numFmtId="0" fontId="21" fillId="4" borderId="10" xfId="31" applyFont="1" applyFill="1" applyBorder="1" applyProtection="1"/>
    <xf numFmtId="168" fontId="21" fillId="5" borderId="0" xfId="0" applyNumberFormat="1" applyFont="1" applyFill="1" applyBorder="1" applyAlignment="1">
      <alignment horizontal="right" vertical="center"/>
    </xf>
    <xf numFmtId="0" fontId="22" fillId="4" borderId="0" xfId="0" applyFont="1" applyFill="1"/>
    <xf numFmtId="164" fontId="21" fillId="5" borderId="0" xfId="0" applyNumberFormat="1" applyFont="1" applyFill="1" applyBorder="1" applyAlignment="1">
      <alignment horizontal="right" vertical="center"/>
    </xf>
    <xf numFmtId="164" fontId="21" fillId="5" borderId="3" xfId="0" applyNumberFormat="1" applyFont="1" applyFill="1" applyBorder="1" applyAlignment="1">
      <alignment horizontal="right" vertical="center"/>
    </xf>
    <xf numFmtId="0" fontId="54" fillId="0" borderId="0" xfId="0" applyFont="1"/>
    <xf numFmtId="164" fontId="21" fillId="4" borderId="2" xfId="24" applyFont="1" applyFill="1" applyAlignment="1">
      <alignment horizontal="right" vertical="center"/>
    </xf>
    <xf numFmtId="164" fontId="21" fillId="5" borderId="1" xfId="0" applyNumberFormat="1" applyFont="1" applyFill="1" applyBorder="1" applyAlignment="1">
      <alignment horizontal="right" vertical="center"/>
    </xf>
    <xf numFmtId="2" fontId="20" fillId="5" borderId="5" xfId="0" applyNumberFormat="1" applyFont="1" applyFill="1" applyBorder="1" applyAlignment="1" applyProtection="1">
      <alignment horizontal="right" vertical="center"/>
    </xf>
    <xf numFmtId="164" fontId="20" fillId="5" borderId="5" xfId="0" applyNumberFormat="1" applyFont="1" applyFill="1" applyBorder="1" applyAlignment="1" applyProtection="1">
      <alignment horizontal="right" vertical="center"/>
    </xf>
    <xf numFmtId="2" fontId="20" fillId="5" borderId="0" xfId="0" applyNumberFormat="1" applyFont="1" applyFill="1" applyBorder="1" applyAlignment="1" applyProtection="1">
      <alignment horizontal="right" vertical="center"/>
    </xf>
    <xf numFmtId="166" fontId="21" fillId="5" borderId="3" xfId="0" applyNumberFormat="1" applyFont="1" applyFill="1" applyBorder="1" applyAlignment="1">
      <alignment horizontal="right" vertical="center"/>
    </xf>
    <xf numFmtId="3" fontId="21" fillId="5" borderId="3" xfId="0" applyNumberFormat="1" applyFont="1" applyFill="1" applyBorder="1" applyAlignment="1">
      <alignment horizontal="right" vertical="center"/>
    </xf>
    <xf numFmtId="164" fontId="36" fillId="5" borderId="0" xfId="20" applyNumberFormat="1" applyFont="1" applyFill="1" applyBorder="1"/>
    <xf numFmtId="0" fontId="54" fillId="0" borderId="0" xfId="0" applyFont="1" applyFill="1"/>
    <xf numFmtId="168" fontId="54" fillId="0" borderId="0" xfId="0" applyNumberFormat="1" applyFont="1" applyFill="1"/>
    <xf numFmtId="2" fontId="33" fillId="0" borderId="0" xfId="0" applyNumberFormat="1" applyFont="1" applyFill="1" applyBorder="1" applyProtection="1"/>
    <xf numFmtId="0" fontId="33" fillId="0" borderId="0" xfId="0" applyFont="1" applyFill="1"/>
    <xf numFmtId="166" fontId="33" fillId="0" borderId="0" xfId="0" applyNumberFormat="1" applyFont="1" applyFill="1" applyBorder="1" applyProtection="1"/>
    <xf numFmtId="0" fontId="22" fillId="9" borderId="0" xfId="0" applyFont="1" applyFill="1"/>
    <xf numFmtId="164" fontId="21" fillId="9" borderId="0" xfId="0" applyNumberFormat="1" applyFont="1" applyFill="1" applyBorder="1" applyAlignment="1" applyProtection="1">
      <alignment horizontal="left" vertical="center"/>
    </xf>
    <xf numFmtId="0" fontId="21" fillId="8" borderId="0" xfId="21" applyFont="1" applyFill="1" applyBorder="1" applyAlignment="1">
      <alignment horizontal="left" vertical="center"/>
    </xf>
    <xf numFmtId="164" fontId="20" fillId="9" borderId="12" xfId="0" applyNumberFormat="1" applyFont="1" applyFill="1" applyBorder="1" applyAlignment="1">
      <alignment horizontal="right" vertical="center"/>
    </xf>
    <xf numFmtId="164" fontId="21" fillId="2" borderId="12" xfId="24" applyFont="1" applyFill="1" applyBorder="1" applyAlignment="1">
      <alignment horizontal="right" vertical="center"/>
    </xf>
    <xf numFmtId="164" fontId="20" fillId="5" borderId="13" xfId="0" applyNumberFormat="1" applyFont="1" applyFill="1" applyBorder="1" applyAlignment="1">
      <alignment horizontal="right" vertical="center"/>
    </xf>
    <xf numFmtId="164" fontId="20" fillId="5" borderId="13" xfId="0" applyNumberFormat="1" applyFont="1" applyFill="1" applyBorder="1" applyAlignment="1">
      <alignment horizontal="left" vertical="center"/>
    </xf>
    <xf numFmtId="164" fontId="20" fillId="0" borderId="0" xfId="0" applyNumberFormat="1" applyFont="1" applyFill="1" applyBorder="1" applyAlignment="1" applyProtection="1">
      <alignment horizontal="left" vertical="top" wrapText="1"/>
    </xf>
    <xf numFmtId="0" fontId="10" fillId="0" borderId="0" xfId="0" applyFont="1" applyAlignment="1">
      <alignment horizontal="left" vertical="top" wrapText="1"/>
    </xf>
    <xf numFmtId="0" fontId="9" fillId="0" borderId="0" xfId="8" applyFont="1" applyFill="1" applyAlignment="1" applyProtection="1">
      <alignment horizontal="right"/>
    </xf>
    <xf numFmtId="0" fontId="9" fillId="0" borderId="0" xfId="0" applyFont="1" applyFill="1" applyAlignment="1" applyProtection="1">
      <alignment horizontal="right"/>
    </xf>
    <xf numFmtId="3" fontId="21" fillId="5" borderId="6" xfId="0" applyNumberFormat="1" applyFont="1" applyFill="1" applyBorder="1" applyAlignment="1">
      <alignment horizontal="right" wrapText="1"/>
    </xf>
    <xf numFmtId="3" fontId="21" fillId="5" borderId="5" xfId="0" applyNumberFormat="1" applyFont="1" applyFill="1" applyBorder="1" applyAlignment="1">
      <alignment horizontal="right" wrapText="1"/>
    </xf>
    <xf numFmtId="3" fontId="20" fillId="5" borderId="6" xfId="0" applyNumberFormat="1" applyFont="1" applyFill="1" applyBorder="1" applyAlignment="1">
      <alignment horizontal="right" wrapText="1"/>
    </xf>
    <xf numFmtId="3" fontId="20" fillId="5" borderId="5" xfId="0" applyNumberFormat="1" applyFont="1" applyFill="1" applyBorder="1" applyAlignment="1">
      <alignment horizontal="right" wrapText="1"/>
    </xf>
    <xf numFmtId="0" fontId="21" fillId="8" borderId="11" xfId="21" quotePrefix="1" applyFont="1" applyFill="1" applyBorder="1" applyAlignment="1">
      <alignment horizontal="center" vertical="center"/>
    </xf>
    <xf numFmtId="0" fontId="21" fillId="8" borderId="0" xfId="21" quotePrefix="1" applyFont="1" applyFill="1" applyBorder="1" applyAlignment="1">
      <alignment horizontal="center" vertical="center"/>
    </xf>
  </cellXfs>
  <cellStyles count="34">
    <cellStyle name="Euro" xfId="1"/>
    <cellStyle name="FUTURA9" xfId="2"/>
    <cellStyle name="Hipervínculo 2" xfId="33"/>
    <cellStyle name="MSTRStyle.All.c11_0c75425b-e4a8-4ede-ad3a-b7e420107163" xfId="28"/>
    <cellStyle name="MSTRStyle.All.c12_73f9af77-3b67-4e30-857e-a07fd4a2b3f5" xfId="24"/>
    <cellStyle name="MSTRStyle.All.c13_6b657269-c2f6-4112-b642-63cbe2217ce6" xfId="22"/>
    <cellStyle name="MSTRStyle.All.c14_299390cd-d429-49fc-85b2-53213256ee02" xfId="3"/>
    <cellStyle name="MSTRStyle.All.c15_2f4368de-db71-4a43-a39a-b7b0e4791d74" xfId="25"/>
    <cellStyle name="MSTRStyle.All.c2_1198c2cb-65a7-418f-8b21-ef92ba6b70e4" xfId="18"/>
    <cellStyle name="MSTRStyle.All.c20_6bd5dc4a-d28f-4b91-a6b3-a27c7bfb9777" xfId="30"/>
    <cellStyle name="MSTRStyle.All.c3_9f27800b-f169-4bc7-8559-5d9aa778b6fd" xfId="21"/>
    <cellStyle name="MSTRStyle.All.c6_52bbba20-dd49-44ca-889f-10924ebd6a5c" xfId="29"/>
    <cellStyle name="MSTRStyle.All.c7_67d71c51-d7a9-4ecd-a2d7-840811351f10" xfId="19"/>
    <cellStyle name="Normal" xfId="0" builtinId="0"/>
    <cellStyle name="Normal 2" xfId="13"/>
    <cellStyle name="Normal 2 2 2" xfId="4"/>
    <cellStyle name="Normal 3" xfId="14"/>
    <cellStyle name="Normal 4" xfId="5"/>
    <cellStyle name="Normal 5" xfId="6"/>
    <cellStyle name="Normal 6" xfId="7"/>
    <cellStyle name="Normal 7" xfId="17"/>
    <cellStyle name="Normal 8" xfId="20"/>
    <cellStyle name="Normal 9" xfId="26"/>
    <cellStyle name="Normal_4.1.5" xfId="31"/>
    <cellStyle name="Normal_A1 Comparacion Internacional" xfId="8"/>
    <cellStyle name="Normal_A1 Comparacion Internacional 2" xfId="32"/>
    <cellStyle name="Normal_MAY_3_PAG_10-12" xfId="16"/>
    <cellStyle name="Normal_Requerimientos_ ofertas_ asignaci_n y utilizaci_n de Secundaria (Mensual-simple)" xfId="12"/>
    <cellStyle name="Normal_Restricciones T_cnicas de Seguridad (Mensual-simple)" xfId="11"/>
    <cellStyle name="Porcentaje" xfId="9" builtinId="5"/>
    <cellStyle name="Porcentaje 2" xfId="15"/>
    <cellStyle name="Porcentaje 3" xfId="23"/>
    <cellStyle name="Porcentaje 4" xfId="27"/>
    <cellStyle name="Porcentual 2" xfId="10"/>
  </cellStyles>
  <dxfs count="7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4563"/>
      <rgbColor rgb="00FFFFFF"/>
      <rgbColor rgb="00DB0705"/>
      <rgbColor rgb="00005463"/>
      <rgbColor rgb="000000D4"/>
      <rgbColor rgb="00FCF305"/>
      <rgbColor rgb="00BB0000"/>
      <rgbColor rgb="0000570B"/>
      <rgbColor rgb="00900000"/>
      <rgbColor rgb="00006411"/>
      <rgbColor rgb="0085FC70"/>
      <rgbColor rgb="0090713A"/>
      <rgbColor rgb="004600A5"/>
      <rgbColor rgb="00008080"/>
      <rgbColor rgb="00C0C0C0"/>
      <rgbColor rgb="00808080"/>
      <rgbColor rgb="00B398B4"/>
      <rgbColor rgb="00802060"/>
      <rgbColor rgb="00FFFFC0"/>
      <rgbColor rgb="00A0E0E0"/>
      <rgbColor rgb="00600080"/>
      <rgbColor rgb="00FF8080"/>
      <rgbColor rgb="000080C0"/>
      <rgbColor rgb="00C0C0FF"/>
      <rgbColor rgb="00081959"/>
      <rgbColor rgb="00FFF9E9"/>
      <rgbColor rgb="00FFFF00"/>
      <rgbColor rgb="0000FFFF"/>
      <rgbColor rgb="00800080"/>
      <rgbColor rgb="00800000"/>
      <rgbColor rgb="00008080"/>
      <rgbColor rgb="00D6DF20"/>
      <rgbColor rgb="0000CFFF"/>
      <rgbColor rgb="0069FFFF"/>
      <rgbColor rgb="00E0FFE0"/>
      <rgbColor rgb="00FFFF80"/>
      <rgbColor rgb="00A6CAF0"/>
      <rgbColor rgb="00EECEDA"/>
      <rgbColor rgb="00B38FEE"/>
      <rgbColor rgb="00E3E3E3"/>
      <rgbColor rgb="002A6FF9"/>
      <rgbColor rgb="003FB8CD"/>
      <rgbColor rgb="00488436"/>
      <rgbColor rgb="00958C41"/>
      <rgbColor rgb="008E5E42"/>
      <rgbColor rgb="00A0627A"/>
      <rgbColor rgb="00624FAC"/>
      <rgbColor rgb="00969696"/>
      <rgbColor rgb="00DCDEF5"/>
      <rgbColor rgb="00CDF0DB"/>
      <rgbColor rgb="00FFF9E9"/>
      <rgbColor rgb="00F7D2C6"/>
      <rgbColor rgb="00BEF4FF"/>
      <rgbColor rgb="00EECED9"/>
      <rgbColor rgb="004A3285"/>
      <rgbColor rgb="00A6A6A6"/>
    </indexedColors>
    <mruColors>
      <color rgb="FF95B3D7"/>
      <color rgb="FFFFFFFF"/>
      <color rgb="FF70303C"/>
      <color rgb="FFA7DADA"/>
      <color rgb="FF004563"/>
      <color rgb="FFFFC000"/>
      <color rgb="FFFFCC66"/>
      <color rgb="FF70AD47"/>
      <color rgb="FF0090D1"/>
      <color rgb="FF99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1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1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1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4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1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5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1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7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1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8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1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0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1.xml"/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3.xml"/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5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8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292028036630547E-2"/>
          <c:y val="0.18644098656149849"/>
          <c:w val="0.88441902532453698"/>
          <c:h val="0.70508591281434263"/>
        </c:manualLayout>
      </c:layout>
      <c:areaChart>
        <c:grouping val="standard"/>
        <c:varyColors val="0"/>
        <c:ser>
          <c:idx val="2"/>
          <c:order val="1"/>
          <c:tx>
            <c:v>Precio máximo</c:v>
          </c:tx>
          <c:spPr>
            <a:solidFill>
              <a:srgbClr val="99CCFF"/>
            </a:solidFill>
          </c:spPr>
          <c:val>
            <c:numRef>
              <c:f>'Data 1'!$C$5:$C$32</c:f>
              <c:numCache>
                <c:formatCode>General</c:formatCode>
                <c:ptCount val="28"/>
                <c:pt idx="0">
                  <c:v>60.77</c:v>
                </c:pt>
                <c:pt idx="1">
                  <c:v>60.61</c:v>
                </c:pt>
                <c:pt idx="2">
                  <c:v>58.99</c:v>
                </c:pt>
                <c:pt idx="3">
                  <c:v>62.1</c:v>
                </c:pt>
                <c:pt idx="4">
                  <c:v>62.62</c:v>
                </c:pt>
                <c:pt idx="5">
                  <c:v>62.51</c:v>
                </c:pt>
                <c:pt idx="6">
                  <c:v>66.349999999999994</c:v>
                </c:pt>
                <c:pt idx="7">
                  <c:v>71.19</c:v>
                </c:pt>
                <c:pt idx="8">
                  <c:v>69.19</c:v>
                </c:pt>
                <c:pt idx="9">
                  <c:v>66.42</c:v>
                </c:pt>
                <c:pt idx="10">
                  <c:v>63.86</c:v>
                </c:pt>
                <c:pt idx="11">
                  <c:v>65.010000000000005</c:v>
                </c:pt>
                <c:pt idx="12">
                  <c:v>61.92</c:v>
                </c:pt>
                <c:pt idx="13">
                  <c:v>61.87</c:v>
                </c:pt>
                <c:pt idx="14">
                  <c:v>65.03</c:v>
                </c:pt>
                <c:pt idx="15">
                  <c:v>62.61</c:v>
                </c:pt>
                <c:pt idx="16">
                  <c:v>61.57</c:v>
                </c:pt>
                <c:pt idx="17">
                  <c:v>62.19</c:v>
                </c:pt>
                <c:pt idx="18">
                  <c:v>62.28</c:v>
                </c:pt>
                <c:pt idx="19">
                  <c:v>61.92</c:v>
                </c:pt>
                <c:pt idx="20">
                  <c:v>60.69</c:v>
                </c:pt>
                <c:pt idx="21">
                  <c:v>61.61</c:v>
                </c:pt>
                <c:pt idx="22">
                  <c:v>63.85</c:v>
                </c:pt>
                <c:pt idx="23">
                  <c:v>62.94</c:v>
                </c:pt>
                <c:pt idx="24">
                  <c:v>62.94</c:v>
                </c:pt>
                <c:pt idx="25">
                  <c:v>70.760000000000005</c:v>
                </c:pt>
                <c:pt idx="26">
                  <c:v>74.150000000000006</c:v>
                </c:pt>
                <c:pt idx="27">
                  <c:v>62.88</c:v>
                </c:pt>
              </c:numCache>
            </c:numRef>
          </c:val>
        </c:ser>
        <c:ser>
          <c:idx val="0"/>
          <c:order val="2"/>
          <c:tx>
            <c:v>Precio mínimo</c:v>
          </c:tx>
          <c:spPr>
            <a:solidFill>
              <a:schemeClr val="bg1">
                <a:lumMod val="95000"/>
              </a:schemeClr>
            </a:solidFill>
          </c:spPr>
          <c:val>
            <c:numRef>
              <c:f>'Data 1'!$D$5:$D$32</c:f>
              <c:numCache>
                <c:formatCode>General</c:formatCode>
                <c:ptCount val="28"/>
                <c:pt idx="0">
                  <c:v>44.68</c:v>
                </c:pt>
                <c:pt idx="1">
                  <c:v>39.25</c:v>
                </c:pt>
                <c:pt idx="2">
                  <c:v>43.39</c:v>
                </c:pt>
                <c:pt idx="3">
                  <c:v>43.4</c:v>
                </c:pt>
                <c:pt idx="4">
                  <c:v>44.35</c:v>
                </c:pt>
                <c:pt idx="5">
                  <c:v>42.05</c:v>
                </c:pt>
                <c:pt idx="6">
                  <c:v>42.37</c:v>
                </c:pt>
                <c:pt idx="7">
                  <c:v>50.16</c:v>
                </c:pt>
                <c:pt idx="8">
                  <c:v>50.5</c:v>
                </c:pt>
                <c:pt idx="9">
                  <c:v>43.21</c:v>
                </c:pt>
                <c:pt idx="10">
                  <c:v>43.07</c:v>
                </c:pt>
                <c:pt idx="11">
                  <c:v>40.26</c:v>
                </c:pt>
                <c:pt idx="12">
                  <c:v>41.71</c:v>
                </c:pt>
                <c:pt idx="13">
                  <c:v>35.75</c:v>
                </c:pt>
                <c:pt idx="14">
                  <c:v>39.6</c:v>
                </c:pt>
                <c:pt idx="15">
                  <c:v>51.14</c:v>
                </c:pt>
                <c:pt idx="16">
                  <c:v>43.07</c:v>
                </c:pt>
                <c:pt idx="17">
                  <c:v>42.99</c:v>
                </c:pt>
                <c:pt idx="18">
                  <c:v>45.4</c:v>
                </c:pt>
                <c:pt idx="19">
                  <c:v>42.21</c:v>
                </c:pt>
                <c:pt idx="20">
                  <c:v>37.33</c:v>
                </c:pt>
                <c:pt idx="21">
                  <c:v>42.7</c:v>
                </c:pt>
                <c:pt idx="22">
                  <c:v>44.79</c:v>
                </c:pt>
                <c:pt idx="23">
                  <c:v>53.58</c:v>
                </c:pt>
                <c:pt idx="24">
                  <c:v>51.26</c:v>
                </c:pt>
                <c:pt idx="25">
                  <c:v>44.07</c:v>
                </c:pt>
                <c:pt idx="26">
                  <c:v>49.44</c:v>
                </c:pt>
                <c:pt idx="27">
                  <c:v>47.51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6119536"/>
        <c:axId val="256119928"/>
      </c:areaChart>
      <c:lineChart>
        <c:grouping val="standard"/>
        <c:varyColors val="0"/>
        <c:ser>
          <c:idx val="1"/>
          <c:order val="0"/>
          <c:tx>
            <c:v>Precio medio</c:v>
          </c:tx>
          <c:marker>
            <c:symbol val="none"/>
          </c:marker>
          <c:cat>
            <c:numRef>
              <c:f>'Data 1'!$A$5:$A$32</c:f>
              <c:numCache>
                <c:formatCode>General</c:formatCode>
                <c:ptCount val="2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</c:numCache>
            </c:numRef>
          </c:cat>
          <c:val>
            <c:numRef>
              <c:f>'Data 1'!$E$5:$E$32</c:f>
              <c:numCache>
                <c:formatCode>0.00</c:formatCode>
                <c:ptCount val="28"/>
                <c:pt idx="0">
                  <c:v>54.5890053245</c:v>
                </c:pt>
                <c:pt idx="1">
                  <c:v>51.405144972599999</c:v>
                </c:pt>
                <c:pt idx="2">
                  <c:v>49.411185327799998</c:v>
                </c:pt>
                <c:pt idx="3">
                  <c:v>53.614454537599997</c:v>
                </c:pt>
                <c:pt idx="4">
                  <c:v>56.431082598700002</c:v>
                </c:pt>
                <c:pt idx="5">
                  <c:v>54.6901173077</c:v>
                </c:pt>
                <c:pt idx="6">
                  <c:v>57.299317029299999</c:v>
                </c:pt>
                <c:pt idx="7">
                  <c:v>63.960593768999999</c:v>
                </c:pt>
                <c:pt idx="8">
                  <c:v>61.562814762899997</c:v>
                </c:pt>
                <c:pt idx="9">
                  <c:v>51.675688049800002</c:v>
                </c:pt>
                <c:pt idx="10">
                  <c:v>49.605264336499999</c:v>
                </c:pt>
                <c:pt idx="11">
                  <c:v>56.849717045399998</c:v>
                </c:pt>
                <c:pt idx="12">
                  <c:v>52.421643383099997</c:v>
                </c:pt>
                <c:pt idx="13">
                  <c:v>48.986470431599997</c:v>
                </c:pt>
                <c:pt idx="14">
                  <c:v>55.730769109299999</c:v>
                </c:pt>
                <c:pt idx="15">
                  <c:v>60.301410834199999</c:v>
                </c:pt>
                <c:pt idx="16">
                  <c:v>51.0127373085</c:v>
                </c:pt>
                <c:pt idx="17">
                  <c:v>51.7435606003</c:v>
                </c:pt>
                <c:pt idx="18">
                  <c:v>57.532881670099997</c:v>
                </c:pt>
                <c:pt idx="19">
                  <c:v>52.928359449699997</c:v>
                </c:pt>
                <c:pt idx="20">
                  <c:v>50.281427338299999</c:v>
                </c:pt>
                <c:pt idx="21">
                  <c:v>54.120802049799998</c:v>
                </c:pt>
                <c:pt idx="22">
                  <c:v>58.502961421499997</c:v>
                </c:pt>
                <c:pt idx="23">
                  <c:v>59.720686565900003</c:v>
                </c:pt>
                <c:pt idx="24">
                  <c:v>58.307280520399999</c:v>
                </c:pt>
                <c:pt idx="25">
                  <c:v>60.058936385800003</c:v>
                </c:pt>
                <c:pt idx="26">
                  <c:v>65.098297320499995</c:v>
                </c:pt>
                <c:pt idx="27">
                  <c:v>58.095541717099998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6119536"/>
        <c:axId val="256119928"/>
      </c:lineChart>
      <c:catAx>
        <c:axId val="256119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chemeClr val="bg1">
                <a:lumMod val="85000"/>
              </a:schemeClr>
            </a:solidFill>
            <a:prstDash val="solid"/>
          </a:ln>
        </c:spPr>
        <c:txPr>
          <a:bodyPr rot="0" vert="horz"/>
          <a:lstStyle/>
          <a:p>
            <a:pPr algn="ctr">
              <a:defRPr lang="en-US"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endParaRPr lang="es-ES"/>
          </a:p>
        </c:txPr>
        <c:crossAx val="256119928"/>
        <c:crosses val="autoZero"/>
        <c:auto val="1"/>
        <c:lblAlgn val="ctr"/>
        <c:lblOffset val="100"/>
        <c:noMultiLvlLbl val="0"/>
      </c:catAx>
      <c:valAx>
        <c:axId val="256119928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4563"/>
                    </a:solidFill>
                    <a:latin typeface="Helv"/>
                    <a:ea typeface="Helv"/>
                    <a:cs typeface="Helv"/>
                  </a:defRPr>
                </a:pPr>
                <a:r>
                  <a:rPr lang="es-ES">
                    <a:solidFill>
                      <a:srgbClr val="004563"/>
                    </a:solidFill>
                  </a:rPr>
                  <a:t>€/MWh</a:t>
                </a:r>
              </a:p>
            </c:rich>
          </c:tx>
          <c:layout>
            <c:manualLayout>
              <c:xMode val="edge"/>
              <c:yMode val="edge"/>
              <c:x val="1.4598496133929178E-2"/>
              <c:y val="9.1525423728818792E-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 algn="ctr">
              <a:defRPr lang="en-US"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endParaRPr lang="es-ES"/>
          </a:p>
        </c:txPr>
        <c:crossAx val="256119536"/>
        <c:crosses val="autoZero"/>
        <c:crossBetween val="between"/>
        <c:majorUnit val="10"/>
        <c:minorUnit val="10"/>
      </c:valAx>
      <c:spPr>
        <a:noFill/>
        <a:ln w="25400">
          <a:noFill/>
        </a:ln>
      </c:spPr>
    </c:plotArea>
    <c:legend>
      <c:legendPos val="t"/>
      <c:legendEntry>
        <c:idx val="0"/>
        <c:delete val="1"/>
      </c:legendEntry>
      <c:legendEntry>
        <c:idx val="1"/>
        <c:delete val="1"/>
      </c:legendEntry>
      <c:legendEntry>
        <c:idx val="2"/>
        <c:txPr>
          <a:bodyPr/>
          <a:lstStyle/>
          <a:p>
            <a:pPr algn="ctr">
              <a:defRPr lang="en-US"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endParaRPr lang="es-ES"/>
          </a:p>
        </c:txPr>
      </c:legendEntry>
      <c:layout/>
      <c:overlay val="0"/>
    </c:legend>
    <c:plotVisOnly val="1"/>
    <c:dispBlanksAs val="zero"/>
    <c:showDLblsOverMax val="0"/>
  </c:chart>
  <c:spPr>
    <a:solidFill>
      <a:schemeClr val="bg1">
        <a:lumMod val="95000"/>
      </a:schemeClr>
    </a:solidFill>
    <a:ln w="9525">
      <a:noFill/>
    </a:ln>
  </c:spPr>
  <c:txPr>
    <a:bodyPr/>
    <a:lstStyle/>
    <a:p>
      <a:pPr>
        <a:defRPr sz="600" b="0" i="0" u="none" strike="noStrike" baseline="0">
          <a:solidFill>
            <a:srgbClr val="000000"/>
          </a:solidFill>
          <a:latin typeface="Helv"/>
          <a:ea typeface="Helv"/>
          <a:cs typeface="Helv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5893111346282373E-2"/>
          <c:y val="3.7659765548332613E-2"/>
          <c:w val="0.90234727490582289"/>
          <c:h val="0.8266986520009546"/>
        </c:manualLayout>
      </c:layout>
      <c:barChart>
        <c:barDir val="col"/>
        <c:grouping val="clustered"/>
        <c:varyColors val="0"/>
        <c:ser>
          <c:idx val="10"/>
          <c:order val="0"/>
          <c:tx>
            <c:v>Energía a bajar</c:v>
          </c:tx>
          <c:spPr>
            <a:solidFill>
              <a:srgbClr val="0090D1"/>
            </a:solidFill>
            <a:ln w="25400">
              <a:noFill/>
            </a:ln>
          </c:spPr>
          <c:invertIfNegative val="0"/>
          <c:cat>
            <c:strRef>
              <c:f>'Data 1'!$A$45:$A$57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'Data 2'!$C$7:$O$7</c:f>
              <c:numCache>
                <c:formatCode>#,##0</c:formatCode>
                <c:ptCount val="13"/>
                <c:pt idx="0">
                  <c:v>516.89732142859998</c:v>
                </c:pt>
                <c:pt idx="1">
                  <c:v>513.60969044410001</c:v>
                </c:pt>
                <c:pt idx="2">
                  <c:v>504.98472222219999</c:v>
                </c:pt>
                <c:pt idx="3">
                  <c:v>508.80510752689997</c:v>
                </c:pt>
                <c:pt idx="4">
                  <c:v>519.46388888889999</c:v>
                </c:pt>
                <c:pt idx="5">
                  <c:v>510.7446236559</c:v>
                </c:pt>
                <c:pt idx="6">
                  <c:v>512.12365591399998</c:v>
                </c:pt>
                <c:pt idx="7">
                  <c:v>507.34166666670001</c:v>
                </c:pt>
                <c:pt idx="8">
                  <c:v>513.58791946309998</c:v>
                </c:pt>
                <c:pt idx="9">
                  <c:v>515.54861111109994</c:v>
                </c:pt>
                <c:pt idx="10">
                  <c:v>519.92069892469999</c:v>
                </c:pt>
                <c:pt idx="11">
                  <c:v>531.33064516130003</c:v>
                </c:pt>
                <c:pt idx="12">
                  <c:v>542.02380952379997</c:v>
                </c:pt>
              </c:numCache>
            </c:numRef>
          </c:val>
        </c:ser>
        <c:ser>
          <c:idx val="0"/>
          <c:order val="1"/>
          <c:tx>
            <c:v>Energía a subir</c:v>
          </c:tx>
          <c:spPr>
            <a:solidFill>
              <a:srgbClr val="007AB0"/>
            </a:solidFill>
          </c:spPr>
          <c:invertIfNegative val="0"/>
          <c:val>
            <c:numRef>
              <c:f>'Data 2'!$C$22:$O$22</c:f>
              <c:numCache>
                <c:formatCode>#,##0</c:formatCode>
                <c:ptCount val="13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59916960"/>
        <c:axId val="259916568"/>
      </c:barChart>
      <c:lineChart>
        <c:grouping val="standard"/>
        <c:varyColors val="0"/>
        <c:ser>
          <c:idx val="1"/>
          <c:order val="2"/>
          <c:tx>
            <c:v>Precio medio</c:v>
          </c:tx>
          <c:spPr>
            <a:ln>
              <a:solidFill>
                <a:srgbClr val="004563"/>
              </a:solidFill>
            </a:ln>
          </c:spPr>
          <c:marker>
            <c:symbol val="none"/>
          </c:marker>
          <c:val>
            <c:numRef>
              <c:f>'Data 2'!$C$22:$O$22</c:f>
              <c:numCache>
                <c:formatCode>#,##0</c:formatCode>
                <c:ptCount val="13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9916960"/>
        <c:axId val="259916568"/>
      </c:lineChart>
      <c:valAx>
        <c:axId val="259916568"/>
        <c:scaling>
          <c:orientation val="maxMin"/>
          <c:max val="800"/>
          <c:min val="0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>
                <a:solidFill>
                  <a:srgbClr val="004563"/>
                </a:solidFill>
              </a:defRPr>
            </a:pPr>
            <a:endParaRPr lang="es-ES"/>
          </a:p>
        </c:txPr>
        <c:crossAx val="259916960"/>
        <c:crosses val="autoZero"/>
        <c:crossBetween val="between"/>
        <c:majorUnit val="200"/>
      </c:valAx>
      <c:catAx>
        <c:axId val="259916960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259916568"/>
        <c:crosses val="autoZero"/>
        <c:auto val="1"/>
        <c:lblAlgn val="ctr"/>
        <c:lblOffset val="100"/>
        <c:noMultiLvlLbl val="0"/>
      </c:catAx>
      <c:spPr>
        <a:solidFill>
          <a:schemeClr val="bg1">
            <a:lumMod val="85000"/>
          </a:schemeClr>
        </a:solidFill>
        <a:ln w="25400">
          <a:noFill/>
        </a:ln>
      </c:spPr>
    </c:plotArea>
    <c:plotVisOnly val="1"/>
    <c:dispBlanksAs val="gap"/>
    <c:showDLblsOverMax val="0"/>
  </c:chart>
  <c:spPr>
    <a:solidFill>
      <a:schemeClr val="bg1">
        <a:lumMod val="85000"/>
      </a:schemeClr>
    </a:solidFill>
    <a:ln w="9525">
      <a:noFill/>
    </a:ln>
  </c:spPr>
  <c:txPr>
    <a:bodyPr/>
    <a:lstStyle/>
    <a:p>
      <a:pPr algn="ctr">
        <a:defRPr lang="en-US" sz="800" b="0" i="0" u="none" strike="noStrike" kern="1200" baseline="0">
          <a:solidFill>
            <a:srgbClr val="004563"/>
          </a:solidFill>
          <a:latin typeface="Arial" panose="020B0604020202020204" pitchFamily="34" charset="0"/>
          <a:ea typeface="Calibri"/>
          <a:cs typeface="Arial" panose="020B0604020202020204" pitchFamily="34" charset="0"/>
        </a:defRPr>
      </a:pPr>
      <a:endParaRPr lang="es-ES"/>
    </a:p>
  </c:txPr>
  <c:printSettings>
    <c:headerFooter alignWithMargins="0"/>
    <c:pageMargins b="1" l="0.75000000000001465" r="0.75000000000001465" t="1" header="0" footer="0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631025328334913E-2"/>
          <c:y val="0.12454101736471991"/>
          <c:w val="0.89662947963244555"/>
          <c:h val="0.6927541322157052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'Data 2'!$B$19</c:f>
              <c:strCache>
                <c:ptCount val="1"/>
                <c:pt idx="0">
                  <c:v>Energía a subir</c:v>
                </c:pt>
              </c:strCache>
            </c:strRef>
          </c:tx>
          <c:spPr>
            <a:solidFill>
              <a:srgbClr val="007AB0"/>
            </a:solidFill>
            <a:ln>
              <a:noFill/>
            </a:ln>
            <a:effectLst/>
          </c:spPr>
          <c:invertIfNegative val="0"/>
          <c:cat>
            <c:strRef>
              <c:f>'Data 2'!$C$18:$O$18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'Data 2'!$C$19:$O$19</c:f>
              <c:numCache>
                <c:formatCode>#,##0</c:formatCode>
                <c:ptCount val="13"/>
                <c:pt idx="0">
                  <c:v>123063.594</c:v>
                </c:pt>
                <c:pt idx="1">
                  <c:v>142874.97500000001</c:v>
                </c:pt>
                <c:pt idx="2">
                  <c:v>143332.88099999999</c:v>
                </c:pt>
                <c:pt idx="3">
                  <c:v>124663.514</c:v>
                </c:pt>
                <c:pt idx="4">
                  <c:v>94559.540999999997</c:v>
                </c:pt>
                <c:pt idx="5">
                  <c:v>85673.202000000005</c:v>
                </c:pt>
                <c:pt idx="6">
                  <c:v>81536.076000000001</c:v>
                </c:pt>
                <c:pt idx="7">
                  <c:v>75102.289000000004</c:v>
                </c:pt>
                <c:pt idx="8">
                  <c:v>65089.595000000001</c:v>
                </c:pt>
                <c:pt idx="9">
                  <c:v>72290.070000000007</c:v>
                </c:pt>
                <c:pt idx="10">
                  <c:v>81049.796000000002</c:v>
                </c:pt>
                <c:pt idx="11">
                  <c:v>106846.751</c:v>
                </c:pt>
                <c:pt idx="12">
                  <c:v>95118.278999999995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58800944"/>
        <c:axId val="259826960"/>
      </c:barChart>
      <c:lineChart>
        <c:grouping val="standard"/>
        <c:varyColors val="0"/>
        <c:ser>
          <c:idx val="2"/>
          <c:order val="1"/>
          <c:tx>
            <c:v>Precio medio</c:v>
          </c:tx>
          <c:spPr>
            <a:ln w="28575" cap="rnd">
              <a:solidFill>
                <a:srgbClr val="004563"/>
              </a:solidFill>
              <a:round/>
            </a:ln>
            <a:effectLst/>
          </c:spPr>
          <c:marker>
            <c:symbol val="none"/>
          </c:marker>
          <c:cat>
            <c:strRef>
              <c:f>'M10'!$O$4:$AA$4</c:f>
              <c:strCache>
                <c:ptCount val="13"/>
                <c:pt idx="0">
                  <c:v>D</c:v>
                </c:pt>
                <c:pt idx="1">
                  <c:v>E</c:v>
                </c:pt>
                <c:pt idx="2">
                  <c:v>F</c:v>
                </c:pt>
                <c:pt idx="3">
                  <c:v>M</c:v>
                </c:pt>
                <c:pt idx="4">
                  <c:v>A</c:v>
                </c:pt>
                <c:pt idx="5">
                  <c:v>M</c:v>
                </c:pt>
                <c:pt idx="6">
                  <c:v>J</c:v>
                </c:pt>
                <c:pt idx="7">
                  <c:v>J</c:v>
                </c:pt>
                <c:pt idx="8">
                  <c:v>A</c:v>
                </c:pt>
                <c:pt idx="9">
                  <c:v>S</c:v>
                </c:pt>
                <c:pt idx="10">
                  <c:v>O</c:v>
                </c:pt>
                <c:pt idx="11">
                  <c:v>N</c:v>
                </c:pt>
                <c:pt idx="12">
                  <c:v>D</c:v>
                </c:pt>
              </c:strCache>
            </c:strRef>
          </c:cat>
          <c:val>
            <c:numRef>
              <c:f>'Data 2'!$C$23:$O$23</c:f>
              <c:numCache>
                <c:formatCode>#,##0.0</c:formatCode>
                <c:ptCount val="13"/>
                <c:pt idx="0">
                  <c:v>56.121769286199999</c:v>
                </c:pt>
                <c:pt idx="1">
                  <c:v>47.867154202499997</c:v>
                </c:pt>
                <c:pt idx="2">
                  <c:v>48.851768841499997</c:v>
                </c:pt>
                <c:pt idx="3">
                  <c:v>50.732693448699997</c:v>
                </c:pt>
                <c:pt idx="4">
                  <c:v>52.547676812399999</c:v>
                </c:pt>
                <c:pt idx="5">
                  <c:v>50.083044053800002</c:v>
                </c:pt>
                <c:pt idx="6">
                  <c:v>47.756106266400003</c:v>
                </c:pt>
                <c:pt idx="7">
                  <c:v>50.449034516099999</c:v>
                </c:pt>
                <c:pt idx="8">
                  <c:v>58.357759792499998</c:v>
                </c:pt>
                <c:pt idx="9">
                  <c:v>62.377222902100002</c:v>
                </c:pt>
                <c:pt idx="10">
                  <c:v>61.842100256499997</c:v>
                </c:pt>
                <c:pt idx="11">
                  <c:v>51.707705552999997</c:v>
                </c:pt>
                <c:pt idx="12">
                  <c:v>57.0513155521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9827744"/>
        <c:axId val="259827352"/>
      </c:lineChart>
      <c:catAx>
        <c:axId val="2588009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004563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59826960"/>
        <c:crosses val="autoZero"/>
        <c:auto val="1"/>
        <c:lblAlgn val="ctr"/>
        <c:lblOffset val="100"/>
        <c:noMultiLvlLbl val="1"/>
      </c:catAx>
      <c:valAx>
        <c:axId val="259826960"/>
        <c:scaling>
          <c:orientation val="minMax"/>
          <c:max val="200000"/>
          <c:min val="0"/>
        </c:scaling>
        <c:delete val="0"/>
        <c:axPos val="l"/>
        <c:majorGridlines>
          <c:spPr>
            <a:ln w="3175" cap="flat" cmpd="sng" algn="ctr">
              <a:solidFill>
                <a:srgbClr val="004563"/>
              </a:solidFill>
              <a:prstDash val="sysDot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 sz="800">
                    <a:solidFill>
                      <a:srgbClr val="004563"/>
                    </a:solidFill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2.1914394226280522E-2"/>
              <c:y val="1.143555889398472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58800944"/>
        <c:crosses val="autoZero"/>
        <c:crossBetween val="between"/>
        <c:majorUnit val="50000"/>
        <c:dispUnits>
          <c:builtInUnit val="thousands"/>
        </c:dispUnits>
      </c:valAx>
      <c:valAx>
        <c:axId val="259827352"/>
        <c:scaling>
          <c:orientation val="minMax"/>
          <c:max val="80"/>
          <c:min val="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 sz="800">
                    <a:solidFill>
                      <a:srgbClr val="004563"/>
                    </a:solidFill>
                  </a:rPr>
                  <a:t>€/MWh</a:t>
                </a:r>
              </a:p>
            </c:rich>
          </c:tx>
          <c:layout>
            <c:manualLayout>
              <c:xMode val="edge"/>
              <c:yMode val="edge"/>
              <c:x val="0.94481793598262565"/>
              <c:y val="2.2046861853368505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59827744"/>
        <c:crosses val="max"/>
        <c:crossBetween val="between"/>
        <c:majorUnit val="20"/>
      </c:valAx>
      <c:catAx>
        <c:axId val="2598277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598273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rgbClr val="D9D9D9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 horizontalDpi="355" verticalDpi="355"/>
  </c:printSettings>
  <c:userShapes r:id="rId3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5893111346282373E-2"/>
          <c:y val="3.7659765548332613E-2"/>
          <c:w val="0.90234727490582289"/>
          <c:h val="0.8266986520009546"/>
        </c:manualLayout>
      </c:layout>
      <c:barChart>
        <c:barDir val="col"/>
        <c:grouping val="stacked"/>
        <c:varyColors val="0"/>
        <c:ser>
          <c:idx val="10"/>
          <c:order val="0"/>
          <c:tx>
            <c:v>Energía a subir</c:v>
          </c:tx>
          <c:spPr>
            <a:solidFill>
              <a:srgbClr val="007AB0"/>
            </a:solidFill>
            <a:ln w="25400">
              <a:noFill/>
            </a:ln>
          </c:spPr>
          <c:invertIfNegative val="0"/>
          <c:cat>
            <c:strRef>
              <c:f>'M10'!$O$4:$AA$4</c:f>
              <c:strCache>
                <c:ptCount val="13"/>
                <c:pt idx="0">
                  <c:v>D</c:v>
                </c:pt>
                <c:pt idx="1">
                  <c:v>E</c:v>
                </c:pt>
                <c:pt idx="2">
                  <c:v>F</c:v>
                </c:pt>
                <c:pt idx="3">
                  <c:v>M</c:v>
                </c:pt>
                <c:pt idx="4">
                  <c:v>A</c:v>
                </c:pt>
                <c:pt idx="5">
                  <c:v>M</c:v>
                </c:pt>
                <c:pt idx="6">
                  <c:v>J</c:v>
                </c:pt>
                <c:pt idx="7">
                  <c:v>J</c:v>
                </c:pt>
                <c:pt idx="8">
                  <c:v>A</c:v>
                </c:pt>
                <c:pt idx="9">
                  <c:v>S</c:v>
                </c:pt>
                <c:pt idx="10">
                  <c:v>O</c:v>
                </c:pt>
                <c:pt idx="11">
                  <c:v>N</c:v>
                </c:pt>
                <c:pt idx="12">
                  <c:v>D</c:v>
                </c:pt>
              </c:strCache>
            </c:strRef>
          </c:cat>
          <c:val>
            <c:numRef>
              <c:f>'Data 2'!$C$22:$O$22</c:f>
              <c:numCache>
                <c:formatCode>#,##0</c:formatCode>
                <c:ptCount val="13"/>
              </c:numCache>
            </c:numRef>
          </c:val>
        </c:ser>
        <c:ser>
          <c:idx val="1"/>
          <c:order val="1"/>
          <c:tx>
            <c:v>Energía a bajar</c:v>
          </c:tx>
          <c:spPr>
            <a:solidFill>
              <a:srgbClr val="0090D1"/>
            </a:solidFill>
          </c:spPr>
          <c:invertIfNegative val="0"/>
          <c:val>
            <c:numRef>
              <c:f>'Data 2'!$C$20:$O$20</c:f>
              <c:numCache>
                <c:formatCode>#,##0</c:formatCode>
                <c:ptCount val="13"/>
                <c:pt idx="0">
                  <c:v>65058.027000000002</c:v>
                </c:pt>
                <c:pt idx="1">
                  <c:v>65080.661999999997</c:v>
                </c:pt>
                <c:pt idx="2">
                  <c:v>56832.525000000001</c:v>
                </c:pt>
                <c:pt idx="3">
                  <c:v>67245.510999999999</c:v>
                </c:pt>
                <c:pt idx="4">
                  <c:v>87837.740999999995</c:v>
                </c:pt>
                <c:pt idx="5">
                  <c:v>115472.265</c:v>
                </c:pt>
                <c:pt idx="6">
                  <c:v>110945.08</c:v>
                </c:pt>
                <c:pt idx="7">
                  <c:v>109933.033</c:v>
                </c:pt>
                <c:pt idx="8">
                  <c:v>138127.981</c:v>
                </c:pt>
                <c:pt idx="9">
                  <c:v>138345.883</c:v>
                </c:pt>
                <c:pt idx="10">
                  <c:v>148810.416</c:v>
                </c:pt>
                <c:pt idx="11">
                  <c:v>118042.065</c:v>
                </c:pt>
                <c:pt idx="12">
                  <c:v>136637.182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59828528"/>
        <c:axId val="253313152"/>
      </c:barChart>
      <c:lineChart>
        <c:grouping val="standard"/>
        <c:varyColors val="0"/>
        <c:ser>
          <c:idx val="0"/>
          <c:order val="2"/>
          <c:tx>
            <c:v>Precio medio subir</c:v>
          </c:tx>
          <c:spPr>
            <a:ln>
              <a:solidFill>
                <a:srgbClr val="004563"/>
              </a:solidFill>
            </a:ln>
          </c:spPr>
          <c:marker>
            <c:symbol val="none"/>
          </c:marker>
          <c:val>
            <c:numRef>
              <c:f>'Data 2'!$C$22:$O$22</c:f>
              <c:numCache>
                <c:formatCode>#,##0</c:formatCode>
                <c:ptCount val="13"/>
              </c:numCache>
            </c:numRef>
          </c:val>
          <c:smooth val="0"/>
        </c:ser>
        <c:ser>
          <c:idx val="2"/>
          <c:order val="3"/>
          <c:tx>
            <c:v>Precio medio bajar</c:v>
          </c:tx>
          <c:spPr>
            <a:ln>
              <a:solidFill>
                <a:srgbClr val="404040"/>
              </a:solidFill>
            </a:ln>
          </c:spPr>
          <c:marker>
            <c:symbol val="none"/>
          </c:marker>
          <c:val>
            <c:numRef>
              <c:f>'Data 2'!$C$24:$O$24</c:f>
              <c:numCache>
                <c:formatCode>#,##0.0</c:formatCode>
                <c:ptCount val="13"/>
                <c:pt idx="0">
                  <c:v>39.8691003956</c:v>
                </c:pt>
                <c:pt idx="1">
                  <c:v>31.858757214200001</c:v>
                </c:pt>
                <c:pt idx="2">
                  <c:v>33.552731292499999</c:v>
                </c:pt>
                <c:pt idx="3">
                  <c:v>39.81575127</c:v>
                </c:pt>
                <c:pt idx="4">
                  <c:v>42.375364024900001</c:v>
                </c:pt>
                <c:pt idx="5">
                  <c:v>40.013761746199997</c:v>
                </c:pt>
                <c:pt idx="6">
                  <c:v>38.090010931499997</c:v>
                </c:pt>
                <c:pt idx="7">
                  <c:v>39.002468893900001</c:v>
                </c:pt>
                <c:pt idx="8">
                  <c:v>45.204191538899998</c:v>
                </c:pt>
                <c:pt idx="9">
                  <c:v>53.3716975878</c:v>
                </c:pt>
                <c:pt idx="10">
                  <c:v>51.5734303841</c:v>
                </c:pt>
                <c:pt idx="11">
                  <c:v>40.970034284</c:v>
                </c:pt>
                <c:pt idx="12">
                  <c:v>45.528719920500002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9829312"/>
        <c:axId val="259828920"/>
      </c:lineChart>
      <c:valAx>
        <c:axId val="253313152"/>
        <c:scaling>
          <c:orientation val="maxMin"/>
          <c:max val="200000"/>
          <c:min val="0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>
                <a:solidFill>
                  <a:srgbClr val="004563"/>
                </a:solidFill>
              </a:defRPr>
            </a:pPr>
            <a:endParaRPr lang="es-ES"/>
          </a:p>
        </c:txPr>
        <c:crossAx val="259828528"/>
        <c:crosses val="autoZero"/>
        <c:crossBetween val="between"/>
        <c:majorUnit val="50000"/>
        <c:dispUnits>
          <c:builtInUnit val="thousands"/>
        </c:dispUnits>
      </c:valAx>
      <c:catAx>
        <c:axId val="259828528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253313152"/>
        <c:crosses val="autoZero"/>
        <c:auto val="1"/>
        <c:lblAlgn val="ctr"/>
        <c:lblOffset val="100"/>
        <c:noMultiLvlLbl val="0"/>
      </c:catAx>
      <c:valAx>
        <c:axId val="259828920"/>
        <c:scaling>
          <c:orientation val="maxMin"/>
          <c:max val="80"/>
        </c:scaling>
        <c:delete val="0"/>
        <c:axPos val="r"/>
        <c:numFmt formatCode="#,##0" sourceLinked="0"/>
        <c:majorTickMark val="out"/>
        <c:minorTickMark val="none"/>
        <c:tickLblPos val="nextTo"/>
        <c:spPr>
          <a:ln>
            <a:noFill/>
          </a:ln>
        </c:spPr>
        <c:crossAx val="259829312"/>
        <c:crosses val="max"/>
        <c:crossBetween val="between"/>
        <c:majorUnit val="20"/>
      </c:valAx>
      <c:catAx>
        <c:axId val="259829312"/>
        <c:scaling>
          <c:orientation val="minMax"/>
        </c:scaling>
        <c:delete val="1"/>
        <c:axPos val="t"/>
        <c:majorTickMark val="out"/>
        <c:minorTickMark val="none"/>
        <c:tickLblPos val="nextTo"/>
        <c:crossAx val="259828920"/>
        <c:crosses val="autoZero"/>
        <c:auto val="1"/>
        <c:lblAlgn val="ctr"/>
        <c:lblOffset val="100"/>
        <c:noMultiLvlLbl val="0"/>
      </c:catAx>
      <c:spPr>
        <a:solidFill>
          <a:schemeClr val="bg1">
            <a:lumMod val="85000"/>
          </a:schemeClr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0.16329404894622285"/>
          <c:y val="0.87213445124032496"/>
          <c:w val="0.68352497743802088"/>
          <c:h val="0.10637023062050383"/>
        </c:manualLayout>
      </c:layout>
      <c:overlay val="0"/>
    </c:legend>
    <c:plotVisOnly val="1"/>
    <c:dispBlanksAs val="gap"/>
    <c:showDLblsOverMax val="0"/>
  </c:chart>
  <c:spPr>
    <a:solidFill>
      <a:schemeClr val="bg1">
        <a:lumMod val="85000"/>
      </a:schemeClr>
    </a:solidFill>
    <a:ln w="9525">
      <a:noFill/>
    </a:ln>
  </c:spPr>
  <c:txPr>
    <a:bodyPr/>
    <a:lstStyle/>
    <a:p>
      <a:pPr algn="ctr">
        <a:defRPr lang="en-US" sz="800" b="0" i="0" u="none" strike="noStrike" kern="1200" baseline="0">
          <a:solidFill>
            <a:srgbClr val="004563"/>
          </a:solidFill>
          <a:latin typeface="Arial" panose="020B0604020202020204" pitchFamily="34" charset="0"/>
          <a:ea typeface="Calibri"/>
          <a:cs typeface="Arial" panose="020B0604020202020204" pitchFamily="34" charset="0"/>
        </a:defRPr>
      </a:pPr>
      <a:endParaRPr lang="es-ES"/>
    </a:p>
  </c:txPr>
  <c:printSettings>
    <c:headerFooter alignWithMargins="0"/>
    <c:pageMargins b="1" l="0.75000000000001465" r="0.75000000000001465" t="1" header="0" footer="0"/>
    <c:pageSetup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7520764015396735E-2"/>
          <c:y val="9.7142349238217726E-2"/>
          <c:w val="0.90427766318885094"/>
          <c:h val="0.7115726750207626"/>
        </c:manualLayout>
      </c:layout>
      <c:barChart>
        <c:barDir val="col"/>
        <c:grouping val="stacked"/>
        <c:varyColors val="0"/>
        <c:ser>
          <c:idx val="2"/>
          <c:order val="1"/>
          <c:tx>
            <c:strRef>
              <c:f>'Data 2'!$C$54</c:f>
              <c:strCache>
                <c:ptCount val="1"/>
                <c:pt idx="0">
                  <c:v>Carbón</c:v>
                </c:pt>
              </c:strCache>
            </c:strRef>
          </c:tx>
          <c:spPr>
            <a:solidFill>
              <a:srgbClr val="993300"/>
            </a:solidFill>
            <a:ln>
              <a:noFill/>
            </a:ln>
            <a:effectLst/>
          </c:spPr>
          <c:invertIfNegative val="0"/>
          <c:cat>
            <c:strRef>
              <c:f>'Data 2'!$D$35:$P$35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'Data 2'!$D$54:$P$54</c:f>
              <c:numCache>
                <c:formatCode>#,##0.0</c:formatCode>
                <c:ptCount val="13"/>
                <c:pt idx="0">
                  <c:v>92635.5</c:v>
                </c:pt>
                <c:pt idx="1">
                  <c:v>60556.800000000003</c:v>
                </c:pt>
                <c:pt idx="2">
                  <c:v>39185.699999999997</c:v>
                </c:pt>
                <c:pt idx="3">
                  <c:v>36573.1</c:v>
                </c:pt>
                <c:pt idx="4">
                  <c:v>31856.5</c:v>
                </c:pt>
                <c:pt idx="5">
                  <c:v>64224.4</c:v>
                </c:pt>
                <c:pt idx="6">
                  <c:v>71875.8</c:v>
                </c:pt>
                <c:pt idx="7">
                  <c:v>46377.5</c:v>
                </c:pt>
                <c:pt idx="8">
                  <c:v>28352.7</c:v>
                </c:pt>
                <c:pt idx="9">
                  <c:v>20637.7</c:v>
                </c:pt>
                <c:pt idx="10">
                  <c:v>30371.3</c:v>
                </c:pt>
                <c:pt idx="11">
                  <c:v>49749</c:v>
                </c:pt>
                <c:pt idx="12">
                  <c:v>47780.9</c:v>
                </c:pt>
              </c:numCache>
            </c:numRef>
          </c:val>
        </c:ser>
        <c:ser>
          <c:idx val="3"/>
          <c:order val="2"/>
          <c:tx>
            <c:strRef>
              <c:f>'Data 2'!$C$55</c:f>
              <c:strCache>
                <c:ptCount val="1"/>
                <c:pt idx="0">
                  <c:v>Ciclo Combinado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'Data 2'!$D$35:$P$35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'Data 2'!$D$55:$P$55</c:f>
              <c:numCache>
                <c:formatCode>#,##0.0</c:formatCode>
                <c:ptCount val="13"/>
                <c:pt idx="0">
                  <c:v>28594.2</c:v>
                </c:pt>
                <c:pt idx="1">
                  <c:v>29853.7</c:v>
                </c:pt>
                <c:pt idx="2">
                  <c:v>20218.599999999999</c:v>
                </c:pt>
                <c:pt idx="3">
                  <c:v>14965.8</c:v>
                </c:pt>
                <c:pt idx="4">
                  <c:v>21784.2</c:v>
                </c:pt>
                <c:pt idx="5">
                  <c:v>40730.5</c:v>
                </c:pt>
                <c:pt idx="6">
                  <c:v>44407.8</c:v>
                </c:pt>
                <c:pt idx="7">
                  <c:v>52485.1</c:v>
                </c:pt>
                <c:pt idx="8">
                  <c:v>33701.800000000003</c:v>
                </c:pt>
                <c:pt idx="9">
                  <c:v>33409.300000000003</c:v>
                </c:pt>
                <c:pt idx="10">
                  <c:v>38818.699999999997</c:v>
                </c:pt>
                <c:pt idx="11">
                  <c:v>21689</c:v>
                </c:pt>
                <c:pt idx="12">
                  <c:v>17066.099999999999</c:v>
                </c:pt>
              </c:numCache>
            </c:numRef>
          </c:val>
        </c:ser>
        <c:ser>
          <c:idx val="4"/>
          <c:order val="3"/>
          <c:tx>
            <c:strRef>
              <c:f>'Data 2'!$C$56</c:f>
              <c:strCache>
                <c:ptCount val="1"/>
                <c:pt idx="0">
                  <c:v>Cogeneración</c:v>
                </c:pt>
              </c:strCache>
            </c:strRef>
          </c:tx>
          <c:spPr>
            <a:solidFill>
              <a:srgbClr val="CFA2CA"/>
            </a:solidFill>
            <a:ln>
              <a:noFill/>
            </a:ln>
            <a:effectLst/>
          </c:spPr>
          <c:invertIfNegative val="0"/>
          <c:cat>
            <c:strRef>
              <c:f>'Data 2'!$D$35:$P$35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'Data 2'!$D$56:$P$56</c:f>
              <c:numCache>
                <c:formatCode>#,##0.0</c:formatCode>
                <c:ptCount val="13"/>
                <c:pt idx="0">
                  <c:v>463.1</c:v>
                </c:pt>
                <c:pt idx="1">
                  <c:v>1006.6</c:v>
                </c:pt>
                <c:pt idx="2">
                  <c:v>667</c:v>
                </c:pt>
                <c:pt idx="3">
                  <c:v>259.5</c:v>
                </c:pt>
                <c:pt idx="4">
                  <c:v>332.6</c:v>
                </c:pt>
                <c:pt idx="5">
                  <c:v>223.6</c:v>
                </c:pt>
                <c:pt idx="6">
                  <c:v>356.8</c:v>
                </c:pt>
                <c:pt idx="7">
                  <c:v>420.2</c:v>
                </c:pt>
                <c:pt idx="8">
                  <c:v>72.5</c:v>
                </c:pt>
                <c:pt idx="9">
                  <c:v>40.799999999999997</c:v>
                </c:pt>
                <c:pt idx="10">
                  <c:v>239.5</c:v>
                </c:pt>
                <c:pt idx="11">
                  <c:v>1091.7</c:v>
                </c:pt>
                <c:pt idx="12">
                  <c:v>83.8</c:v>
                </c:pt>
              </c:numCache>
            </c:numRef>
          </c:val>
        </c:ser>
        <c:ser>
          <c:idx val="5"/>
          <c:order val="4"/>
          <c:tx>
            <c:strRef>
              <c:f>'Data 2'!$C$57</c:f>
              <c:strCache>
                <c:ptCount val="1"/>
                <c:pt idx="0">
                  <c:v>Consumo Bombeo</c:v>
                </c:pt>
              </c:strCache>
            </c:strRef>
          </c:tx>
          <c:spPr>
            <a:solidFill>
              <a:srgbClr val="2C4D75"/>
            </a:solidFill>
            <a:ln>
              <a:noFill/>
            </a:ln>
            <a:effectLst/>
          </c:spPr>
          <c:invertIfNegative val="0"/>
          <c:cat>
            <c:strRef>
              <c:f>'Data 2'!$D$35:$P$35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'Data 2'!$D$57:$P$57</c:f>
              <c:numCache>
                <c:formatCode>#,##0.0</c:formatCode>
                <c:ptCount val="13"/>
                <c:pt idx="0">
                  <c:v>59071.9</c:v>
                </c:pt>
                <c:pt idx="1">
                  <c:v>69541.7</c:v>
                </c:pt>
                <c:pt idx="2">
                  <c:v>58045.1</c:v>
                </c:pt>
                <c:pt idx="3">
                  <c:v>26811.1</c:v>
                </c:pt>
                <c:pt idx="4">
                  <c:v>25120.799999999999</c:v>
                </c:pt>
                <c:pt idx="5">
                  <c:v>39459.699999999997</c:v>
                </c:pt>
                <c:pt idx="6">
                  <c:v>41443.4</c:v>
                </c:pt>
                <c:pt idx="7">
                  <c:v>46799.1</c:v>
                </c:pt>
                <c:pt idx="8">
                  <c:v>27285.599999999999</c:v>
                </c:pt>
                <c:pt idx="9">
                  <c:v>17072.8</c:v>
                </c:pt>
                <c:pt idx="10">
                  <c:v>44331.3</c:v>
                </c:pt>
                <c:pt idx="11">
                  <c:v>44705.2</c:v>
                </c:pt>
                <c:pt idx="12">
                  <c:v>30784</c:v>
                </c:pt>
              </c:numCache>
            </c:numRef>
          </c:val>
        </c:ser>
        <c:ser>
          <c:idx val="7"/>
          <c:order val="6"/>
          <c:tx>
            <c:strRef>
              <c:f>'Data 2'!$C$59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70AD47"/>
            </a:solidFill>
            <a:ln>
              <a:noFill/>
            </a:ln>
            <a:effectLst/>
          </c:spPr>
          <c:invertIfNegative val="0"/>
          <c:cat>
            <c:strRef>
              <c:f>'Data 2'!$D$35:$P$35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'Data 2'!$D$59:$P$59</c:f>
              <c:numCache>
                <c:formatCode>#,##0.0</c:formatCode>
                <c:ptCount val="13"/>
                <c:pt idx="0">
                  <c:v>13978.3</c:v>
                </c:pt>
                <c:pt idx="1">
                  <c:v>24572.7</c:v>
                </c:pt>
                <c:pt idx="2">
                  <c:v>10784.5</c:v>
                </c:pt>
                <c:pt idx="3">
                  <c:v>4780.8999999999996</c:v>
                </c:pt>
                <c:pt idx="4">
                  <c:v>3742.7</c:v>
                </c:pt>
                <c:pt idx="5">
                  <c:v>10048.700000000001</c:v>
                </c:pt>
                <c:pt idx="6">
                  <c:v>8916.4</c:v>
                </c:pt>
                <c:pt idx="7">
                  <c:v>11262.5</c:v>
                </c:pt>
                <c:pt idx="8">
                  <c:v>6968.9</c:v>
                </c:pt>
                <c:pt idx="9">
                  <c:v>3847.5</c:v>
                </c:pt>
                <c:pt idx="10">
                  <c:v>13873.3</c:v>
                </c:pt>
                <c:pt idx="11">
                  <c:v>51833.3</c:v>
                </c:pt>
                <c:pt idx="12">
                  <c:v>5603.4</c:v>
                </c:pt>
              </c:numCache>
            </c:numRef>
          </c:val>
        </c:ser>
        <c:ser>
          <c:idx val="9"/>
          <c:order val="8"/>
          <c:tx>
            <c:strRef>
              <c:f>'Data 2'!$C$61</c:f>
              <c:strCache>
                <c:ptCount val="1"/>
                <c:pt idx="0">
                  <c:v>Hidráulica</c:v>
                </c:pt>
              </c:strCache>
            </c:strRef>
          </c:tx>
          <c:spPr>
            <a:solidFill>
              <a:srgbClr val="0090D1"/>
            </a:solidFill>
            <a:ln>
              <a:noFill/>
            </a:ln>
            <a:effectLst/>
          </c:spPr>
          <c:invertIfNegative val="0"/>
          <c:cat>
            <c:strRef>
              <c:f>'Data 2'!$D$35:$P$35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'Data 2'!$D$61:$P$61</c:f>
              <c:numCache>
                <c:formatCode>#,##0.0</c:formatCode>
                <c:ptCount val="13"/>
                <c:pt idx="0">
                  <c:v>19654.8</c:v>
                </c:pt>
                <c:pt idx="1">
                  <c:v>29936.2</c:v>
                </c:pt>
                <c:pt idx="2">
                  <c:v>30176.3</c:v>
                </c:pt>
                <c:pt idx="3">
                  <c:v>9611.2999999999993</c:v>
                </c:pt>
                <c:pt idx="4">
                  <c:v>7869.8</c:v>
                </c:pt>
                <c:pt idx="5">
                  <c:v>2606.4</c:v>
                </c:pt>
                <c:pt idx="6">
                  <c:v>5181.1000000000004</c:v>
                </c:pt>
                <c:pt idx="7">
                  <c:v>3698.4</c:v>
                </c:pt>
                <c:pt idx="8">
                  <c:v>8057.2</c:v>
                </c:pt>
                <c:pt idx="9">
                  <c:v>8820.4</c:v>
                </c:pt>
                <c:pt idx="10">
                  <c:v>10280.700000000001</c:v>
                </c:pt>
                <c:pt idx="11">
                  <c:v>26560.6</c:v>
                </c:pt>
                <c:pt idx="12">
                  <c:v>24359.1</c:v>
                </c:pt>
              </c:numCache>
            </c:numRef>
          </c:val>
        </c:ser>
        <c:ser>
          <c:idx val="11"/>
          <c:order val="10"/>
          <c:tx>
            <c:strRef>
              <c:f>'Data 2'!$C$63</c:f>
              <c:strCache>
                <c:ptCount val="1"/>
                <c:pt idx="0">
                  <c:v>Nuclear</c:v>
                </c:pt>
              </c:strCache>
            </c:strRef>
          </c:tx>
          <c:spPr>
            <a:solidFill>
              <a:srgbClr val="464394"/>
            </a:solidFill>
            <a:ln>
              <a:noFill/>
            </a:ln>
            <a:effectLst/>
          </c:spPr>
          <c:invertIfNegative val="0"/>
          <c:cat>
            <c:strRef>
              <c:f>'Data 2'!$D$35:$P$35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'Data 2'!$D$63:$P$63</c:f>
              <c:numCache>
                <c:formatCode>#,##0.0</c:formatCode>
                <c:ptCount val="13"/>
                <c:pt idx="0">
                  <c:v>0</c:v>
                </c:pt>
                <c:pt idx="1">
                  <c:v>30</c:v>
                </c:pt>
                <c:pt idx="2">
                  <c:v>635.29999999999995</c:v>
                </c:pt>
                <c:pt idx="3">
                  <c:v>138</c:v>
                </c:pt>
                <c:pt idx="4">
                  <c:v>320</c:v>
                </c:pt>
                <c:pt idx="5">
                  <c:v>130</c:v>
                </c:pt>
                <c:pt idx="6">
                  <c:v>179.2</c:v>
                </c:pt>
                <c:pt idx="7">
                  <c:v>178.3</c:v>
                </c:pt>
                <c:pt idx="8">
                  <c:v>1524.1</c:v>
                </c:pt>
                <c:pt idx="9">
                  <c:v>0</c:v>
                </c:pt>
                <c:pt idx="10">
                  <c:v>108.3</c:v>
                </c:pt>
                <c:pt idx="11">
                  <c:v>159.6</c:v>
                </c:pt>
                <c:pt idx="12">
                  <c:v>40</c:v>
                </c:pt>
              </c:numCache>
            </c:numRef>
          </c:val>
        </c:ser>
        <c:ser>
          <c:idx val="16"/>
          <c:order val="15"/>
          <c:tx>
            <c:strRef>
              <c:f>'Data 2'!$C$68</c:f>
              <c:strCache>
                <c:ptCount val="1"/>
                <c:pt idx="0">
                  <c:v>Turbinación bombeo</c:v>
                </c:pt>
              </c:strCache>
            </c:strRef>
          </c:tx>
          <c:spPr>
            <a:solidFill>
              <a:srgbClr val="95B3D7"/>
            </a:solidFill>
            <a:ln>
              <a:noFill/>
            </a:ln>
            <a:effectLst/>
          </c:spPr>
          <c:invertIfNegative val="0"/>
          <c:cat>
            <c:strRef>
              <c:f>'Data 2'!$D$35:$P$35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'Data 2'!$D$68:$P$68</c:f>
              <c:numCache>
                <c:formatCode>#,##0.0</c:formatCode>
                <c:ptCount val="13"/>
                <c:pt idx="0">
                  <c:v>9063.5</c:v>
                </c:pt>
                <c:pt idx="1">
                  <c:v>14315.8</c:v>
                </c:pt>
                <c:pt idx="2">
                  <c:v>9263.7000000000007</c:v>
                </c:pt>
                <c:pt idx="3">
                  <c:v>3683.8</c:v>
                </c:pt>
                <c:pt idx="4">
                  <c:v>1244.9000000000001</c:v>
                </c:pt>
                <c:pt idx="5">
                  <c:v>1680.4</c:v>
                </c:pt>
                <c:pt idx="6">
                  <c:v>4517</c:v>
                </c:pt>
                <c:pt idx="7">
                  <c:v>4969.7</c:v>
                </c:pt>
                <c:pt idx="8">
                  <c:v>3817.1</c:v>
                </c:pt>
                <c:pt idx="9">
                  <c:v>5932.4</c:v>
                </c:pt>
                <c:pt idx="10">
                  <c:v>8046.3</c:v>
                </c:pt>
                <c:pt idx="11">
                  <c:v>11348.4</c:v>
                </c:pt>
                <c:pt idx="12">
                  <c:v>5220.7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59917744"/>
        <c:axId val="259918136"/>
        <c:extLst>
          <c:ext xmlns:c15="http://schemas.microsoft.com/office/drawing/2012/chart" uri="{02D57815-91ED-43cb-92C2-25804820EDAC}">
            <c15:filteredBar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'Data 2'!$C$53</c15:sqref>
                        </c15:formulaRef>
                      </c:ext>
                    </c:extLst>
                    <c:strCache>
                      <c:ptCount val="1"/>
                      <c:pt idx="0">
                        <c:v>Adquisición de Energía</c:v>
                      </c:pt>
                    </c:strCache>
                  </c:strRef>
                </c:tx>
                <c:spPr>
                  <a:solidFill>
                    <a:srgbClr val="0070C0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'Data 2'!$D$35:$P$35</c15:sqref>
                        </c15:formulaRef>
                      </c:ext>
                    </c:extLst>
                    <c:strCache>
                      <c:ptCount val="13"/>
                      <c:pt idx="0">
                        <c:v>F</c:v>
                      </c:pt>
                      <c:pt idx="1">
                        <c:v>M</c:v>
                      </c:pt>
                      <c:pt idx="2">
                        <c:v>A</c:v>
                      </c:pt>
                      <c:pt idx="3">
                        <c:v>M</c:v>
                      </c:pt>
                      <c:pt idx="4">
                        <c:v>J</c:v>
                      </c:pt>
                      <c:pt idx="5">
                        <c:v>J</c:v>
                      </c:pt>
                      <c:pt idx="6">
                        <c:v>A</c:v>
                      </c:pt>
                      <c:pt idx="7">
                        <c:v>S</c:v>
                      </c:pt>
                      <c:pt idx="8">
                        <c:v>O</c:v>
                      </c:pt>
                      <c:pt idx="9">
                        <c:v>N</c:v>
                      </c:pt>
                      <c:pt idx="10">
                        <c:v>D</c:v>
                      </c:pt>
                      <c:pt idx="11">
                        <c:v>E</c:v>
                      </c:pt>
                      <c:pt idx="12">
                        <c:v>F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'Data 2'!$D$53:$P$53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</c15:ser>
            </c15:filteredBarSeries>
            <c15:filteredBarSeries>
              <c15:ser>
                <c:idx val="6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'Data 2'!$C$58</c15:sqref>
                        </c15:formulaRef>
                      </c:ext>
                    </c:extLst>
                    <c:strCache>
                      <c:ptCount val="1"/>
                      <c:pt idx="0">
                        <c:v>Enlace Península Baleares</c:v>
                      </c:pt>
                    </c:strCache>
                  </c:strRef>
                </c:tx>
                <c:spPr>
                  <a:solidFill>
                    <a:srgbClr val="FF99CC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'Data 2'!$D$35:$P$35</c15:sqref>
                        </c15:formulaRef>
                      </c:ext>
                    </c:extLst>
                    <c:strCache>
                      <c:ptCount val="13"/>
                      <c:pt idx="0">
                        <c:v>F</c:v>
                      </c:pt>
                      <c:pt idx="1">
                        <c:v>M</c:v>
                      </c:pt>
                      <c:pt idx="2">
                        <c:v>A</c:v>
                      </c:pt>
                      <c:pt idx="3">
                        <c:v>M</c:v>
                      </c:pt>
                      <c:pt idx="4">
                        <c:v>J</c:v>
                      </c:pt>
                      <c:pt idx="5">
                        <c:v>J</c:v>
                      </c:pt>
                      <c:pt idx="6">
                        <c:v>A</c:v>
                      </c:pt>
                      <c:pt idx="7">
                        <c:v>S</c:v>
                      </c:pt>
                      <c:pt idx="8">
                        <c:v>O</c:v>
                      </c:pt>
                      <c:pt idx="9">
                        <c:v>N</c:v>
                      </c:pt>
                      <c:pt idx="10">
                        <c:v>D</c:v>
                      </c:pt>
                      <c:pt idx="11">
                        <c:v>E</c:v>
                      </c:pt>
                      <c:pt idx="12">
                        <c:v>F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'Data 2'!$D$58:$P$58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</c15:ser>
            </c15:filteredBarSeries>
            <c15:filteredBarSeries>
              <c15:ser>
                <c:idx val="8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'Data 2'!$C$60</c15:sqref>
                        </c15:formulaRef>
                      </c:ext>
                    </c:extLst>
                    <c:strCache>
                      <c:ptCount val="1"/>
                      <c:pt idx="0">
                        <c:v>Fuel-Gas</c:v>
                      </c:pt>
                    </c:strCache>
                  </c:strRef>
                </c:tx>
                <c:spPr>
                  <a:solidFill>
                    <a:srgbClr val="BA0F16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'Data 2'!$D$35:$P$35</c15:sqref>
                        </c15:formulaRef>
                      </c:ext>
                    </c:extLst>
                    <c:strCache>
                      <c:ptCount val="13"/>
                      <c:pt idx="0">
                        <c:v>F</c:v>
                      </c:pt>
                      <c:pt idx="1">
                        <c:v>M</c:v>
                      </c:pt>
                      <c:pt idx="2">
                        <c:v>A</c:v>
                      </c:pt>
                      <c:pt idx="3">
                        <c:v>M</c:v>
                      </c:pt>
                      <c:pt idx="4">
                        <c:v>J</c:v>
                      </c:pt>
                      <c:pt idx="5">
                        <c:v>J</c:v>
                      </c:pt>
                      <c:pt idx="6">
                        <c:v>A</c:v>
                      </c:pt>
                      <c:pt idx="7">
                        <c:v>S</c:v>
                      </c:pt>
                      <c:pt idx="8">
                        <c:v>O</c:v>
                      </c:pt>
                      <c:pt idx="9">
                        <c:v>N</c:v>
                      </c:pt>
                      <c:pt idx="10">
                        <c:v>D</c:v>
                      </c:pt>
                      <c:pt idx="11">
                        <c:v>E</c:v>
                      </c:pt>
                      <c:pt idx="12">
                        <c:v>F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'Data 2'!$D$60:$P$60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</c15:ser>
            </c15:filteredBarSeries>
            <c15:filteredBarSeries>
              <c15:ser>
                <c:idx val="10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'Data 2'!$C$62</c15:sqref>
                        </c15:formulaRef>
                      </c:ext>
                    </c:extLst>
                    <c:strCache>
                      <c:ptCount val="1"/>
                      <c:pt idx="0">
                        <c:v>Internacionales</c:v>
                      </c:pt>
                    </c:strCache>
                  </c:strRef>
                </c:tx>
                <c:spPr>
                  <a:solidFill>
                    <a:srgbClr val="99FFCC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'Data 2'!$D$35:$P$35</c15:sqref>
                        </c15:formulaRef>
                      </c:ext>
                    </c:extLst>
                    <c:strCache>
                      <c:ptCount val="13"/>
                      <c:pt idx="0">
                        <c:v>F</c:v>
                      </c:pt>
                      <c:pt idx="1">
                        <c:v>M</c:v>
                      </c:pt>
                      <c:pt idx="2">
                        <c:v>A</c:v>
                      </c:pt>
                      <c:pt idx="3">
                        <c:v>M</c:v>
                      </c:pt>
                      <c:pt idx="4">
                        <c:v>J</c:v>
                      </c:pt>
                      <c:pt idx="5">
                        <c:v>J</c:v>
                      </c:pt>
                      <c:pt idx="6">
                        <c:v>A</c:v>
                      </c:pt>
                      <c:pt idx="7">
                        <c:v>S</c:v>
                      </c:pt>
                      <c:pt idx="8">
                        <c:v>O</c:v>
                      </c:pt>
                      <c:pt idx="9">
                        <c:v>N</c:v>
                      </c:pt>
                      <c:pt idx="10">
                        <c:v>D</c:v>
                      </c:pt>
                      <c:pt idx="11">
                        <c:v>E</c:v>
                      </c:pt>
                      <c:pt idx="12">
                        <c:v>F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'Data 2'!$D$62:$P$62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</c15:ser>
            </c15:filteredBarSeries>
            <c15:filteredBarSeries>
              <c15:ser>
                <c:idx val="12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'Data 2'!$C$64</c15:sqref>
                        </c15:formulaRef>
                      </c:ext>
                    </c:extLst>
                    <c:strCache>
                      <c:ptCount val="1"/>
                      <c:pt idx="0">
                        <c:v>Otras Renovables</c:v>
                      </c:pt>
                    </c:strCache>
                  </c:strRef>
                </c:tx>
                <c:spPr>
                  <a:solidFill>
                    <a:srgbClr val="9999FF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'Data 2'!$D$35:$P$35</c15:sqref>
                        </c15:formulaRef>
                      </c:ext>
                    </c:extLst>
                    <c:strCache>
                      <c:ptCount val="13"/>
                      <c:pt idx="0">
                        <c:v>F</c:v>
                      </c:pt>
                      <c:pt idx="1">
                        <c:v>M</c:v>
                      </c:pt>
                      <c:pt idx="2">
                        <c:v>A</c:v>
                      </c:pt>
                      <c:pt idx="3">
                        <c:v>M</c:v>
                      </c:pt>
                      <c:pt idx="4">
                        <c:v>J</c:v>
                      </c:pt>
                      <c:pt idx="5">
                        <c:v>J</c:v>
                      </c:pt>
                      <c:pt idx="6">
                        <c:v>A</c:v>
                      </c:pt>
                      <c:pt idx="7">
                        <c:v>S</c:v>
                      </c:pt>
                      <c:pt idx="8">
                        <c:v>O</c:v>
                      </c:pt>
                      <c:pt idx="9">
                        <c:v>N</c:v>
                      </c:pt>
                      <c:pt idx="10">
                        <c:v>D</c:v>
                      </c:pt>
                      <c:pt idx="11">
                        <c:v>E</c:v>
                      </c:pt>
                      <c:pt idx="12">
                        <c:v>F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'Data 2'!$D$64:$P$64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736.2</c:v>
                      </c:pt>
                      <c:pt idx="9">
                        <c:v>757.7</c:v>
                      </c:pt>
                      <c:pt idx="10">
                        <c:v>133.80000000000001</c:v>
                      </c:pt>
                      <c:pt idx="11">
                        <c:v>521.70000000000005</c:v>
                      </c:pt>
                      <c:pt idx="12">
                        <c:v>286.60000000000002</c:v>
                      </c:pt>
                    </c:numCache>
                  </c:numRef>
                </c:val>
              </c15:ser>
            </c15:filteredBarSeries>
            <c15:filteredBarSeries>
              <c15:ser>
                <c:idx val="13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'Data 2'!$C$65</c15:sqref>
                        </c15:formulaRef>
                      </c:ext>
                    </c:extLst>
                    <c:strCache>
                      <c:ptCount val="1"/>
                      <c:pt idx="0">
                        <c:v>Residuos no Renovables</c:v>
                      </c:pt>
                    </c:strCache>
                  </c:strRef>
                </c:tx>
                <c:spPr>
                  <a:solidFill>
                    <a:schemeClr val="tx1">
                      <a:lumMod val="65000"/>
                      <a:lumOff val="35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'Data 2'!$D$35:$P$35</c15:sqref>
                        </c15:formulaRef>
                      </c:ext>
                    </c:extLst>
                    <c:strCache>
                      <c:ptCount val="13"/>
                      <c:pt idx="0">
                        <c:v>F</c:v>
                      </c:pt>
                      <c:pt idx="1">
                        <c:v>M</c:v>
                      </c:pt>
                      <c:pt idx="2">
                        <c:v>A</c:v>
                      </c:pt>
                      <c:pt idx="3">
                        <c:v>M</c:v>
                      </c:pt>
                      <c:pt idx="4">
                        <c:v>J</c:v>
                      </c:pt>
                      <c:pt idx="5">
                        <c:v>J</c:v>
                      </c:pt>
                      <c:pt idx="6">
                        <c:v>A</c:v>
                      </c:pt>
                      <c:pt idx="7">
                        <c:v>S</c:v>
                      </c:pt>
                      <c:pt idx="8">
                        <c:v>O</c:v>
                      </c:pt>
                      <c:pt idx="9">
                        <c:v>N</c:v>
                      </c:pt>
                      <c:pt idx="10">
                        <c:v>D</c:v>
                      </c:pt>
                      <c:pt idx="11">
                        <c:v>E</c:v>
                      </c:pt>
                      <c:pt idx="12">
                        <c:v>F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'Data 2'!$D$65:$P$65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</c15:ser>
            </c15:filteredBarSeries>
            <c15:filteredBarSeries>
              <c15:ser>
                <c:idx val="14"/>
                <c:order val="1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'Data 2'!$C$66</c15:sqref>
                        </c15:formulaRef>
                      </c:ext>
                    </c:extLst>
                    <c:strCache>
                      <c:ptCount val="1"/>
                      <c:pt idx="0">
                        <c:v>Solar fotovoltaica</c:v>
                      </c:pt>
                    </c:strCache>
                  </c:strRef>
                </c:tx>
                <c:spPr>
                  <a:solidFill>
                    <a:srgbClr val="EE6112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'Data 2'!$D$35:$P$35</c15:sqref>
                        </c15:formulaRef>
                      </c:ext>
                    </c:extLst>
                    <c:strCache>
                      <c:ptCount val="13"/>
                      <c:pt idx="0">
                        <c:v>F</c:v>
                      </c:pt>
                      <c:pt idx="1">
                        <c:v>M</c:v>
                      </c:pt>
                      <c:pt idx="2">
                        <c:v>A</c:v>
                      </c:pt>
                      <c:pt idx="3">
                        <c:v>M</c:v>
                      </c:pt>
                      <c:pt idx="4">
                        <c:v>J</c:v>
                      </c:pt>
                      <c:pt idx="5">
                        <c:v>J</c:v>
                      </c:pt>
                      <c:pt idx="6">
                        <c:v>A</c:v>
                      </c:pt>
                      <c:pt idx="7">
                        <c:v>S</c:v>
                      </c:pt>
                      <c:pt idx="8">
                        <c:v>O</c:v>
                      </c:pt>
                      <c:pt idx="9">
                        <c:v>N</c:v>
                      </c:pt>
                      <c:pt idx="10">
                        <c:v>D</c:v>
                      </c:pt>
                      <c:pt idx="11">
                        <c:v>E</c:v>
                      </c:pt>
                      <c:pt idx="12">
                        <c:v>F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'Data 2'!$D$66:$P$66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</c15:ser>
            </c15:filteredBarSeries>
            <c15:filteredBarSeries>
              <c15:ser>
                <c:idx val="15"/>
                <c:order val="1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'Data 2'!$C$67</c15:sqref>
                        </c15:formulaRef>
                      </c:ext>
                    </c:extLst>
                    <c:strCache>
                      <c:ptCount val="1"/>
                      <c:pt idx="0">
                        <c:v>Solar térmica</c:v>
                      </c:pt>
                    </c:strCache>
                  </c:strRef>
                </c:tx>
                <c:spPr>
                  <a:solidFill>
                    <a:srgbClr val="FF0000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'Data 2'!$D$35:$P$35</c15:sqref>
                        </c15:formulaRef>
                      </c:ext>
                    </c:extLst>
                    <c:strCache>
                      <c:ptCount val="13"/>
                      <c:pt idx="0">
                        <c:v>F</c:v>
                      </c:pt>
                      <c:pt idx="1">
                        <c:v>M</c:v>
                      </c:pt>
                      <c:pt idx="2">
                        <c:v>A</c:v>
                      </c:pt>
                      <c:pt idx="3">
                        <c:v>M</c:v>
                      </c:pt>
                      <c:pt idx="4">
                        <c:v>J</c:v>
                      </c:pt>
                      <c:pt idx="5">
                        <c:v>J</c:v>
                      </c:pt>
                      <c:pt idx="6">
                        <c:v>A</c:v>
                      </c:pt>
                      <c:pt idx="7">
                        <c:v>S</c:v>
                      </c:pt>
                      <c:pt idx="8">
                        <c:v>O</c:v>
                      </c:pt>
                      <c:pt idx="9">
                        <c:v>N</c:v>
                      </c:pt>
                      <c:pt idx="10">
                        <c:v>D</c:v>
                      </c:pt>
                      <c:pt idx="11">
                        <c:v>E</c:v>
                      </c:pt>
                      <c:pt idx="12">
                        <c:v>F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'Data 2'!$D$67:$P$67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</c15:ser>
            </c15:filteredBarSeries>
          </c:ext>
        </c:extLst>
      </c:barChart>
      <c:lineChart>
        <c:grouping val="standard"/>
        <c:varyColors val="0"/>
        <c:ser>
          <c:idx val="17"/>
          <c:order val="16"/>
          <c:tx>
            <c:v>Precio medio subir</c:v>
          </c:tx>
          <c:spPr>
            <a:ln w="28575" cap="rnd">
              <a:solidFill>
                <a:srgbClr val="004563"/>
              </a:solidFill>
              <a:round/>
            </a:ln>
            <a:effectLst/>
          </c:spPr>
          <c:marker>
            <c:symbol val="none"/>
          </c:marker>
          <c:val>
            <c:numRef>
              <c:f>'Data 2'!$D$72:$O$72</c:f>
              <c:numCache>
                <c:formatCode>General</c:formatCode>
                <c:ptCount val="12"/>
              </c:numCache>
            </c:numRef>
          </c:val>
          <c:smooth val="0"/>
        </c:ser>
        <c:ser>
          <c:idx val="0"/>
          <c:order val="17"/>
          <c:tx>
            <c:v>Precio medio bajar</c:v>
          </c:tx>
          <c:spPr>
            <a:ln w="28575" cap="rnd">
              <a:solidFill>
                <a:srgbClr val="404040"/>
              </a:solidFill>
              <a:round/>
            </a:ln>
            <a:effectLst/>
          </c:spPr>
          <c:marker>
            <c:symbol val="none"/>
          </c:marker>
          <c:val>
            <c:numRef>
              <c:f>'Data 2'!$D$71:$P$71</c:f>
              <c:numCache>
                <c:formatCode>#,##0.0</c:formatCode>
                <c:ptCount val="13"/>
                <c:pt idx="0">
                  <c:v>28.525761104899999</c:v>
                </c:pt>
                <c:pt idx="1">
                  <c:v>19.292700864</c:v>
                </c:pt>
                <c:pt idx="2">
                  <c:v>26.8904340375</c:v>
                </c:pt>
                <c:pt idx="3">
                  <c:v>30.571421091000001</c:v>
                </c:pt>
                <c:pt idx="4">
                  <c:v>36.435668434999997</c:v>
                </c:pt>
                <c:pt idx="5">
                  <c:v>36.143624378299997</c:v>
                </c:pt>
                <c:pt idx="6">
                  <c:v>33.497112747499997</c:v>
                </c:pt>
                <c:pt idx="7">
                  <c:v>30.933778283799999</c:v>
                </c:pt>
                <c:pt idx="8">
                  <c:v>35.307517909200001</c:v>
                </c:pt>
                <c:pt idx="9">
                  <c:v>45.196962723699997</c:v>
                </c:pt>
                <c:pt idx="10">
                  <c:v>36.297392464700003</c:v>
                </c:pt>
                <c:pt idx="11">
                  <c:v>24.798933392999999</c:v>
                </c:pt>
                <c:pt idx="12">
                  <c:v>39.032916008100003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9918920"/>
        <c:axId val="259918528"/>
      </c:lineChart>
      <c:catAx>
        <c:axId val="259917744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low"/>
        <c:crossAx val="259918136"/>
        <c:crosses val="autoZero"/>
        <c:auto val="1"/>
        <c:lblAlgn val="ctr"/>
        <c:lblOffset val="100"/>
        <c:noMultiLvlLbl val="0"/>
      </c:catAx>
      <c:valAx>
        <c:axId val="259918136"/>
        <c:scaling>
          <c:orientation val="maxMin"/>
          <c:max val="350000"/>
        </c:scaling>
        <c:delete val="0"/>
        <c:axPos val="l"/>
        <c:majorGridlines>
          <c:spPr>
            <a:ln w="3175" cap="flat" cmpd="sng" algn="ctr">
              <a:solidFill>
                <a:srgbClr val="004563"/>
              </a:solidFill>
              <a:prstDash val="sysDot"/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59917744"/>
        <c:crosses val="autoZero"/>
        <c:crossBetween val="between"/>
        <c:dispUnits>
          <c:builtInUnit val="thousands"/>
        </c:dispUnits>
      </c:valAx>
      <c:valAx>
        <c:axId val="259918528"/>
        <c:scaling>
          <c:orientation val="maxMin"/>
          <c:max val="105"/>
        </c:scaling>
        <c:delete val="0"/>
        <c:axPos val="r"/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59918920"/>
        <c:crosses val="max"/>
        <c:crossBetween val="between"/>
        <c:majorUnit val="15"/>
      </c:valAx>
      <c:catAx>
        <c:axId val="259918920"/>
        <c:scaling>
          <c:orientation val="minMax"/>
        </c:scaling>
        <c:delete val="1"/>
        <c:axPos val="t"/>
        <c:majorTickMark val="out"/>
        <c:minorTickMark val="none"/>
        <c:tickLblPos val="nextTo"/>
        <c:crossAx val="25991852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2761227484713775E-2"/>
          <c:y val="0.81067770393357508"/>
          <c:w val="0.93301716447601879"/>
          <c:h val="0.1893222960664249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>
        <a:lumMod val="8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solidFill>
            <a:srgbClr val="004563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3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7520764015396735E-2"/>
          <c:y val="0.17775684317079388"/>
          <c:w val="0.90427766318885094"/>
          <c:h val="0.68155400997916127"/>
        </c:manualLayout>
      </c:layout>
      <c:barChart>
        <c:barDir val="col"/>
        <c:grouping val="stacked"/>
        <c:varyColors val="0"/>
        <c:ser>
          <c:idx val="2"/>
          <c:order val="1"/>
          <c:tx>
            <c:strRef>
              <c:f>'Data 2'!$C$37</c:f>
              <c:strCache>
                <c:ptCount val="1"/>
                <c:pt idx="0">
                  <c:v>Carbón</c:v>
                </c:pt>
              </c:strCache>
            </c:strRef>
          </c:tx>
          <c:spPr>
            <a:solidFill>
              <a:srgbClr val="993300"/>
            </a:solidFill>
            <a:ln>
              <a:noFill/>
            </a:ln>
            <a:effectLst/>
          </c:spPr>
          <c:invertIfNegative val="0"/>
          <c:cat>
            <c:strRef>
              <c:f>'Data 2'!$D$35:$P$35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'Data 2'!$D$37:$P$37</c:f>
              <c:numCache>
                <c:formatCode>#,##0.0</c:formatCode>
                <c:ptCount val="13"/>
                <c:pt idx="0">
                  <c:v>19518.400000000001</c:v>
                </c:pt>
                <c:pt idx="1">
                  <c:v>27782.799999999999</c:v>
                </c:pt>
                <c:pt idx="2">
                  <c:v>26944.799999999999</c:v>
                </c:pt>
                <c:pt idx="3">
                  <c:v>49018.7</c:v>
                </c:pt>
                <c:pt idx="4">
                  <c:v>39223.4</c:v>
                </c:pt>
                <c:pt idx="5">
                  <c:v>28227.7</c:v>
                </c:pt>
                <c:pt idx="6">
                  <c:v>23185.3</c:v>
                </c:pt>
                <c:pt idx="7">
                  <c:v>23990.400000000001</c:v>
                </c:pt>
                <c:pt idx="8">
                  <c:v>36235.599999999999</c:v>
                </c:pt>
                <c:pt idx="9">
                  <c:v>35124.9</c:v>
                </c:pt>
                <c:pt idx="10">
                  <c:v>25784.6</c:v>
                </c:pt>
                <c:pt idx="11">
                  <c:v>35353.199999999997</c:v>
                </c:pt>
                <c:pt idx="12">
                  <c:v>38501.599999999999</c:v>
                </c:pt>
              </c:numCache>
            </c:numRef>
          </c:val>
        </c:ser>
        <c:ser>
          <c:idx val="3"/>
          <c:order val="2"/>
          <c:tx>
            <c:strRef>
              <c:f>'Data 2'!$C$38</c:f>
              <c:strCache>
                <c:ptCount val="1"/>
                <c:pt idx="0">
                  <c:v>Ciclo Combinado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'Data 2'!$D$35:$P$35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'Data 2'!$D$38:$P$38</c:f>
              <c:numCache>
                <c:formatCode>#,##0.0</c:formatCode>
                <c:ptCount val="13"/>
                <c:pt idx="0">
                  <c:v>30319.3</c:v>
                </c:pt>
                <c:pt idx="1">
                  <c:v>47861.9</c:v>
                </c:pt>
                <c:pt idx="2">
                  <c:v>48899.3</c:v>
                </c:pt>
                <c:pt idx="3">
                  <c:v>59814.3</c:v>
                </c:pt>
                <c:pt idx="4">
                  <c:v>100710.5</c:v>
                </c:pt>
                <c:pt idx="5">
                  <c:v>53992.1</c:v>
                </c:pt>
                <c:pt idx="6">
                  <c:v>53888.3</c:v>
                </c:pt>
                <c:pt idx="7">
                  <c:v>55429.2</c:v>
                </c:pt>
                <c:pt idx="8">
                  <c:v>75955.399999999994</c:v>
                </c:pt>
                <c:pt idx="9">
                  <c:v>83653.399999999994</c:v>
                </c:pt>
                <c:pt idx="10">
                  <c:v>57877.3</c:v>
                </c:pt>
                <c:pt idx="11">
                  <c:v>57056.1</c:v>
                </c:pt>
                <c:pt idx="12">
                  <c:v>51366.400000000001</c:v>
                </c:pt>
              </c:numCache>
            </c:numRef>
          </c:val>
        </c:ser>
        <c:ser>
          <c:idx val="4"/>
          <c:order val="3"/>
          <c:tx>
            <c:strRef>
              <c:f>'Data 2'!$C$39</c:f>
              <c:strCache>
                <c:ptCount val="1"/>
                <c:pt idx="0">
                  <c:v>Cogeneración</c:v>
                </c:pt>
              </c:strCache>
            </c:strRef>
          </c:tx>
          <c:spPr>
            <a:solidFill>
              <a:srgbClr val="CFA2CA"/>
            </a:solidFill>
            <a:ln>
              <a:noFill/>
            </a:ln>
            <a:effectLst/>
          </c:spPr>
          <c:invertIfNegative val="0"/>
          <c:cat>
            <c:strRef>
              <c:f>'Data 2'!$D$35:$P$35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'Data 2'!$D$39:$P$39</c:f>
              <c:numCache>
                <c:formatCode>#,##0.0</c:formatCode>
                <c:ptCount val="13"/>
                <c:pt idx="0">
                  <c:v>9.6</c:v>
                </c:pt>
                <c:pt idx="1">
                  <c:v>30.1</c:v>
                </c:pt>
                <c:pt idx="2">
                  <c:v>13.6</c:v>
                </c:pt>
                <c:pt idx="3">
                  <c:v>7.3</c:v>
                </c:pt>
                <c:pt idx="4">
                  <c:v>17.3</c:v>
                </c:pt>
                <c:pt idx="5">
                  <c:v>2.7</c:v>
                </c:pt>
                <c:pt idx="6">
                  <c:v>1.1000000000000001</c:v>
                </c:pt>
                <c:pt idx="7">
                  <c:v>0.8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10.8</c:v>
                </c:pt>
                <c:pt idx="12">
                  <c:v>3</c:v>
                </c:pt>
              </c:numCache>
            </c:numRef>
          </c:val>
        </c:ser>
        <c:ser>
          <c:idx val="5"/>
          <c:order val="4"/>
          <c:tx>
            <c:strRef>
              <c:f>'Data 2'!$C$40</c:f>
              <c:strCache>
                <c:ptCount val="1"/>
                <c:pt idx="0">
                  <c:v>Consumo Bombeo</c:v>
                </c:pt>
              </c:strCache>
            </c:strRef>
          </c:tx>
          <c:spPr>
            <a:solidFill>
              <a:srgbClr val="2C4D75"/>
            </a:solidFill>
            <a:ln>
              <a:noFill/>
            </a:ln>
            <a:effectLst/>
          </c:spPr>
          <c:invertIfNegative val="0"/>
          <c:cat>
            <c:strRef>
              <c:f>'Data 2'!$D$35:$P$35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'Data 2'!$D$40:$P$40</c:f>
              <c:numCache>
                <c:formatCode>#,##0.0</c:formatCode>
                <c:ptCount val="13"/>
                <c:pt idx="0">
                  <c:v>4595.7</c:v>
                </c:pt>
                <c:pt idx="1">
                  <c:v>3279.6</c:v>
                </c:pt>
                <c:pt idx="2">
                  <c:v>6553.1</c:v>
                </c:pt>
                <c:pt idx="3">
                  <c:v>7845.9</c:v>
                </c:pt>
                <c:pt idx="4">
                  <c:v>3498.8</c:v>
                </c:pt>
                <c:pt idx="5">
                  <c:v>1736.9</c:v>
                </c:pt>
                <c:pt idx="6">
                  <c:v>1823.4</c:v>
                </c:pt>
                <c:pt idx="7">
                  <c:v>1551.4</c:v>
                </c:pt>
                <c:pt idx="8">
                  <c:v>4285.8999999999996</c:v>
                </c:pt>
                <c:pt idx="9">
                  <c:v>7774.4</c:v>
                </c:pt>
                <c:pt idx="10">
                  <c:v>14602.9</c:v>
                </c:pt>
                <c:pt idx="11">
                  <c:v>4781.6000000000004</c:v>
                </c:pt>
                <c:pt idx="12">
                  <c:v>876.5</c:v>
                </c:pt>
              </c:numCache>
            </c:numRef>
          </c:val>
        </c:ser>
        <c:ser>
          <c:idx val="7"/>
          <c:order val="6"/>
          <c:tx>
            <c:strRef>
              <c:f>'Data 2'!$C$42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70AD47"/>
            </a:solidFill>
            <a:ln>
              <a:noFill/>
            </a:ln>
            <a:effectLst/>
          </c:spPr>
          <c:invertIfNegative val="0"/>
          <c:cat>
            <c:strRef>
              <c:f>'Data 2'!$D$35:$P$35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'Data 2'!$D$42:$P$42</c:f>
              <c:numCache>
                <c:formatCode>#,##0.0</c:formatCode>
                <c:ptCount val="13"/>
                <c:pt idx="0">
                  <c:v>2486.3000000000002</c:v>
                </c:pt>
                <c:pt idx="1">
                  <c:v>3494.1</c:v>
                </c:pt>
                <c:pt idx="2">
                  <c:v>2541.5</c:v>
                </c:pt>
                <c:pt idx="3">
                  <c:v>7018.8</c:v>
                </c:pt>
                <c:pt idx="4">
                  <c:v>11518.7</c:v>
                </c:pt>
                <c:pt idx="5">
                  <c:v>5554.8</c:v>
                </c:pt>
                <c:pt idx="6">
                  <c:v>5883.3</c:v>
                </c:pt>
                <c:pt idx="7">
                  <c:v>5247.3</c:v>
                </c:pt>
                <c:pt idx="8">
                  <c:v>7050.1</c:v>
                </c:pt>
                <c:pt idx="9">
                  <c:v>7943.5</c:v>
                </c:pt>
                <c:pt idx="10">
                  <c:v>8236.4</c:v>
                </c:pt>
                <c:pt idx="11">
                  <c:v>5669.6</c:v>
                </c:pt>
                <c:pt idx="12">
                  <c:v>6719.4</c:v>
                </c:pt>
              </c:numCache>
            </c:numRef>
          </c:val>
        </c:ser>
        <c:ser>
          <c:idx val="8"/>
          <c:order val="7"/>
          <c:tx>
            <c:strRef>
              <c:f>'Data 2'!$C$43</c:f>
              <c:strCache>
                <c:ptCount val="1"/>
                <c:pt idx="0">
                  <c:v>Fuel-Gas</c:v>
                </c:pt>
              </c:strCache>
            </c:strRef>
          </c:tx>
          <c:spPr>
            <a:solidFill>
              <a:srgbClr val="BA0F16"/>
            </a:solidFill>
            <a:ln>
              <a:noFill/>
            </a:ln>
            <a:effectLst/>
          </c:spPr>
          <c:invertIfNegative val="0"/>
          <c:cat>
            <c:strRef>
              <c:f>'Data 2'!$D$35:$P$35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'Data 2'!$D$43:$P$43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ser>
          <c:idx val="9"/>
          <c:order val="8"/>
          <c:tx>
            <c:strRef>
              <c:f>'Data 2'!$C$44</c:f>
              <c:strCache>
                <c:ptCount val="1"/>
                <c:pt idx="0">
                  <c:v>Hidráulica</c:v>
                </c:pt>
              </c:strCache>
            </c:strRef>
          </c:tx>
          <c:spPr>
            <a:solidFill>
              <a:srgbClr val="0090D1"/>
            </a:solidFill>
            <a:ln>
              <a:noFill/>
            </a:ln>
            <a:effectLst/>
          </c:spPr>
          <c:invertIfNegative val="0"/>
          <c:cat>
            <c:strRef>
              <c:f>'Data 2'!$D$35:$P$35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'Data 2'!$D$44:$P$44</c:f>
              <c:numCache>
                <c:formatCode>#,##0.0</c:formatCode>
                <c:ptCount val="13"/>
                <c:pt idx="0">
                  <c:v>21689.9</c:v>
                </c:pt>
                <c:pt idx="1">
                  <c:v>75296.7</c:v>
                </c:pt>
                <c:pt idx="2">
                  <c:v>45882.6</c:v>
                </c:pt>
                <c:pt idx="3">
                  <c:v>58284.6</c:v>
                </c:pt>
                <c:pt idx="4">
                  <c:v>88256.3</c:v>
                </c:pt>
                <c:pt idx="5">
                  <c:v>34688.699999999997</c:v>
                </c:pt>
                <c:pt idx="6">
                  <c:v>29023.599999999999</c:v>
                </c:pt>
                <c:pt idx="7">
                  <c:v>29358.5</c:v>
                </c:pt>
                <c:pt idx="8">
                  <c:v>42190.9</c:v>
                </c:pt>
                <c:pt idx="9">
                  <c:v>66112.3</c:v>
                </c:pt>
                <c:pt idx="10">
                  <c:v>50297.7</c:v>
                </c:pt>
                <c:pt idx="11">
                  <c:v>55012.6</c:v>
                </c:pt>
                <c:pt idx="12">
                  <c:v>74091.8</c:v>
                </c:pt>
              </c:numCache>
            </c:numRef>
          </c:val>
        </c:ser>
        <c:ser>
          <c:idx val="11"/>
          <c:order val="10"/>
          <c:tx>
            <c:strRef>
              <c:f>'Data 2'!$C$46</c:f>
              <c:strCache>
                <c:ptCount val="1"/>
                <c:pt idx="0">
                  <c:v>Nuclear</c:v>
                </c:pt>
              </c:strCache>
            </c:strRef>
          </c:tx>
          <c:spPr>
            <a:solidFill>
              <a:srgbClr val="464394"/>
            </a:solidFill>
            <a:ln>
              <a:noFill/>
            </a:ln>
            <a:effectLst/>
          </c:spPr>
          <c:invertIfNegative val="0"/>
          <c:cat>
            <c:strRef>
              <c:f>'Data 2'!$D$35:$P$35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'Data 2'!$D$46:$P$46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122</c:v>
                </c:pt>
                <c:pt idx="3">
                  <c:v>169.5</c:v>
                </c:pt>
                <c:pt idx="4">
                  <c:v>69.8</c:v>
                </c:pt>
                <c:pt idx="5">
                  <c:v>310</c:v>
                </c:pt>
                <c:pt idx="6">
                  <c:v>148</c:v>
                </c:pt>
                <c:pt idx="7">
                  <c:v>3.1</c:v>
                </c:pt>
                <c:pt idx="8">
                  <c:v>700</c:v>
                </c:pt>
                <c:pt idx="9">
                  <c:v>0</c:v>
                </c:pt>
                <c:pt idx="10">
                  <c:v>1085.4000000000001</c:v>
                </c:pt>
                <c:pt idx="11">
                  <c:v>282.3</c:v>
                </c:pt>
                <c:pt idx="12">
                  <c:v>129.69999999999999</c:v>
                </c:pt>
              </c:numCache>
            </c:numRef>
          </c:val>
        </c:ser>
        <c:ser>
          <c:idx val="16"/>
          <c:order val="15"/>
          <c:tx>
            <c:strRef>
              <c:f>'Data 2'!$C$51</c:f>
              <c:strCache>
                <c:ptCount val="1"/>
                <c:pt idx="0">
                  <c:v>Turbinación bombeo</c:v>
                </c:pt>
              </c:strCache>
            </c:strRef>
          </c:tx>
          <c:spPr>
            <a:solidFill>
              <a:srgbClr val="95B3D7"/>
            </a:solidFill>
            <a:ln>
              <a:noFill/>
            </a:ln>
            <a:effectLst/>
          </c:spPr>
          <c:invertIfNegative val="0"/>
          <c:cat>
            <c:strRef>
              <c:f>'Data 2'!$D$35:$P$35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'Data 2'!$D$51:$P$51</c:f>
              <c:numCache>
                <c:formatCode>#,##0.0</c:formatCode>
                <c:ptCount val="13"/>
                <c:pt idx="0">
                  <c:v>32220.5</c:v>
                </c:pt>
                <c:pt idx="1">
                  <c:v>32248</c:v>
                </c:pt>
                <c:pt idx="2">
                  <c:v>24942.1</c:v>
                </c:pt>
                <c:pt idx="3">
                  <c:v>36979</c:v>
                </c:pt>
                <c:pt idx="4">
                  <c:v>27501.3</c:v>
                </c:pt>
                <c:pt idx="5">
                  <c:v>32397.1</c:v>
                </c:pt>
                <c:pt idx="6">
                  <c:v>29140</c:v>
                </c:pt>
                <c:pt idx="7">
                  <c:v>44532.5</c:v>
                </c:pt>
                <c:pt idx="8">
                  <c:v>30549.8</c:v>
                </c:pt>
                <c:pt idx="9">
                  <c:v>41077.1</c:v>
                </c:pt>
                <c:pt idx="10">
                  <c:v>54906.6</c:v>
                </c:pt>
                <c:pt idx="11">
                  <c:v>28937.8</c:v>
                </c:pt>
                <c:pt idx="12">
                  <c:v>42931.7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60058088"/>
        <c:axId val="260058480"/>
        <c:extLst>
          <c:ext xmlns:c15="http://schemas.microsoft.com/office/drawing/2012/chart" uri="{02D57815-91ED-43cb-92C2-25804820EDAC}">
            <c15:filteredBar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'Data 2'!$C$36</c15:sqref>
                        </c15:formulaRef>
                      </c:ext>
                    </c:extLst>
                    <c:strCache>
                      <c:ptCount val="1"/>
                      <c:pt idx="0">
                        <c:v>Adquisición de Energía</c:v>
                      </c:pt>
                    </c:strCache>
                  </c:strRef>
                </c:tx>
                <c:spPr>
                  <a:solidFill>
                    <a:srgbClr val="0070C0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'Data 2'!$D$35:$P$35</c15:sqref>
                        </c15:formulaRef>
                      </c:ext>
                    </c:extLst>
                    <c:strCache>
                      <c:ptCount val="13"/>
                      <c:pt idx="0">
                        <c:v>F</c:v>
                      </c:pt>
                      <c:pt idx="1">
                        <c:v>M</c:v>
                      </c:pt>
                      <c:pt idx="2">
                        <c:v>A</c:v>
                      </c:pt>
                      <c:pt idx="3">
                        <c:v>M</c:v>
                      </c:pt>
                      <c:pt idx="4">
                        <c:v>J</c:v>
                      </c:pt>
                      <c:pt idx="5">
                        <c:v>J</c:v>
                      </c:pt>
                      <c:pt idx="6">
                        <c:v>A</c:v>
                      </c:pt>
                      <c:pt idx="7">
                        <c:v>S</c:v>
                      </c:pt>
                      <c:pt idx="8">
                        <c:v>O</c:v>
                      </c:pt>
                      <c:pt idx="9">
                        <c:v>N</c:v>
                      </c:pt>
                      <c:pt idx="10">
                        <c:v>D</c:v>
                      </c:pt>
                      <c:pt idx="11">
                        <c:v>E</c:v>
                      </c:pt>
                      <c:pt idx="12">
                        <c:v>F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'Data 2'!$D$36:$P$36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</c15:ser>
            </c15:filteredBarSeries>
            <c15:filteredBarSeries>
              <c15:ser>
                <c:idx val="6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'Data 2'!$C$41</c15:sqref>
                        </c15:formulaRef>
                      </c:ext>
                    </c:extLst>
                    <c:strCache>
                      <c:ptCount val="1"/>
                      <c:pt idx="0">
                        <c:v>Enlace Península Baleares</c:v>
                      </c:pt>
                    </c:strCache>
                  </c:strRef>
                </c:tx>
                <c:spPr>
                  <a:solidFill>
                    <a:srgbClr val="FF99CC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'Data 2'!$D$35:$P$35</c15:sqref>
                        </c15:formulaRef>
                      </c:ext>
                    </c:extLst>
                    <c:strCache>
                      <c:ptCount val="13"/>
                      <c:pt idx="0">
                        <c:v>F</c:v>
                      </c:pt>
                      <c:pt idx="1">
                        <c:v>M</c:v>
                      </c:pt>
                      <c:pt idx="2">
                        <c:v>A</c:v>
                      </c:pt>
                      <c:pt idx="3">
                        <c:v>M</c:v>
                      </c:pt>
                      <c:pt idx="4">
                        <c:v>J</c:v>
                      </c:pt>
                      <c:pt idx="5">
                        <c:v>J</c:v>
                      </c:pt>
                      <c:pt idx="6">
                        <c:v>A</c:v>
                      </c:pt>
                      <c:pt idx="7">
                        <c:v>S</c:v>
                      </c:pt>
                      <c:pt idx="8">
                        <c:v>O</c:v>
                      </c:pt>
                      <c:pt idx="9">
                        <c:v>N</c:v>
                      </c:pt>
                      <c:pt idx="10">
                        <c:v>D</c:v>
                      </c:pt>
                      <c:pt idx="11">
                        <c:v>E</c:v>
                      </c:pt>
                      <c:pt idx="12">
                        <c:v>F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'Data 2'!$D$41:$P$41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</c15:ser>
            </c15:filteredBarSeries>
            <c15:filteredBarSeries>
              <c15:ser>
                <c:idx val="10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'Data 2'!$C$45</c15:sqref>
                        </c15:formulaRef>
                      </c:ext>
                    </c:extLst>
                    <c:strCache>
                      <c:ptCount val="1"/>
                      <c:pt idx="0">
                        <c:v>Internacionales</c:v>
                      </c:pt>
                    </c:strCache>
                  </c:strRef>
                </c:tx>
                <c:spPr>
                  <a:solidFill>
                    <a:srgbClr val="99FFCC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'Data 2'!$D$35:$P$35</c15:sqref>
                        </c15:formulaRef>
                      </c:ext>
                    </c:extLst>
                    <c:strCache>
                      <c:ptCount val="13"/>
                      <c:pt idx="0">
                        <c:v>F</c:v>
                      </c:pt>
                      <c:pt idx="1">
                        <c:v>M</c:v>
                      </c:pt>
                      <c:pt idx="2">
                        <c:v>A</c:v>
                      </c:pt>
                      <c:pt idx="3">
                        <c:v>M</c:v>
                      </c:pt>
                      <c:pt idx="4">
                        <c:v>J</c:v>
                      </c:pt>
                      <c:pt idx="5">
                        <c:v>J</c:v>
                      </c:pt>
                      <c:pt idx="6">
                        <c:v>A</c:v>
                      </c:pt>
                      <c:pt idx="7">
                        <c:v>S</c:v>
                      </c:pt>
                      <c:pt idx="8">
                        <c:v>O</c:v>
                      </c:pt>
                      <c:pt idx="9">
                        <c:v>N</c:v>
                      </c:pt>
                      <c:pt idx="10">
                        <c:v>D</c:v>
                      </c:pt>
                      <c:pt idx="11">
                        <c:v>E</c:v>
                      </c:pt>
                      <c:pt idx="12">
                        <c:v>F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'Data 2'!$D$45:$P$45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</c15:ser>
            </c15:filteredBarSeries>
            <c15:filteredBarSeries>
              <c15:ser>
                <c:idx val="12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'Data 2'!$C$47</c15:sqref>
                        </c15:formulaRef>
                      </c:ext>
                    </c:extLst>
                    <c:strCache>
                      <c:ptCount val="1"/>
                      <c:pt idx="0">
                        <c:v>Otras Renovables</c:v>
                      </c:pt>
                    </c:strCache>
                  </c:strRef>
                </c:tx>
                <c:spPr>
                  <a:solidFill>
                    <a:srgbClr val="9999FF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'Data 2'!$D$35:$P$35</c15:sqref>
                        </c15:formulaRef>
                      </c:ext>
                    </c:extLst>
                    <c:strCache>
                      <c:ptCount val="13"/>
                      <c:pt idx="0">
                        <c:v>F</c:v>
                      </c:pt>
                      <c:pt idx="1">
                        <c:v>M</c:v>
                      </c:pt>
                      <c:pt idx="2">
                        <c:v>A</c:v>
                      </c:pt>
                      <c:pt idx="3">
                        <c:v>M</c:v>
                      </c:pt>
                      <c:pt idx="4">
                        <c:v>J</c:v>
                      </c:pt>
                      <c:pt idx="5">
                        <c:v>J</c:v>
                      </c:pt>
                      <c:pt idx="6">
                        <c:v>A</c:v>
                      </c:pt>
                      <c:pt idx="7">
                        <c:v>S</c:v>
                      </c:pt>
                      <c:pt idx="8">
                        <c:v>O</c:v>
                      </c:pt>
                      <c:pt idx="9">
                        <c:v>N</c:v>
                      </c:pt>
                      <c:pt idx="10">
                        <c:v>D</c:v>
                      </c:pt>
                      <c:pt idx="11">
                        <c:v>E</c:v>
                      </c:pt>
                      <c:pt idx="12">
                        <c:v>F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'Data 2'!$D$47:$P$47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131.30000000000001</c:v>
                      </c:pt>
                      <c:pt idx="9">
                        <c:v>299.10000000000002</c:v>
                      </c:pt>
                      <c:pt idx="10">
                        <c:v>57.5</c:v>
                      </c:pt>
                      <c:pt idx="11">
                        <c:v>69.8</c:v>
                      </c:pt>
                      <c:pt idx="12">
                        <c:v>8.1</c:v>
                      </c:pt>
                    </c:numCache>
                  </c:numRef>
                </c:val>
              </c15:ser>
            </c15:filteredBarSeries>
            <c15:filteredBarSeries>
              <c15:ser>
                <c:idx val="13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'Data 2'!$C$48</c15:sqref>
                        </c15:formulaRef>
                      </c:ext>
                    </c:extLst>
                    <c:strCache>
                      <c:ptCount val="1"/>
                      <c:pt idx="0">
                        <c:v>Residuos no Renovables</c:v>
                      </c:pt>
                    </c:strCache>
                  </c:strRef>
                </c:tx>
                <c:spPr>
                  <a:solidFill>
                    <a:schemeClr val="tx1">
                      <a:lumMod val="65000"/>
                      <a:lumOff val="35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'Data 2'!$D$35:$P$35</c15:sqref>
                        </c15:formulaRef>
                      </c:ext>
                    </c:extLst>
                    <c:strCache>
                      <c:ptCount val="13"/>
                      <c:pt idx="0">
                        <c:v>F</c:v>
                      </c:pt>
                      <c:pt idx="1">
                        <c:v>M</c:v>
                      </c:pt>
                      <c:pt idx="2">
                        <c:v>A</c:v>
                      </c:pt>
                      <c:pt idx="3">
                        <c:v>M</c:v>
                      </c:pt>
                      <c:pt idx="4">
                        <c:v>J</c:v>
                      </c:pt>
                      <c:pt idx="5">
                        <c:v>J</c:v>
                      </c:pt>
                      <c:pt idx="6">
                        <c:v>A</c:v>
                      </c:pt>
                      <c:pt idx="7">
                        <c:v>S</c:v>
                      </c:pt>
                      <c:pt idx="8">
                        <c:v>O</c:v>
                      </c:pt>
                      <c:pt idx="9">
                        <c:v>N</c:v>
                      </c:pt>
                      <c:pt idx="10">
                        <c:v>D</c:v>
                      </c:pt>
                      <c:pt idx="11">
                        <c:v>E</c:v>
                      </c:pt>
                      <c:pt idx="12">
                        <c:v>F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'Data 2'!$D$48:$P$48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</c15:ser>
            </c15:filteredBarSeries>
            <c15:filteredBarSeries>
              <c15:ser>
                <c:idx val="14"/>
                <c:order val="1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'Data 2'!$C$49</c15:sqref>
                        </c15:formulaRef>
                      </c:ext>
                    </c:extLst>
                    <c:strCache>
                      <c:ptCount val="1"/>
                      <c:pt idx="0">
                        <c:v>Solar fotovoltaica</c:v>
                      </c:pt>
                    </c:strCache>
                  </c:strRef>
                </c:tx>
                <c:spPr>
                  <a:solidFill>
                    <a:srgbClr val="EE6112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'Data 2'!$D$35:$P$35</c15:sqref>
                        </c15:formulaRef>
                      </c:ext>
                    </c:extLst>
                    <c:strCache>
                      <c:ptCount val="13"/>
                      <c:pt idx="0">
                        <c:v>F</c:v>
                      </c:pt>
                      <c:pt idx="1">
                        <c:v>M</c:v>
                      </c:pt>
                      <c:pt idx="2">
                        <c:v>A</c:v>
                      </c:pt>
                      <c:pt idx="3">
                        <c:v>M</c:v>
                      </c:pt>
                      <c:pt idx="4">
                        <c:v>J</c:v>
                      </c:pt>
                      <c:pt idx="5">
                        <c:v>J</c:v>
                      </c:pt>
                      <c:pt idx="6">
                        <c:v>A</c:v>
                      </c:pt>
                      <c:pt idx="7">
                        <c:v>S</c:v>
                      </c:pt>
                      <c:pt idx="8">
                        <c:v>O</c:v>
                      </c:pt>
                      <c:pt idx="9">
                        <c:v>N</c:v>
                      </c:pt>
                      <c:pt idx="10">
                        <c:v>D</c:v>
                      </c:pt>
                      <c:pt idx="11">
                        <c:v>E</c:v>
                      </c:pt>
                      <c:pt idx="12">
                        <c:v>F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'Data 2'!$D$49:$P$49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</c15:ser>
            </c15:filteredBarSeries>
            <c15:filteredBarSeries>
              <c15:ser>
                <c:idx val="15"/>
                <c:order val="1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'Data 2'!$C$50</c15:sqref>
                        </c15:formulaRef>
                      </c:ext>
                    </c:extLst>
                    <c:strCache>
                      <c:ptCount val="1"/>
                      <c:pt idx="0">
                        <c:v>Solar térmica</c:v>
                      </c:pt>
                    </c:strCache>
                  </c:strRef>
                </c:tx>
                <c:spPr>
                  <a:solidFill>
                    <a:srgbClr val="FF0000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'Data 2'!$D$35:$P$35</c15:sqref>
                        </c15:formulaRef>
                      </c:ext>
                    </c:extLst>
                    <c:strCache>
                      <c:ptCount val="13"/>
                      <c:pt idx="0">
                        <c:v>F</c:v>
                      </c:pt>
                      <c:pt idx="1">
                        <c:v>M</c:v>
                      </c:pt>
                      <c:pt idx="2">
                        <c:v>A</c:v>
                      </c:pt>
                      <c:pt idx="3">
                        <c:v>M</c:v>
                      </c:pt>
                      <c:pt idx="4">
                        <c:v>J</c:v>
                      </c:pt>
                      <c:pt idx="5">
                        <c:v>J</c:v>
                      </c:pt>
                      <c:pt idx="6">
                        <c:v>A</c:v>
                      </c:pt>
                      <c:pt idx="7">
                        <c:v>S</c:v>
                      </c:pt>
                      <c:pt idx="8">
                        <c:v>O</c:v>
                      </c:pt>
                      <c:pt idx="9">
                        <c:v>N</c:v>
                      </c:pt>
                      <c:pt idx="10">
                        <c:v>D</c:v>
                      </c:pt>
                      <c:pt idx="11">
                        <c:v>E</c:v>
                      </c:pt>
                      <c:pt idx="12">
                        <c:v>F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'Data 2'!$D$50:$P$50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</c15:ser>
            </c15:filteredBarSeries>
          </c:ext>
        </c:extLst>
      </c:barChart>
      <c:lineChart>
        <c:grouping val="standard"/>
        <c:varyColors val="0"/>
        <c:ser>
          <c:idx val="0"/>
          <c:order val="16"/>
          <c:tx>
            <c:v>Precio medio subir</c:v>
          </c:tx>
          <c:spPr>
            <a:ln w="28575" cap="rnd">
              <a:solidFill>
                <a:srgbClr val="004563"/>
              </a:solidFill>
              <a:round/>
            </a:ln>
            <a:effectLst/>
          </c:spPr>
          <c:marker>
            <c:symbol val="none"/>
          </c:marker>
          <c:cat>
            <c:strRef>
              <c:f>'Data 2'!$D$35:$P$35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'Data 2'!$D$70:$P$70</c:f>
              <c:numCache>
                <c:formatCode>#,##0.0</c:formatCode>
                <c:ptCount val="13"/>
                <c:pt idx="0">
                  <c:v>68.272500196199999</c:v>
                </c:pt>
                <c:pt idx="1">
                  <c:v>53.459637766</c:v>
                </c:pt>
                <c:pt idx="2">
                  <c:v>51.962276409700003</c:v>
                </c:pt>
                <c:pt idx="3">
                  <c:v>54.692289017699999</c:v>
                </c:pt>
                <c:pt idx="4">
                  <c:v>58.053899003700003</c:v>
                </c:pt>
                <c:pt idx="5">
                  <c:v>57.819714231100001</c:v>
                </c:pt>
                <c:pt idx="6">
                  <c:v>55.585096335899998</c:v>
                </c:pt>
                <c:pt idx="7">
                  <c:v>56.231510706199998</c:v>
                </c:pt>
                <c:pt idx="8">
                  <c:v>64.784309668600002</c:v>
                </c:pt>
                <c:pt idx="9">
                  <c:v>70.107599447400005</c:v>
                </c:pt>
                <c:pt idx="10">
                  <c:v>78.756404746300007</c:v>
                </c:pt>
                <c:pt idx="11">
                  <c:v>62.437006568199998</c:v>
                </c:pt>
                <c:pt idx="12">
                  <c:v>65.942944356799998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0059264"/>
        <c:axId val="260058872"/>
      </c:lineChart>
      <c:catAx>
        <c:axId val="2600580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004563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60058480"/>
        <c:crosses val="autoZero"/>
        <c:auto val="1"/>
        <c:lblAlgn val="ctr"/>
        <c:lblOffset val="100"/>
        <c:noMultiLvlLbl val="0"/>
      </c:catAx>
      <c:valAx>
        <c:axId val="260058480"/>
        <c:scaling>
          <c:orientation val="minMax"/>
          <c:max val="350000"/>
        </c:scaling>
        <c:delete val="0"/>
        <c:axPos val="l"/>
        <c:majorGridlines>
          <c:spPr>
            <a:ln w="3175" cap="flat" cmpd="sng" algn="ctr">
              <a:solidFill>
                <a:srgbClr val="004563"/>
              </a:solidFill>
              <a:prstDash val="sysDot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lang="en-US" sz="800" b="0" i="0" u="none" strike="noStrike" kern="1200" baseline="0">
                    <a:solidFill>
                      <a:srgbClr val="004563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/>
                  <a:t>GWh</a:t>
                </a:r>
              </a:p>
            </c:rich>
          </c:tx>
          <c:layout>
            <c:manualLayout>
              <c:xMode val="edge"/>
              <c:yMode val="edge"/>
              <c:x val="1.1883128948346337E-2"/>
              <c:y val="1.0461323039660915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lang="en-US" sz="800" b="0" i="0" u="none" strike="noStrike" kern="1200" baseline="0">
                  <a:solidFill>
                    <a:srgbClr val="004563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60058088"/>
        <c:crosses val="autoZero"/>
        <c:crossBetween val="between"/>
        <c:dispUnits>
          <c:builtInUnit val="thousands"/>
        </c:dispUnits>
      </c:valAx>
      <c:valAx>
        <c:axId val="260058872"/>
        <c:scaling>
          <c:orientation val="minMax"/>
          <c:max val="105"/>
        </c:scaling>
        <c:delete val="0"/>
        <c:axPos val="r"/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60059264"/>
        <c:crosses val="max"/>
        <c:crossBetween val="between"/>
        <c:majorUnit val="15"/>
      </c:valAx>
      <c:catAx>
        <c:axId val="2600592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600588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8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 algn="ctr" rtl="0">
        <a:defRPr lang="en-US" sz="800" b="0" i="0" u="none" strike="noStrike" kern="1200" baseline="0">
          <a:solidFill>
            <a:srgbClr val="004563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3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7807465489407968E-2"/>
          <c:y val="9.4486306741537782E-2"/>
          <c:w val="0.89961354726056719"/>
          <c:h val="0.6793999158727672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'Data 2'!$C$93</c:f>
              <c:strCache>
                <c:ptCount val="1"/>
                <c:pt idx="0">
                  <c:v>Carbón</c:v>
                </c:pt>
              </c:strCache>
            </c:strRef>
          </c:tx>
          <c:spPr>
            <a:solidFill>
              <a:srgbClr val="993300"/>
            </a:solidFill>
            <a:ln>
              <a:noFill/>
            </a:ln>
            <a:effectLst/>
          </c:spPr>
          <c:invertIfNegative val="0"/>
          <c:val>
            <c:numRef>
              <c:f>'Data 2'!$D$93:$P$93</c:f>
              <c:numCache>
                <c:formatCode>#,##0.0</c:formatCode>
                <c:ptCount val="13"/>
                <c:pt idx="0">
                  <c:v>50376</c:v>
                </c:pt>
                <c:pt idx="1">
                  <c:v>46429</c:v>
                </c:pt>
                <c:pt idx="2">
                  <c:v>17956.2</c:v>
                </c:pt>
                <c:pt idx="3">
                  <c:v>6283.8</c:v>
                </c:pt>
                <c:pt idx="4">
                  <c:v>10864.5</c:v>
                </c:pt>
                <c:pt idx="5">
                  <c:v>27924.7</c:v>
                </c:pt>
                <c:pt idx="6">
                  <c:v>43819.1</c:v>
                </c:pt>
                <c:pt idx="7">
                  <c:v>23995.8</c:v>
                </c:pt>
                <c:pt idx="8">
                  <c:v>6238.1</c:v>
                </c:pt>
                <c:pt idx="9">
                  <c:v>4345.3999999999996</c:v>
                </c:pt>
                <c:pt idx="10">
                  <c:v>11031.5</c:v>
                </c:pt>
                <c:pt idx="11">
                  <c:v>24843.5</c:v>
                </c:pt>
                <c:pt idx="12">
                  <c:v>9788.2999999999993</c:v>
                </c:pt>
              </c:numCache>
            </c:numRef>
          </c:val>
        </c:ser>
        <c:ser>
          <c:idx val="1"/>
          <c:order val="1"/>
          <c:tx>
            <c:strRef>
              <c:f>'Data 2'!$C$94</c:f>
              <c:strCache>
                <c:ptCount val="1"/>
                <c:pt idx="0">
                  <c:v>Ciclo Combinado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val>
            <c:numRef>
              <c:f>'Data 2'!$D$94:$P$94</c:f>
              <c:numCache>
                <c:formatCode>#,##0.0</c:formatCode>
                <c:ptCount val="13"/>
                <c:pt idx="0">
                  <c:v>18600.8</c:v>
                </c:pt>
                <c:pt idx="1">
                  <c:v>22875.8</c:v>
                </c:pt>
                <c:pt idx="2">
                  <c:v>12815.5</c:v>
                </c:pt>
                <c:pt idx="3">
                  <c:v>4145.3</c:v>
                </c:pt>
                <c:pt idx="4">
                  <c:v>7378.2</c:v>
                </c:pt>
                <c:pt idx="5">
                  <c:v>18737.8</c:v>
                </c:pt>
                <c:pt idx="6">
                  <c:v>26947.4</c:v>
                </c:pt>
                <c:pt idx="7">
                  <c:v>23603.4</c:v>
                </c:pt>
                <c:pt idx="8">
                  <c:v>6107.2</c:v>
                </c:pt>
                <c:pt idx="9">
                  <c:v>8205.2999999999993</c:v>
                </c:pt>
                <c:pt idx="10">
                  <c:v>9660.7000000000007</c:v>
                </c:pt>
                <c:pt idx="11">
                  <c:v>12025</c:v>
                </c:pt>
                <c:pt idx="12">
                  <c:v>2896.9</c:v>
                </c:pt>
              </c:numCache>
            </c:numRef>
          </c:val>
        </c:ser>
        <c:ser>
          <c:idx val="2"/>
          <c:order val="2"/>
          <c:tx>
            <c:strRef>
              <c:f>'Data 2'!$C$95</c:f>
              <c:strCache>
                <c:ptCount val="1"/>
                <c:pt idx="0">
                  <c:v>Cogeneración</c:v>
                </c:pt>
              </c:strCache>
            </c:strRef>
          </c:tx>
          <c:spPr>
            <a:solidFill>
              <a:srgbClr val="CFA2CA"/>
            </a:solidFill>
            <a:ln>
              <a:noFill/>
            </a:ln>
            <a:effectLst/>
          </c:spPr>
          <c:invertIfNegative val="0"/>
          <c:val>
            <c:numRef>
              <c:f>'Data 2'!$D$95:$P$95</c:f>
              <c:numCache>
                <c:formatCode>#,##0.0</c:formatCode>
                <c:ptCount val="13"/>
                <c:pt idx="0">
                  <c:v>92.8</c:v>
                </c:pt>
                <c:pt idx="1">
                  <c:v>230</c:v>
                </c:pt>
                <c:pt idx="2">
                  <c:v>103.4</c:v>
                </c:pt>
                <c:pt idx="3">
                  <c:v>18.899999999999999</c:v>
                </c:pt>
                <c:pt idx="4">
                  <c:v>88.1</c:v>
                </c:pt>
                <c:pt idx="5">
                  <c:v>26.5</c:v>
                </c:pt>
                <c:pt idx="6">
                  <c:v>131.4</c:v>
                </c:pt>
                <c:pt idx="7">
                  <c:v>120.4</c:v>
                </c:pt>
                <c:pt idx="8">
                  <c:v>11.4</c:v>
                </c:pt>
                <c:pt idx="9">
                  <c:v>0</c:v>
                </c:pt>
                <c:pt idx="10">
                  <c:v>0</c:v>
                </c:pt>
                <c:pt idx="11">
                  <c:v>139.19999999999999</c:v>
                </c:pt>
                <c:pt idx="12">
                  <c:v>13</c:v>
                </c:pt>
              </c:numCache>
            </c:numRef>
          </c:val>
        </c:ser>
        <c:ser>
          <c:idx val="3"/>
          <c:order val="3"/>
          <c:tx>
            <c:strRef>
              <c:f>'Data 2'!$C$96</c:f>
              <c:strCache>
                <c:ptCount val="1"/>
                <c:pt idx="0">
                  <c:v>Consumo Bombeo</c:v>
                </c:pt>
              </c:strCache>
            </c:strRef>
          </c:tx>
          <c:spPr>
            <a:solidFill>
              <a:srgbClr val="2C4D75"/>
            </a:solidFill>
            <a:ln>
              <a:noFill/>
            </a:ln>
            <a:effectLst/>
          </c:spPr>
          <c:invertIfNegative val="0"/>
          <c:val>
            <c:numRef>
              <c:f>'Data 2'!$D$96:$P$96</c:f>
              <c:numCache>
                <c:formatCode>#,##0.0</c:formatCode>
                <c:ptCount val="13"/>
                <c:pt idx="0">
                  <c:v>18257.2</c:v>
                </c:pt>
                <c:pt idx="1">
                  <c:v>26858.5</c:v>
                </c:pt>
                <c:pt idx="2">
                  <c:v>12162.2</c:v>
                </c:pt>
                <c:pt idx="3">
                  <c:v>7977.8</c:v>
                </c:pt>
                <c:pt idx="4">
                  <c:v>16621.400000000001</c:v>
                </c:pt>
                <c:pt idx="5">
                  <c:v>21039.7</c:v>
                </c:pt>
                <c:pt idx="6">
                  <c:v>18038.2</c:v>
                </c:pt>
                <c:pt idx="7">
                  <c:v>18312.900000000001</c:v>
                </c:pt>
                <c:pt idx="8">
                  <c:v>8233.1</c:v>
                </c:pt>
                <c:pt idx="9">
                  <c:v>6736.7</c:v>
                </c:pt>
                <c:pt idx="10">
                  <c:v>16502.5</c:v>
                </c:pt>
                <c:pt idx="11">
                  <c:v>12696.1</c:v>
                </c:pt>
                <c:pt idx="12">
                  <c:v>5978.6</c:v>
                </c:pt>
              </c:numCache>
            </c:numRef>
          </c:val>
        </c:ser>
        <c:ser>
          <c:idx val="4"/>
          <c:order val="4"/>
          <c:tx>
            <c:strRef>
              <c:f>'Data 2'!$C$97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70AD47"/>
            </a:solidFill>
            <a:ln>
              <a:noFill/>
            </a:ln>
            <a:effectLst/>
          </c:spPr>
          <c:invertIfNegative val="0"/>
          <c:val>
            <c:numRef>
              <c:f>'Data 2'!$D$97:$P$97</c:f>
              <c:numCache>
                <c:formatCode>#,##0.0</c:formatCode>
                <c:ptCount val="13"/>
                <c:pt idx="0">
                  <c:v>867.9</c:v>
                </c:pt>
                <c:pt idx="1">
                  <c:v>1566</c:v>
                </c:pt>
                <c:pt idx="2">
                  <c:v>688.3</c:v>
                </c:pt>
                <c:pt idx="3">
                  <c:v>313</c:v>
                </c:pt>
                <c:pt idx="4">
                  <c:v>464.4</c:v>
                </c:pt>
                <c:pt idx="5">
                  <c:v>1083.3</c:v>
                </c:pt>
                <c:pt idx="6">
                  <c:v>700.3</c:v>
                </c:pt>
                <c:pt idx="7">
                  <c:v>630.70000000000005</c:v>
                </c:pt>
                <c:pt idx="8">
                  <c:v>466.1</c:v>
                </c:pt>
                <c:pt idx="9">
                  <c:v>204.5</c:v>
                </c:pt>
                <c:pt idx="10">
                  <c:v>1775.9</c:v>
                </c:pt>
                <c:pt idx="11">
                  <c:v>3036.8</c:v>
                </c:pt>
                <c:pt idx="12">
                  <c:v>470.2</c:v>
                </c:pt>
              </c:numCache>
            </c:numRef>
          </c:val>
        </c:ser>
        <c:ser>
          <c:idx val="5"/>
          <c:order val="5"/>
          <c:tx>
            <c:strRef>
              <c:f>'Data 2'!$C$98</c:f>
              <c:strCache>
                <c:ptCount val="1"/>
                <c:pt idx="0">
                  <c:v>Hidráulica</c:v>
                </c:pt>
              </c:strCache>
            </c:strRef>
          </c:tx>
          <c:spPr>
            <a:solidFill>
              <a:srgbClr val="0090D1"/>
            </a:solidFill>
            <a:ln>
              <a:noFill/>
            </a:ln>
            <a:effectLst/>
          </c:spPr>
          <c:invertIfNegative val="0"/>
          <c:val>
            <c:numRef>
              <c:f>'Data 2'!$D$98:$P$98</c:f>
              <c:numCache>
                <c:formatCode>#,##0.0</c:formatCode>
                <c:ptCount val="13"/>
                <c:pt idx="0">
                  <c:v>17793.5</c:v>
                </c:pt>
                <c:pt idx="1">
                  <c:v>20878.900000000001</c:v>
                </c:pt>
                <c:pt idx="2">
                  <c:v>19850.2</c:v>
                </c:pt>
                <c:pt idx="3">
                  <c:v>4389.8</c:v>
                </c:pt>
                <c:pt idx="4">
                  <c:v>2067.3000000000002</c:v>
                </c:pt>
                <c:pt idx="5">
                  <c:v>2318.1</c:v>
                </c:pt>
                <c:pt idx="6">
                  <c:v>5037</c:v>
                </c:pt>
                <c:pt idx="7">
                  <c:v>2095.3000000000002</c:v>
                </c:pt>
                <c:pt idx="8">
                  <c:v>1774.5</c:v>
                </c:pt>
                <c:pt idx="9">
                  <c:v>506</c:v>
                </c:pt>
                <c:pt idx="10">
                  <c:v>2151.1999999999998</c:v>
                </c:pt>
                <c:pt idx="11">
                  <c:v>14862.1</c:v>
                </c:pt>
                <c:pt idx="12">
                  <c:v>6144.5</c:v>
                </c:pt>
              </c:numCache>
            </c:numRef>
          </c:val>
        </c:ser>
        <c:ser>
          <c:idx val="6"/>
          <c:order val="6"/>
          <c:tx>
            <c:strRef>
              <c:f>'Data 2'!$C$99</c:f>
              <c:strCache>
                <c:ptCount val="1"/>
                <c:pt idx="0">
                  <c:v>Nuclear</c:v>
                </c:pt>
              </c:strCache>
            </c:strRef>
          </c:tx>
          <c:spPr>
            <a:solidFill>
              <a:srgbClr val="464394"/>
            </a:solidFill>
            <a:ln>
              <a:noFill/>
            </a:ln>
            <a:effectLst/>
          </c:spPr>
          <c:invertIfNegative val="0"/>
          <c:val>
            <c:numRef>
              <c:f>'Data 2'!$D$99:$P$99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66</c:v>
                </c:pt>
                <c:pt idx="3">
                  <c:v>0</c:v>
                </c:pt>
                <c:pt idx="4">
                  <c:v>1381.8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300.5</c:v>
                </c:pt>
                <c:pt idx="9">
                  <c:v>0</c:v>
                </c:pt>
                <c:pt idx="10">
                  <c:v>0</c:v>
                </c:pt>
                <c:pt idx="11">
                  <c:v>109.8</c:v>
                </c:pt>
                <c:pt idx="12">
                  <c:v>0</c:v>
                </c:pt>
              </c:numCache>
            </c:numRef>
          </c:val>
        </c:ser>
        <c:ser>
          <c:idx val="9"/>
          <c:order val="7"/>
          <c:tx>
            <c:strRef>
              <c:f>'Data 2'!$C$100</c:f>
              <c:strCache>
                <c:ptCount val="1"/>
                <c:pt idx="0">
                  <c:v>Otras Renovables</c:v>
                </c:pt>
              </c:strCache>
            </c:strRef>
          </c:tx>
          <c:spPr>
            <a:solidFill>
              <a:srgbClr val="95B3D7"/>
            </a:solidFill>
            <a:ln>
              <a:noFill/>
            </a:ln>
            <a:effectLst/>
          </c:spPr>
          <c:invertIfNegative val="0"/>
          <c:val>
            <c:numRef>
              <c:f>'Data 2'!$D$100:$P$100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</c:numCache>
            </c:numRef>
          </c:val>
        </c:ser>
        <c:ser>
          <c:idx val="10"/>
          <c:order val="8"/>
          <c:tx>
            <c:strRef>
              <c:f>'Data 2'!$C$101</c:f>
              <c:strCache>
                <c:ptCount val="1"/>
                <c:pt idx="0">
                  <c:v>Turbinación bombeo</c:v>
                </c:pt>
              </c:strCache>
            </c:strRef>
          </c:tx>
          <c:spPr>
            <a:solidFill>
              <a:srgbClr val="95B3D7"/>
            </a:solidFill>
            <a:ln>
              <a:noFill/>
            </a:ln>
            <a:effectLst/>
          </c:spPr>
          <c:invertIfNegative val="0"/>
          <c:val>
            <c:numRef>
              <c:f>'Data 2'!$D$101:$P$101</c:f>
              <c:numCache>
                <c:formatCode>#,##0.0</c:formatCode>
                <c:ptCount val="13"/>
                <c:pt idx="0">
                  <c:v>4596.7</c:v>
                </c:pt>
                <c:pt idx="1">
                  <c:v>13810.2</c:v>
                </c:pt>
                <c:pt idx="2">
                  <c:v>11430.1</c:v>
                </c:pt>
                <c:pt idx="3">
                  <c:v>935.6</c:v>
                </c:pt>
                <c:pt idx="4">
                  <c:v>160.4</c:v>
                </c:pt>
                <c:pt idx="5">
                  <c:v>4314</c:v>
                </c:pt>
                <c:pt idx="6">
                  <c:v>3400</c:v>
                </c:pt>
                <c:pt idx="7">
                  <c:v>1288.4000000000001</c:v>
                </c:pt>
                <c:pt idx="8">
                  <c:v>185</c:v>
                </c:pt>
                <c:pt idx="9">
                  <c:v>802.1</c:v>
                </c:pt>
                <c:pt idx="10">
                  <c:v>2234.6</c:v>
                </c:pt>
                <c:pt idx="11">
                  <c:v>13649</c:v>
                </c:pt>
                <c:pt idx="12">
                  <c:v>2006.5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60060048"/>
        <c:axId val="260060440"/>
      </c:barChart>
      <c:lineChart>
        <c:grouping val="standard"/>
        <c:varyColors val="0"/>
        <c:ser>
          <c:idx val="8"/>
          <c:order val="9"/>
          <c:tx>
            <c:v>Precio medio a subir</c:v>
          </c:tx>
          <c:spPr>
            <a:ln w="28575" cap="rnd">
              <a:solidFill>
                <a:srgbClr val="004563"/>
              </a:solidFill>
              <a:round/>
            </a:ln>
            <a:effectLst/>
          </c:spPr>
          <c:marker>
            <c:symbol val="none"/>
          </c:marker>
          <c:val>
            <c:numRef>
              <c:f>'Data 2'!$D$106:$P$106</c:f>
              <c:numCache>
                <c:formatCode>mmm\-yy</c:formatCode>
                <c:ptCount val="13"/>
              </c:numCache>
            </c:numRef>
          </c:val>
          <c:smooth val="0"/>
        </c:ser>
        <c:ser>
          <c:idx val="7"/>
          <c:order val="10"/>
          <c:tx>
            <c:v>Precio medio bajar</c:v>
          </c:tx>
          <c:spPr>
            <a:ln w="28575" cap="rnd">
              <a:solidFill>
                <a:srgbClr val="404040"/>
              </a:solidFill>
              <a:round/>
            </a:ln>
            <a:effectLst/>
          </c:spPr>
          <c:marker>
            <c:symbol val="none"/>
          </c:marker>
          <c:val>
            <c:numRef>
              <c:f>'Data 2'!$D$105:$P$105</c:f>
              <c:numCache>
                <c:formatCode>#,##0.0</c:formatCode>
                <c:ptCount val="13"/>
                <c:pt idx="0">
                  <c:v>39.278952461000003</c:v>
                </c:pt>
                <c:pt idx="1">
                  <c:v>30.862738864499999</c:v>
                </c:pt>
                <c:pt idx="2">
                  <c:v>38.917594599300003</c:v>
                </c:pt>
                <c:pt idx="3">
                  <c:v>37.510220161100001</c:v>
                </c:pt>
                <c:pt idx="4">
                  <c:v>38.300981138300003</c:v>
                </c:pt>
                <c:pt idx="5">
                  <c:v>40.000333624500001</c:v>
                </c:pt>
                <c:pt idx="6">
                  <c:v>35.937440223300001</c:v>
                </c:pt>
                <c:pt idx="7">
                  <c:v>36.511317131799998</c:v>
                </c:pt>
                <c:pt idx="8">
                  <c:v>38.937077702300002</c:v>
                </c:pt>
                <c:pt idx="9">
                  <c:v>48.682983173099998</c:v>
                </c:pt>
                <c:pt idx="10">
                  <c:v>37.017880635799997</c:v>
                </c:pt>
                <c:pt idx="11">
                  <c:v>35.217388445399997</c:v>
                </c:pt>
                <c:pt idx="12">
                  <c:v>45.9572454212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0061224"/>
        <c:axId val="260060832"/>
      </c:lineChart>
      <c:catAx>
        <c:axId val="260060048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low"/>
        <c:crossAx val="260060440"/>
        <c:crosses val="autoZero"/>
        <c:auto val="1"/>
        <c:lblAlgn val="ctr"/>
        <c:lblOffset val="100"/>
        <c:noMultiLvlLbl val="0"/>
      </c:catAx>
      <c:valAx>
        <c:axId val="260060440"/>
        <c:scaling>
          <c:orientation val="maxMin"/>
          <c:max val="250000"/>
        </c:scaling>
        <c:delete val="0"/>
        <c:axPos val="l"/>
        <c:majorGridlines>
          <c:spPr>
            <a:ln w="3175" cap="flat" cmpd="sng" algn="ctr">
              <a:solidFill>
                <a:srgbClr val="004563"/>
              </a:solidFill>
              <a:prstDash val="sysDot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/>
                  <a:t>GWh</a:t>
                </a:r>
              </a:p>
            </c:rich>
          </c:tx>
          <c:layout>
            <c:manualLayout>
              <c:xMode val="edge"/>
              <c:yMode val="edge"/>
              <c:x val="1.7029649094866487E-2"/>
              <c:y val="1.5773539206781716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60060048"/>
        <c:crosses val="autoZero"/>
        <c:crossBetween val="between"/>
        <c:majorUnit val="50000"/>
        <c:dispUnits>
          <c:builtInUnit val="thousands"/>
        </c:dispUnits>
      </c:valAx>
      <c:valAx>
        <c:axId val="260060832"/>
        <c:scaling>
          <c:orientation val="maxMin"/>
          <c:max val="100"/>
          <c:min val="0"/>
        </c:scaling>
        <c:delete val="0"/>
        <c:axPos val="r"/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60061224"/>
        <c:crosses val="max"/>
        <c:crossBetween val="between"/>
        <c:majorUnit val="20"/>
      </c:valAx>
      <c:catAx>
        <c:axId val="260061224"/>
        <c:scaling>
          <c:orientation val="minMax"/>
        </c:scaling>
        <c:delete val="1"/>
        <c:axPos val="t"/>
        <c:majorTickMark val="out"/>
        <c:minorTickMark val="none"/>
        <c:tickLblPos val="nextTo"/>
        <c:crossAx val="26006083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3.8396387945982706E-2"/>
          <c:y val="0.79918794324076559"/>
          <c:w val="0.92657806400720677"/>
          <c:h val="0.1734514602551429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>
        <a:lumMod val="8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solidFill>
            <a:srgbClr val="004563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3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7807465489407968E-2"/>
          <c:y val="9.4486306741537782E-2"/>
          <c:w val="0.89961354726056719"/>
          <c:h val="0.75649343154199533"/>
        </c:manualLayout>
      </c:layout>
      <c:barChart>
        <c:barDir val="col"/>
        <c:grouping val="stacked"/>
        <c:varyColors val="0"/>
        <c:ser>
          <c:idx val="17"/>
          <c:order val="0"/>
          <c:tx>
            <c:strRef>
              <c:f>'Data 2'!$C$84</c:f>
              <c:strCache>
                <c:ptCount val="1"/>
                <c:pt idx="0">
                  <c:v>Carbón</c:v>
                </c:pt>
              </c:strCache>
            </c:strRef>
          </c:tx>
          <c:spPr>
            <a:solidFill>
              <a:srgbClr val="993300"/>
            </a:solidFill>
            <a:ln>
              <a:noFill/>
            </a:ln>
            <a:effectLst/>
          </c:spPr>
          <c:invertIfNegative val="0"/>
          <c:cat>
            <c:strRef>
              <c:f>'Data 2'!$D$83:$P$83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'Data 2'!$D$84:$P$84</c:f>
              <c:numCache>
                <c:formatCode>#,##0.0</c:formatCode>
                <c:ptCount val="13"/>
                <c:pt idx="0">
                  <c:v>11782.3</c:v>
                </c:pt>
                <c:pt idx="1">
                  <c:v>10392.299999999999</c:v>
                </c:pt>
                <c:pt idx="2">
                  <c:v>11417.3</c:v>
                </c:pt>
                <c:pt idx="3">
                  <c:v>14921.9</c:v>
                </c:pt>
                <c:pt idx="4">
                  <c:v>35897.1</c:v>
                </c:pt>
                <c:pt idx="5">
                  <c:v>15424.3</c:v>
                </c:pt>
                <c:pt idx="6">
                  <c:v>17604.099999999999</c:v>
                </c:pt>
                <c:pt idx="7">
                  <c:v>9030.9</c:v>
                </c:pt>
                <c:pt idx="8">
                  <c:v>13899.2</c:v>
                </c:pt>
                <c:pt idx="9">
                  <c:v>19298.3</c:v>
                </c:pt>
                <c:pt idx="10">
                  <c:v>36464.5</c:v>
                </c:pt>
                <c:pt idx="11">
                  <c:v>18538.8</c:v>
                </c:pt>
                <c:pt idx="12">
                  <c:v>33434.800000000003</c:v>
                </c:pt>
              </c:numCache>
            </c:numRef>
          </c:val>
        </c:ser>
        <c:ser>
          <c:idx val="18"/>
          <c:order val="1"/>
          <c:tx>
            <c:strRef>
              <c:f>'Data 2'!$C$85</c:f>
              <c:strCache>
                <c:ptCount val="1"/>
                <c:pt idx="0">
                  <c:v>Ciclo Combinado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'Data 2'!$D$83:$P$83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'Data 2'!$D$85:$P$85</c:f>
              <c:numCache>
                <c:formatCode>#,##0.0</c:formatCode>
                <c:ptCount val="13"/>
                <c:pt idx="0">
                  <c:v>9297.4</c:v>
                </c:pt>
                <c:pt idx="1">
                  <c:v>9024.7999999999993</c:v>
                </c:pt>
                <c:pt idx="2">
                  <c:v>11177.4</c:v>
                </c:pt>
                <c:pt idx="3">
                  <c:v>12578.5</c:v>
                </c:pt>
                <c:pt idx="4">
                  <c:v>86103.9</c:v>
                </c:pt>
                <c:pt idx="5">
                  <c:v>25298.7</c:v>
                </c:pt>
                <c:pt idx="6">
                  <c:v>20278.5</c:v>
                </c:pt>
                <c:pt idx="7">
                  <c:v>13355.9</c:v>
                </c:pt>
                <c:pt idx="8">
                  <c:v>20227.3</c:v>
                </c:pt>
                <c:pt idx="9">
                  <c:v>45604</c:v>
                </c:pt>
                <c:pt idx="10">
                  <c:v>72616.800000000003</c:v>
                </c:pt>
                <c:pt idx="11">
                  <c:v>25466.6</c:v>
                </c:pt>
                <c:pt idx="12">
                  <c:v>34817.699999999997</c:v>
                </c:pt>
              </c:numCache>
            </c:numRef>
          </c:val>
        </c:ser>
        <c:ser>
          <c:idx val="19"/>
          <c:order val="2"/>
          <c:tx>
            <c:strRef>
              <c:f>'Data 2'!$C$86</c:f>
              <c:strCache>
                <c:ptCount val="1"/>
                <c:pt idx="0">
                  <c:v>Cogeneración</c:v>
                </c:pt>
              </c:strCache>
            </c:strRef>
          </c:tx>
          <c:spPr>
            <a:solidFill>
              <a:srgbClr val="CFA2CA"/>
            </a:solidFill>
            <a:ln>
              <a:noFill/>
            </a:ln>
            <a:effectLst/>
          </c:spPr>
          <c:invertIfNegative val="0"/>
          <c:cat>
            <c:strRef>
              <c:f>'Data 2'!$D$83:$P$83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'Data 2'!$D$86:$P$86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16</c:v>
                </c:pt>
                <c:pt idx="5">
                  <c:v>6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ser>
          <c:idx val="20"/>
          <c:order val="3"/>
          <c:tx>
            <c:strRef>
              <c:f>'Data 2'!$C$87</c:f>
              <c:strCache>
                <c:ptCount val="1"/>
                <c:pt idx="0">
                  <c:v>Consumo Bombeo</c:v>
                </c:pt>
              </c:strCache>
            </c:strRef>
          </c:tx>
          <c:spPr>
            <a:solidFill>
              <a:srgbClr val="2C4D75"/>
            </a:solidFill>
            <a:ln>
              <a:noFill/>
            </a:ln>
            <a:effectLst/>
          </c:spPr>
          <c:invertIfNegative val="0"/>
          <c:cat>
            <c:strRef>
              <c:f>'Data 2'!$D$83:$P$83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'Data 2'!$D$87:$P$87</c:f>
              <c:numCache>
                <c:formatCode>#,##0.0</c:formatCode>
                <c:ptCount val="13"/>
                <c:pt idx="0">
                  <c:v>2429.3000000000002</c:v>
                </c:pt>
                <c:pt idx="1">
                  <c:v>1213</c:v>
                </c:pt>
                <c:pt idx="2">
                  <c:v>2298.6999999999998</c:v>
                </c:pt>
                <c:pt idx="3">
                  <c:v>1623.5</c:v>
                </c:pt>
                <c:pt idx="4">
                  <c:v>4321.8999999999996</c:v>
                </c:pt>
                <c:pt idx="5">
                  <c:v>1196.5</c:v>
                </c:pt>
                <c:pt idx="6">
                  <c:v>1953.7</c:v>
                </c:pt>
                <c:pt idx="7">
                  <c:v>972.7</c:v>
                </c:pt>
                <c:pt idx="8">
                  <c:v>3473.9</c:v>
                </c:pt>
                <c:pt idx="9">
                  <c:v>3226</c:v>
                </c:pt>
                <c:pt idx="10">
                  <c:v>14393.3</c:v>
                </c:pt>
                <c:pt idx="11">
                  <c:v>6696</c:v>
                </c:pt>
                <c:pt idx="12">
                  <c:v>1704</c:v>
                </c:pt>
              </c:numCache>
            </c:numRef>
          </c:val>
        </c:ser>
        <c:ser>
          <c:idx val="21"/>
          <c:order val="4"/>
          <c:tx>
            <c:strRef>
              <c:f>'Data 2'!$C$88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70AD47"/>
            </a:solidFill>
            <a:ln>
              <a:noFill/>
            </a:ln>
            <a:effectLst/>
          </c:spPr>
          <c:invertIfNegative val="0"/>
          <c:cat>
            <c:strRef>
              <c:f>'Data 2'!$D$83:$P$83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'Data 2'!$D$88:$P$88</c:f>
              <c:numCache>
                <c:formatCode>#,##0.0</c:formatCode>
                <c:ptCount val="13"/>
                <c:pt idx="0">
                  <c:v>37.700000000000003</c:v>
                </c:pt>
                <c:pt idx="1">
                  <c:v>83.9</c:v>
                </c:pt>
                <c:pt idx="2">
                  <c:v>146.30000000000001</c:v>
                </c:pt>
                <c:pt idx="3">
                  <c:v>791</c:v>
                </c:pt>
                <c:pt idx="4">
                  <c:v>1499</c:v>
                </c:pt>
                <c:pt idx="5">
                  <c:v>694.8</c:v>
                </c:pt>
                <c:pt idx="6">
                  <c:v>1479</c:v>
                </c:pt>
                <c:pt idx="7">
                  <c:v>456.9</c:v>
                </c:pt>
                <c:pt idx="8">
                  <c:v>731.2</c:v>
                </c:pt>
                <c:pt idx="9">
                  <c:v>983.4</c:v>
                </c:pt>
                <c:pt idx="10">
                  <c:v>4195.1000000000004</c:v>
                </c:pt>
                <c:pt idx="11">
                  <c:v>686</c:v>
                </c:pt>
                <c:pt idx="12">
                  <c:v>1654.6</c:v>
                </c:pt>
              </c:numCache>
            </c:numRef>
          </c:val>
        </c:ser>
        <c:ser>
          <c:idx val="22"/>
          <c:order val="5"/>
          <c:tx>
            <c:strRef>
              <c:f>'Data 2'!$C$89</c:f>
              <c:strCache>
                <c:ptCount val="1"/>
                <c:pt idx="0">
                  <c:v>Hidráulica</c:v>
                </c:pt>
              </c:strCache>
            </c:strRef>
          </c:tx>
          <c:spPr>
            <a:solidFill>
              <a:srgbClr val="0090D1"/>
            </a:solidFill>
            <a:ln>
              <a:noFill/>
            </a:ln>
            <a:effectLst/>
          </c:spPr>
          <c:invertIfNegative val="0"/>
          <c:cat>
            <c:strRef>
              <c:f>'Data 2'!$D$83:$P$83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'Data 2'!$D$89:$P$89</c:f>
              <c:numCache>
                <c:formatCode>#,##0.0</c:formatCode>
                <c:ptCount val="13"/>
                <c:pt idx="0">
                  <c:v>5011.6000000000004</c:v>
                </c:pt>
                <c:pt idx="1">
                  <c:v>15815.6</c:v>
                </c:pt>
                <c:pt idx="2">
                  <c:v>6448.1</c:v>
                </c:pt>
                <c:pt idx="3">
                  <c:v>6148.7</c:v>
                </c:pt>
                <c:pt idx="4">
                  <c:v>35181.699999999997</c:v>
                </c:pt>
                <c:pt idx="5">
                  <c:v>12560.8</c:v>
                </c:pt>
                <c:pt idx="6">
                  <c:v>9282.6</c:v>
                </c:pt>
                <c:pt idx="7">
                  <c:v>7586.6</c:v>
                </c:pt>
                <c:pt idx="8">
                  <c:v>6859.3</c:v>
                </c:pt>
                <c:pt idx="9">
                  <c:v>22432</c:v>
                </c:pt>
                <c:pt idx="10">
                  <c:v>32118.7</c:v>
                </c:pt>
                <c:pt idx="11">
                  <c:v>14339.3</c:v>
                </c:pt>
                <c:pt idx="12">
                  <c:v>32219.8</c:v>
                </c:pt>
              </c:numCache>
            </c:numRef>
          </c:val>
        </c:ser>
        <c:ser>
          <c:idx val="23"/>
          <c:order val="6"/>
          <c:tx>
            <c:strRef>
              <c:f>'Data 2'!$C$90</c:f>
              <c:strCache>
                <c:ptCount val="1"/>
                <c:pt idx="0">
                  <c:v>Nuclear</c:v>
                </c:pt>
              </c:strCache>
            </c:strRef>
          </c:tx>
          <c:spPr>
            <a:solidFill>
              <a:srgbClr val="464394"/>
            </a:solidFill>
            <a:ln>
              <a:noFill/>
            </a:ln>
            <a:effectLst/>
          </c:spPr>
          <c:invertIfNegative val="0"/>
          <c:cat>
            <c:strRef>
              <c:f>'Data 2'!$D$83:$P$83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'Data 2'!$D$90:$P$90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105</c:v>
                </c:pt>
                <c:pt idx="3">
                  <c:v>0</c:v>
                </c:pt>
                <c:pt idx="4">
                  <c:v>537</c:v>
                </c:pt>
                <c:pt idx="5">
                  <c:v>231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1236</c:v>
                </c:pt>
                <c:pt idx="11">
                  <c:v>277</c:v>
                </c:pt>
                <c:pt idx="12">
                  <c:v>258</c:v>
                </c:pt>
              </c:numCache>
            </c:numRef>
          </c:val>
        </c:ser>
        <c:ser>
          <c:idx val="24"/>
          <c:order val="7"/>
          <c:tx>
            <c:strRef>
              <c:f>'Data 2'!$C$91</c:f>
              <c:strCache>
                <c:ptCount val="1"/>
                <c:pt idx="0">
                  <c:v>Turbinación bombeo</c:v>
                </c:pt>
              </c:strCache>
            </c:strRef>
          </c:tx>
          <c:spPr>
            <a:solidFill>
              <a:srgbClr val="95B3D7"/>
            </a:solidFill>
            <a:ln>
              <a:noFill/>
            </a:ln>
            <a:effectLst/>
          </c:spPr>
          <c:invertIfNegative val="0"/>
          <c:cat>
            <c:strRef>
              <c:f>'Data 2'!$D$83:$P$83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'Data 2'!$D$91:$P$91</c:f>
              <c:numCache>
                <c:formatCode>#,##0.0</c:formatCode>
                <c:ptCount val="13"/>
                <c:pt idx="0">
                  <c:v>3301.6</c:v>
                </c:pt>
                <c:pt idx="1">
                  <c:v>5970.4</c:v>
                </c:pt>
                <c:pt idx="2">
                  <c:v>1824.9</c:v>
                </c:pt>
                <c:pt idx="3">
                  <c:v>5041.6000000000004</c:v>
                </c:pt>
                <c:pt idx="4">
                  <c:v>13587.3</c:v>
                </c:pt>
                <c:pt idx="5">
                  <c:v>9853.2999999999993</c:v>
                </c:pt>
                <c:pt idx="6">
                  <c:v>10537.6</c:v>
                </c:pt>
                <c:pt idx="7">
                  <c:v>7497.3</c:v>
                </c:pt>
                <c:pt idx="8">
                  <c:v>9809.2999999999993</c:v>
                </c:pt>
                <c:pt idx="9">
                  <c:v>16186.5</c:v>
                </c:pt>
                <c:pt idx="10">
                  <c:v>39485.4</c:v>
                </c:pt>
                <c:pt idx="11">
                  <c:v>7767.7</c:v>
                </c:pt>
                <c:pt idx="12">
                  <c:v>14790.9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59438104"/>
        <c:axId val="259438496"/>
      </c:barChart>
      <c:lineChart>
        <c:grouping val="standard"/>
        <c:varyColors val="0"/>
        <c:ser>
          <c:idx val="15"/>
          <c:order val="8"/>
          <c:tx>
            <c:v>Precio medio subir</c:v>
          </c:tx>
          <c:spPr>
            <a:ln w="28575" cap="rnd">
              <a:solidFill>
                <a:srgbClr val="004563"/>
              </a:solidFill>
              <a:round/>
            </a:ln>
            <a:effectLst/>
          </c:spPr>
          <c:marker>
            <c:symbol val="none"/>
          </c:marker>
          <c:cat>
            <c:strRef>
              <c:f>'Data 2'!$D$83:$P$83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'Data 2'!$D$104:$P$104</c:f>
              <c:numCache>
                <c:formatCode>#,##0.0</c:formatCode>
                <c:ptCount val="13"/>
                <c:pt idx="0">
                  <c:v>75.523737362600002</c:v>
                </c:pt>
                <c:pt idx="1">
                  <c:v>52.278636470599999</c:v>
                </c:pt>
                <c:pt idx="2">
                  <c:v>50.1687773612</c:v>
                </c:pt>
                <c:pt idx="3">
                  <c:v>52.772110097999999</c:v>
                </c:pt>
                <c:pt idx="4">
                  <c:v>57.933831365300001</c:v>
                </c:pt>
                <c:pt idx="5">
                  <c:v>57.393478933700003</c:v>
                </c:pt>
                <c:pt idx="6">
                  <c:v>54.654758855300003</c:v>
                </c:pt>
                <c:pt idx="7">
                  <c:v>54.685032249099997</c:v>
                </c:pt>
                <c:pt idx="8">
                  <c:v>61.513323042499998</c:v>
                </c:pt>
                <c:pt idx="9">
                  <c:v>71.000344286000001</c:v>
                </c:pt>
                <c:pt idx="10">
                  <c:v>75.213326381100003</c:v>
                </c:pt>
                <c:pt idx="11">
                  <c:v>60.115528511000001</c:v>
                </c:pt>
                <c:pt idx="12">
                  <c:v>64.730818692499994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9439280"/>
        <c:axId val="259438888"/>
      </c:lineChart>
      <c:catAx>
        <c:axId val="2594381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004563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59438496"/>
        <c:crosses val="autoZero"/>
        <c:auto val="1"/>
        <c:lblAlgn val="ctr"/>
        <c:lblOffset val="100"/>
        <c:noMultiLvlLbl val="0"/>
      </c:catAx>
      <c:valAx>
        <c:axId val="259438496"/>
        <c:scaling>
          <c:orientation val="minMax"/>
          <c:max val="250000"/>
        </c:scaling>
        <c:delete val="0"/>
        <c:axPos val="l"/>
        <c:majorGridlines>
          <c:spPr>
            <a:ln w="3175" cap="flat" cmpd="sng" algn="ctr">
              <a:solidFill>
                <a:srgbClr val="004563"/>
              </a:solidFill>
              <a:prstDash val="sysDot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/>
                  <a:t>GWh</a:t>
                </a:r>
              </a:p>
            </c:rich>
          </c:tx>
          <c:layout>
            <c:manualLayout>
              <c:xMode val="edge"/>
              <c:yMode val="edge"/>
              <c:x val="1.7029649094866487E-2"/>
              <c:y val="1.5773539206781716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59438104"/>
        <c:crosses val="autoZero"/>
        <c:crossBetween val="between"/>
        <c:majorUnit val="50000"/>
        <c:dispUnits>
          <c:builtInUnit val="thousands"/>
        </c:dispUnits>
      </c:valAx>
      <c:valAx>
        <c:axId val="259438888"/>
        <c:scaling>
          <c:orientation val="minMax"/>
          <c:max val="100"/>
          <c:min val="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/>
                  <a:t>€/MWh</a:t>
                </a:r>
              </a:p>
            </c:rich>
          </c:tx>
          <c:layout>
            <c:manualLayout>
              <c:xMode val="edge"/>
              <c:yMode val="edge"/>
              <c:x val="0.94318681318681319"/>
              <c:y val="6.8301544050862837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59439280"/>
        <c:crosses val="max"/>
        <c:crossBetween val="between"/>
        <c:majorUnit val="20"/>
      </c:valAx>
      <c:catAx>
        <c:axId val="2594392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5943888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8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solidFill>
            <a:srgbClr val="004563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3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5121436534480012E-2"/>
          <c:y val="9.4486451710566147E-2"/>
          <c:w val="0.90045357141064819"/>
          <c:h val="0.66833475448334823"/>
        </c:manualLayout>
      </c:layout>
      <c:barChart>
        <c:barDir val="col"/>
        <c:grouping val="stacked"/>
        <c:varyColors val="0"/>
        <c:ser>
          <c:idx val="3"/>
          <c:order val="0"/>
          <c:tx>
            <c:strRef>
              <c:f>'Data 2'!$B$131</c:f>
              <c:strCache>
                <c:ptCount val="1"/>
                <c:pt idx="0">
                  <c:v>Carbón</c:v>
                </c:pt>
              </c:strCache>
            </c:strRef>
          </c:tx>
          <c:spPr>
            <a:solidFill>
              <a:srgbClr val="993300"/>
            </a:solidFill>
            <a:ln>
              <a:noFill/>
            </a:ln>
            <a:effectLst/>
          </c:spPr>
          <c:invertIfNegative val="0"/>
          <c:val>
            <c:numRef>
              <c:f>'Data 2'!$C$131:$O$131</c:f>
              <c:numCache>
                <c:formatCode>#,##0.0</c:formatCode>
                <c:ptCount val="13"/>
                <c:pt idx="0">
                  <c:v>14289.6</c:v>
                </c:pt>
                <c:pt idx="1">
                  <c:v>1420.9</c:v>
                </c:pt>
                <c:pt idx="2">
                  <c:v>808.2</c:v>
                </c:pt>
                <c:pt idx="3">
                  <c:v>0</c:v>
                </c:pt>
                <c:pt idx="4">
                  <c:v>294.2</c:v>
                </c:pt>
                <c:pt idx="5">
                  <c:v>516.70000000000005</c:v>
                </c:pt>
                <c:pt idx="6">
                  <c:v>0</c:v>
                </c:pt>
                <c:pt idx="7">
                  <c:v>0</c:v>
                </c:pt>
                <c:pt idx="8">
                  <c:v>8149.5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ser>
          <c:idx val="4"/>
          <c:order val="1"/>
          <c:tx>
            <c:strRef>
              <c:f>'Data 2'!$B$132</c:f>
              <c:strCache>
                <c:ptCount val="1"/>
                <c:pt idx="0">
                  <c:v>Ciclo Combinado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val>
            <c:numRef>
              <c:f>'Data 2'!$C$132:$O$132</c:f>
              <c:numCache>
                <c:formatCode>#,##0.0</c:formatCode>
                <c:ptCount val="13"/>
                <c:pt idx="0">
                  <c:v>859.1</c:v>
                </c:pt>
                <c:pt idx="1">
                  <c:v>0</c:v>
                </c:pt>
                <c:pt idx="2">
                  <c:v>1016.6</c:v>
                </c:pt>
                <c:pt idx="3">
                  <c:v>1097.9000000000001</c:v>
                </c:pt>
                <c:pt idx="4">
                  <c:v>0</c:v>
                </c:pt>
                <c:pt idx="5">
                  <c:v>1537.9</c:v>
                </c:pt>
                <c:pt idx="6">
                  <c:v>2533.1</c:v>
                </c:pt>
                <c:pt idx="7">
                  <c:v>555.79999999999995</c:v>
                </c:pt>
                <c:pt idx="8">
                  <c:v>754.8</c:v>
                </c:pt>
                <c:pt idx="9">
                  <c:v>458.3</c:v>
                </c:pt>
                <c:pt idx="10">
                  <c:v>223.8</c:v>
                </c:pt>
                <c:pt idx="11">
                  <c:v>0</c:v>
                </c:pt>
                <c:pt idx="12">
                  <c:v>20</c:v>
                </c:pt>
              </c:numCache>
            </c:numRef>
          </c:val>
        </c:ser>
        <c:ser>
          <c:idx val="5"/>
          <c:order val="2"/>
          <c:tx>
            <c:strRef>
              <c:f>'Data 2'!$B$133</c:f>
              <c:strCache>
                <c:ptCount val="1"/>
                <c:pt idx="0">
                  <c:v>Cogeneración</c:v>
                </c:pt>
              </c:strCache>
            </c:strRef>
          </c:tx>
          <c:spPr>
            <a:solidFill>
              <a:srgbClr val="CFA2CA"/>
            </a:solidFill>
            <a:ln>
              <a:noFill/>
            </a:ln>
            <a:effectLst/>
          </c:spPr>
          <c:invertIfNegative val="0"/>
          <c:val>
            <c:numRef>
              <c:f>'Data 2'!$C$133:$O$133</c:f>
              <c:numCache>
                <c:formatCode>#,##0.0</c:formatCode>
                <c:ptCount val="13"/>
                <c:pt idx="0">
                  <c:v>5068.8</c:v>
                </c:pt>
                <c:pt idx="1">
                  <c:v>2008.3</c:v>
                </c:pt>
                <c:pt idx="2">
                  <c:v>1618.6</c:v>
                </c:pt>
                <c:pt idx="3">
                  <c:v>0</c:v>
                </c:pt>
                <c:pt idx="4">
                  <c:v>0</c:v>
                </c:pt>
                <c:pt idx="5">
                  <c:v>257</c:v>
                </c:pt>
                <c:pt idx="6">
                  <c:v>0</c:v>
                </c:pt>
                <c:pt idx="7">
                  <c:v>0</c:v>
                </c:pt>
                <c:pt idx="8">
                  <c:v>3.5</c:v>
                </c:pt>
                <c:pt idx="9">
                  <c:v>0</c:v>
                </c:pt>
                <c:pt idx="10">
                  <c:v>2.4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ser>
          <c:idx val="6"/>
          <c:order val="3"/>
          <c:tx>
            <c:strRef>
              <c:f>'Data 2'!$B$134</c:f>
              <c:strCache>
                <c:ptCount val="1"/>
                <c:pt idx="0">
                  <c:v>Consumo Bombeo</c:v>
                </c:pt>
              </c:strCache>
            </c:strRef>
          </c:tx>
          <c:spPr>
            <a:solidFill>
              <a:srgbClr val="2C4D75"/>
            </a:solidFill>
            <a:ln>
              <a:noFill/>
            </a:ln>
            <a:effectLst/>
          </c:spPr>
          <c:invertIfNegative val="0"/>
          <c:val>
            <c:numRef>
              <c:f>'Data 2'!$C$134:$O$134</c:f>
              <c:numCache>
                <c:formatCode>#,##0.0</c:formatCode>
                <c:ptCount val="13"/>
                <c:pt idx="0">
                  <c:v>28184.1</c:v>
                </c:pt>
                <c:pt idx="1">
                  <c:v>27920</c:v>
                </c:pt>
                <c:pt idx="2">
                  <c:v>42815.3</c:v>
                </c:pt>
                <c:pt idx="3">
                  <c:v>21404.400000000001</c:v>
                </c:pt>
                <c:pt idx="4">
                  <c:v>4310.8</c:v>
                </c:pt>
                <c:pt idx="5">
                  <c:v>809.6</c:v>
                </c:pt>
                <c:pt idx="6">
                  <c:v>2991.4</c:v>
                </c:pt>
                <c:pt idx="7">
                  <c:v>20748.5</c:v>
                </c:pt>
                <c:pt idx="8">
                  <c:v>31856.3</c:v>
                </c:pt>
                <c:pt idx="9">
                  <c:v>31829.7</c:v>
                </c:pt>
                <c:pt idx="10">
                  <c:v>30752.2</c:v>
                </c:pt>
                <c:pt idx="11">
                  <c:v>31097.5</c:v>
                </c:pt>
                <c:pt idx="12">
                  <c:v>30123.599999999999</c:v>
                </c:pt>
              </c:numCache>
            </c:numRef>
          </c:val>
        </c:ser>
        <c:ser>
          <c:idx val="7"/>
          <c:order val="4"/>
          <c:tx>
            <c:strRef>
              <c:f>'Data 2'!$B$135</c:f>
              <c:strCache>
                <c:ptCount val="1"/>
                <c:pt idx="0">
                  <c:v>Enlace Península Baleares</c:v>
                </c:pt>
              </c:strCache>
            </c:strRef>
          </c:tx>
          <c:spPr>
            <a:solidFill>
              <a:srgbClr val="A99BBD"/>
            </a:solidFill>
            <a:ln>
              <a:noFill/>
            </a:ln>
            <a:effectLst/>
          </c:spPr>
          <c:invertIfNegative val="0"/>
          <c:val>
            <c:numRef>
              <c:f>'Data 2'!$C$135:$O$135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42.4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ser>
          <c:idx val="8"/>
          <c:order val="5"/>
          <c:tx>
            <c:strRef>
              <c:f>'Data 2'!$B$136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70AD47"/>
            </a:solidFill>
            <a:ln>
              <a:noFill/>
            </a:ln>
            <a:effectLst/>
          </c:spPr>
          <c:invertIfNegative val="0"/>
          <c:val>
            <c:numRef>
              <c:f>'Data 2'!$C$136:$O$136</c:f>
              <c:numCache>
                <c:formatCode>#,##0.0</c:formatCode>
                <c:ptCount val="13"/>
                <c:pt idx="0">
                  <c:v>40432</c:v>
                </c:pt>
                <c:pt idx="1">
                  <c:v>13960.1</c:v>
                </c:pt>
                <c:pt idx="2">
                  <c:v>4070.8</c:v>
                </c:pt>
                <c:pt idx="3">
                  <c:v>137.4</c:v>
                </c:pt>
                <c:pt idx="4">
                  <c:v>0.6</c:v>
                </c:pt>
                <c:pt idx="5">
                  <c:v>9502.9</c:v>
                </c:pt>
                <c:pt idx="6">
                  <c:v>42.6</c:v>
                </c:pt>
                <c:pt idx="7">
                  <c:v>1071</c:v>
                </c:pt>
                <c:pt idx="8">
                  <c:v>1760.6</c:v>
                </c:pt>
                <c:pt idx="9">
                  <c:v>671.7</c:v>
                </c:pt>
                <c:pt idx="10">
                  <c:v>2324.3000000000002</c:v>
                </c:pt>
                <c:pt idx="11">
                  <c:v>268.5</c:v>
                </c:pt>
                <c:pt idx="12">
                  <c:v>373.8</c:v>
                </c:pt>
              </c:numCache>
            </c:numRef>
          </c:val>
        </c:ser>
        <c:ser>
          <c:idx val="9"/>
          <c:order val="6"/>
          <c:tx>
            <c:strRef>
              <c:f>'Data 2'!$B$137</c:f>
              <c:strCache>
                <c:ptCount val="1"/>
                <c:pt idx="0">
                  <c:v>Hidráulica</c:v>
                </c:pt>
              </c:strCache>
            </c:strRef>
          </c:tx>
          <c:spPr>
            <a:solidFill>
              <a:srgbClr val="0090D1"/>
            </a:solidFill>
            <a:ln>
              <a:noFill/>
            </a:ln>
            <a:effectLst/>
          </c:spPr>
          <c:invertIfNegative val="0"/>
          <c:val>
            <c:numRef>
              <c:f>'Data 2'!$C$137:$O$137</c:f>
              <c:numCache>
                <c:formatCode>#,##0.0</c:formatCode>
                <c:ptCount val="13"/>
                <c:pt idx="0">
                  <c:v>8486.1</c:v>
                </c:pt>
                <c:pt idx="1">
                  <c:v>1762.8</c:v>
                </c:pt>
                <c:pt idx="2">
                  <c:v>105.9</c:v>
                </c:pt>
                <c:pt idx="3">
                  <c:v>0</c:v>
                </c:pt>
                <c:pt idx="4">
                  <c:v>0</c:v>
                </c:pt>
                <c:pt idx="5">
                  <c:v>408.7</c:v>
                </c:pt>
                <c:pt idx="6">
                  <c:v>0</c:v>
                </c:pt>
                <c:pt idx="7">
                  <c:v>8.1999999999999993</c:v>
                </c:pt>
                <c:pt idx="8">
                  <c:v>0</c:v>
                </c:pt>
                <c:pt idx="9">
                  <c:v>189.5</c:v>
                </c:pt>
                <c:pt idx="10">
                  <c:v>0</c:v>
                </c:pt>
                <c:pt idx="11">
                  <c:v>0</c:v>
                </c:pt>
                <c:pt idx="12">
                  <c:v>1416.6</c:v>
                </c:pt>
              </c:numCache>
            </c:numRef>
          </c:val>
        </c:ser>
        <c:ser>
          <c:idx val="0"/>
          <c:order val="7"/>
          <c:tx>
            <c:strRef>
              <c:f>'Data 2'!$B$125</c:f>
              <c:strCache>
                <c:ptCount val="1"/>
                <c:pt idx="0">
                  <c:v>Internacionales</c:v>
                </c:pt>
              </c:strCache>
            </c:strRef>
          </c:tx>
          <c:spPr>
            <a:solidFill>
              <a:srgbClr val="91C3D5"/>
            </a:solidFill>
            <a:ln>
              <a:noFill/>
            </a:ln>
            <a:effectLst/>
          </c:spPr>
          <c:invertIfNegative val="0"/>
          <c:val>
            <c:numRef>
              <c:f>'Data 2'!$C$149:$O$149</c:f>
              <c:numCache>
                <c:formatCode>General</c:formatCode>
                <c:ptCount val="13"/>
              </c:numCache>
            </c:numRef>
          </c:val>
        </c:ser>
        <c:ser>
          <c:idx val="10"/>
          <c:order val="8"/>
          <c:tx>
            <c:strRef>
              <c:f>'Data 2'!$B$138</c:f>
              <c:strCache>
                <c:ptCount val="1"/>
                <c:pt idx="0">
                  <c:v>Otras Renovables</c:v>
                </c:pt>
              </c:strCache>
            </c:strRef>
          </c:tx>
          <c:spPr>
            <a:solidFill>
              <a:srgbClr val="70303C"/>
            </a:solidFill>
            <a:ln>
              <a:noFill/>
            </a:ln>
            <a:effectLst/>
          </c:spPr>
          <c:invertIfNegative val="0"/>
          <c:val>
            <c:numRef>
              <c:f>'Data 2'!$C$138:$O$138</c:f>
              <c:numCache>
                <c:formatCode>#,##0.0</c:formatCode>
                <c:ptCount val="13"/>
                <c:pt idx="0">
                  <c:v>49.4</c:v>
                </c:pt>
                <c:pt idx="1">
                  <c:v>22.7</c:v>
                </c:pt>
                <c:pt idx="2">
                  <c:v>51.2</c:v>
                </c:pt>
                <c:pt idx="3">
                  <c:v>0</c:v>
                </c:pt>
                <c:pt idx="4">
                  <c:v>0</c:v>
                </c:pt>
                <c:pt idx="5">
                  <c:v>117.5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ser>
          <c:idx val="11"/>
          <c:order val="9"/>
          <c:tx>
            <c:strRef>
              <c:f>'Data 2'!$B$139</c:f>
              <c:strCache>
                <c:ptCount val="1"/>
                <c:pt idx="0">
                  <c:v>Residuos no Renovables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noFill/>
            </a:ln>
            <a:effectLst/>
          </c:spPr>
          <c:invertIfNegative val="0"/>
          <c:val>
            <c:numRef>
              <c:f>'Data 2'!$C$139:$O$139</c:f>
              <c:numCache>
                <c:formatCode>#,##0.0</c:formatCode>
                <c:ptCount val="13"/>
                <c:pt idx="0">
                  <c:v>334.8</c:v>
                </c:pt>
                <c:pt idx="1">
                  <c:v>98.3</c:v>
                </c:pt>
                <c:pt idx="2">
                  <c:v>12.8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ser>
          <c:idx val="12"/>
          <c:order val="10"/>
          <c:tx>
            <c:strRef>
              <c:f>'Data 2'!$B$140</c:f>
              <c:strCache>
                <c:ptCount val="1"/>
                <c:pt idx="0">
                  <c:v>Solar fotovoltaica</c:v>
                </c:pt>
              </c:strCache>
            </c:strRef>
          </c:tx>
          <c:spPr>
            <a:solidFill>
              <a:srgbClr val="ED7D31"/>
            </a:solidFill>
            <a:ln>
              <a:noFill/>
            </a:ln>
            <a:effectLst/>
          </c:spPr>
          <c:invertIfNegative val="0"/>
          <c:val>
            <c:numRef>
              <c:f>'Data 2'!$C$140:$O$140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0.4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ser>
          <c:idx val="13"/>
          <c:order val="11"/>
          <c:tx>
            <c:strRef>
              <c:f>'Data 2'!$B$141</c:f>
              <c:strCache>
                <c:ptCount val="1"/>
                <c:pt idx="0">
                  <c:v>Solar térmica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val>
            <c:numRef>
              <c:f>'Data 2'!$C$141:$O$141</c:f>
              <c:numCache>
                <c:formatCode>#,##0.0</c:formatCode>
                <c:ptCount val="13"/>
                <c:pt idx="0">
                  <c:v>0</c:v>
                </c:pt>
                <c:pt idx="1">
                  <c:v>224.2</c:v>
                </c:pt>
                <c:pt idx="2">
                  <c:v>0</c:v>
                </c:pt>
                <c:pt idx="3">
                  <c:v>518.79999999999995</c:v>
                </c:pt>
                <c:pt idx="4">
                  <c:v>0</c:v>
                </c:pt>
                <c:pt idx="5">
                  <c:v>1254.7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ser>
          <c:idx val="14"/>
          <c:order val="12"/>
          <c:tx>
            <c:strRef>
              <c:f>'Data 2'!$B$142</c:f>
              <c:strCache>
                <c:ptCount val="1"/>
                <c:pt idx="0">
                  <c:v>Turbinación bombeo</c:v>
                </c:pt>
              </c:strCache>
            </c:strRef>
          </c:tx>
          <c:spPr>
            <a:solidFill>
              <a:srgbClr val="95B3D7"/>
            </a:solidFill>
            <a:ln>
              <a:noFill/>
            </a:ln>
            <a:effectLst/>
          </c:spPr>
          <c:invertIfNegative val="0"/>
          <c:val>
            <c:numRef>
              <c:f>'Data 2'!$C$142:$O$142</c:f>
              <c:numCache>
                <c:formatCode>#,##0.0</c:formatCode>
                <c:ptCount val="13"/>
                <c:pt idx="0">
                  <c:v>110.8</c:v>
                </c:pt>
                <c:pt idx="1">
                  <c:v>474.7</c:v>
                </c:pt>
                <c:pt idx="2">
                  <c:v>879</c:v>
                </c:pt>
                <c:pt idx="3">
                  <c:v>108.8</c:v>
                </c:pt>
                <c:pt idx="4">
                  <c:v>0</c:v>
                </c:pt>
                <c:pt idx="5">
                  <c:v>102.9</c:v>
                </c:pt>
                <c:pt idx="6">
                  <c:v>65</c:v>
                </c:pt>
                <c:pt idx="7">
                  <c:v>183.2</c:v>
                </c:pt>
                <c:pt idx="8">
                  <c:v>177.8</c:v>
                </c:pt>
                <c:pt idx="9">
                  <c:v>613.5</c:v>
                </c:pt>
                <c:pt idx="10">
                  <c:v>1135.9000000000001</c:v>
                </c:pt>
                <c:pt idx="11">
                  <c:v>1121.8</c:v>
                </c:pt>
                <c:pt idx="12">
                  <c:v>1190.9000000000001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45335992"/>
        <c:axId val="345336384"/>
      </c:barChart>
      <c:lineChart>
        <c:grouping val="standard"/>
        <c:varyColors val="0"/>
        <c:ser>
          <c:idx val="1"/>
          <c:order val="13"/>
          <c:tx>
            <c:v>Precio medio a subir</c:v>
          </c:tx>
          <c:spPr>
            <a:ln w="28575" cap="rnd">
              <a:solidFill>
                <a:srgbClr val="004563"/>
              </a:solidFill>
              <a:round/>
            </a:ln>
            <a:effectLst/>
          </c:spPr>
          <c:marker>
            <c:symbol val="none"/>
          </c:marker>
          <c:val>
            <c:numRef>
              <c:f>'Data 2'!$C$149:$O$149</c:f>
              <c:numCache>
                <c:formatCode>General</c:formatCode>
                <c:ptCount val="13"/>
              </c:numCache>
            </c:numRef>
          </c:val>
          <c:smooth val="0"/>
        </c:ser>
        <c:ser>
          <c:idx val="2"/>
          <c:order val="14"/>
          <c:tx>
            <c:v>Precio medio bajar</c:v>
          </c:tx>
          <c:spPr>
            <a:ln w="28575" cap="rnd">
              <a:solidFill>
                <a:srgbClr val="404040"/>
              </a:solidFill>
              <a:round/>
            </a:ln>
            <a:effectLst/>
          </c:spPr>
          <c:marker>
            <c:symbol val="none"/>
          </c:marker>
          <c:val>
            <c:numRef>
              <c:f>'Data 2'!$C$148:$O$148</c:f>
              <c:numCache>
                <c:formatCode>#,##0.0</c:formatCode>
                <c:ptCount val="13"/>
                <c:pt idx="0">
                  <c:v>12.5584233249</c:v>
                </c:pt>
                <c:pt idx="1">
                  <c:v>20.0210055959</c:v>
                </c:pt>
                <c:pt idx="2">
                  <c:v>28.9232389487</c:v>
                </c:pt>
                <c:pt idx="3">
                  <c:v>34.613184598099998</c:v>
                </c:pt>
                <c:pt idx="4">
                  <c:v>38.1623566962</c:v>
                </c:pt>
                <c:pt idx="5">
                  <c:v>7.5200099254000001</c:v>
                </c:pt>
                <c:pt idx="6">
                  <c:v>24.361699898800001</c:v>
                </c:pt>
                <c:pt idx="7">
                  <c:v>37.7942734206</c:v>
                </c:pt>
                <c:pt idx="8">
                  <c:v>31.409996136099998</c:v>
                </c:pt>
                <c:pt idx="9">
                  <c:v>38.9460973204</c:v>
                </c:pt>
                <c:pt idx="10">
                  <c:v>34.010933952000002</c:v>
                </c:pt>
                <c:pt idx="11">
                  <c:v>33.175365521800003</c:v>
                </c:pt>
                <c:pt idx="12">
                  <c:v>35.092640581600001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9235112"/>
        <c:axId val="259234720"/>
      </c:lineChart>
      <c:catAx>
        <c:axId val="345335992"/>
        <c:scaling>
          <c:orientation val="minMax"/>
        </c:scaling>
        <c:delete val="1"/>
        <c:axPos val="t"/>
        <c:numFmt formatCode="General" sourceLinked="1"/>
        <c:majorTickMark val="none"/>
        <c:minorTickMark val="none"/>
        <c:tickLblPos val="nextTo"/>
        <c:crossAx val="345336384"/>
        <c:crosses val="autoZero"/>
        <c:auto val="1"/>
        <c:lblAlgn val="ctr"/>
        <c:lblOffset val="100"/>
        <c:noMultiLvlLbl val="0"/>
      </c:catAx>
      <c:valAx>
        <c:axId val="345336384"/>
        <c:scaling>
          <c:orientation val="maxMin"/>
          <c:max val="120000"/>
        </c:scaling>
        <c:delete val="0"/>
        <c:axPos val="l"/>
        <c:majorGridlines>
          <c:spPr>
            <a:ln w="3175" cap="flat" cmpd="sng" algn="ctr">
              <a:solidFill>
                <a:srgbClr val="004563"/>
              </a:solidFill>
              <a:prstDash val="sysDot"/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345335992"/>
        <c:crosses val="autoZero"/>
        <c:crossBetween val="between"/>
        <c:majorUnit val="20000"/>
        <c:dispUnits>
          <c:builtInUnit val="thousands"/>
        </c:dispUnits>
      </c:valAx>
      <c:valAx>
        <c:axId val="259234720"/>
        <c:scaling>
          <c:orientation val="maxMin"/>
          <c:max val="180"/>
          <c:min val="0"/>
        </c:scaling>
        <c:delete val="0"/>
        <c:axPos val="r"/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59235112"/>
        <c:crosses val="max"/>
        <c:crossBetween val="between"/>
        <c:majorUnit val="30"/>
      </c:valAx>
      <c:catAx>
        <c:axId val="259235112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25923472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8577533577533589E-2"/>
          <c:y val="0.84929466886657845"/>
          <c:w val="0.92413726733086343"/>
          <c:h val="0.1507052709725315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>
        <a:lumMod val="8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solidFill>
            <a:srgbClr val="004563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3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806933550132249E-2"/>
          <c:y val="9.4486306741537782E-2"/>
          <c:w val="0.90045357141064819"/>
          <c:h val="0.7661059014131465"/>
        </c:manualLayout>
      </c:layout>
      <c:barChart>
        <c:barDir val="col"/>
        <c:grouping val="stacked"/>
        <c:varyColors val="0"/>
        <c:ser>
          <c:idx val="3"/>
          <c:order val="0"/>
          <c:tx>
            <c:strRef>
              <c:f>'Data 2'!$B$118</c:f>
              <c:strCache>
                <c:ptCount val="1"/>
                <c:pt idx="0">
                  <c:v>Carbón</c:v>
                </c:pt>
              </c:strCache>
            </c:strRef>
          </c:tx>
          <c:spPr>
            <a:solidFill>
              <a:srgbClr val="993300"/>
            </a:solidFill>
            <a:ln>
              <a:noFill/>
            </a:ln>
            <a:effectLst/>
          </c:spPr>
          <c:invertIfNegative val="0"/>
          <c:cat>
            <c:strRef>
              <c:f>'Data 2'!$C$117:$O$117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'Data 2'!$C$118:$O$118</c:f>
              <c:numCache>
                <c:formatCode>#,##0.0</c:formatCode>
                <c:ptCount val="13"/>
                <c:pt idx="0">
                  <c:v>6150</c:v>
                </c:pt>
                <c:pt idx="1">
                  <c:v>0</c:v>
                </c:pt>
                <c:pt idx="2">
                  <c:v>610</c:v>
                </c:pt>
                <c:pt idx="3">
                  <c:v>70</c:v>
                </c:pt>
                <c:pt idx="4">
                  <c:v>673.2</c:v>
                </c:pt>
                <c:pt idx="5">
                  <c:v>0</c:v>
                </c:pt>
                <c:pt idx="6">
                  <c:v>1372.5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374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ser>
          <c:idx val="4"/>
          <c:order val="1"/>
          <c:tx>
            <c:strRef>
              <c:f>'Data 2'!$B$119</c:f>
              <c:strCache>
                <c:ptCount val="1"/>
                <c:pt idx="0">
                  <c:v>Ciclo Combinado</c:v>
                </c:pt>
              </c:strCache>
            </c:strRef>
          </c:tx>
          <c:spPr>
            <a:solidFill>
              <a:srgbClr val="FFCC66"/>
            </a:solidFill>
            <a:ln>
              <a:noFill/>
            </a:ln>
            <a:effectLst/>
          </c:spPr>
          <c:invertIfNegative val="0"/>
          <c:cat>
            <c:strRef>
              <c:f>'Data 2'!$C$117:$O$117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'Data 2'!$C$119:$O$119</c:f>
              <c:numCache>
                <c:formatCode>#,##0.0</c:formatCode>
                <c:ptCount val="13"/>
                <c:pt idx="0">
                  <c:v>9508.4</c:v>
                </c:pt>
                <c:pt idx="1">
                  <c:v>19740.7</c:v>
                </c:pt>
                <c:pt idx="2">
                  <c:v>6714.7</c:v>
                </c:pt>
                <c:pt idx="3">
                  <c:v>3116.9</c:v>
                </c:pt>
                <c:pt idx="4">
                  <c:v>5702.5</c:v>
                </c:pt>
                <c:pt idx="5">
                  <c:v>4906.7</c:v>
                </c:pt>
                <c:pt idx="6">
                  <c:v>12488.5</c:v>
                </c:pt>
                <c:pt idx="7">
                  <c:v>9962.2999999999993</c:v>
                </c:pt>
                <c:pt idx="8">
                  <c:v>10119.200000000001</c:v>
                </c:pt>
                <c:pt idx="9">
                  <c:v>8034.3</c:v>
                </c:pt>
                <c:pt idx="10">
                  <c:v>3967.2</c:v>
                </c:pt>
                <c:pt idx="11">
                  <c:v>4799.8</c:v>
                </c:pt>
                <c:pt idx="12">
                  <c:v>9167.2000000000007</c:v>
                </c:pt>
              </c:numCache>
            </c:numRef>
          </c:val>
        </c:ser>
        <c:ser>
          <c:idx val="5"/>
          <c:order val="2"/>
          <c:tx>
            <c:strRef>
              <c:f>'Data 2'!$B$120</c:f>
              <c:strCache>
                <c:ptCount val="1"/>
                <c:pt idx="0">
                  <c:v>Cogeneración</c:v>
                </c:pt>
              </c:strCache>
            </c:strRef>
          </c:tx>
          <c:spPr>
            <a:solidFill>
              <a:srgbClr val="CFA2CA"/>
            </a:solidFill>
            <a:ln>
              <a:noFill/>
            </a:ln>
            <a:effectLst/>
          </c:spPr>
          <c:invertIfNegative val="0"/>
          <c:cat>
            <c:strRef>
              <c:f>'Data 2'!$C$117:$O$117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'Data 2'!$C$120:$O$120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ser>
          <c:idx val="6"/>
          <c:order val="3"/>
          <c:tx>
            <c:strRef>
              <c:f>'Data 2'!$B$121</c:f>
              <c:strCache>
                <c:ptCount val="1"/>
                <c:pt idx="0">
                  <c:v>Consumo Bombeo</c:v>
                </c:pt>
              </c:strCache>
            </c:strRef>
          </c:tx>
          <c:spPr>
            <a:solidFill>
              <a:srgbClr val="2C4D75"/>
            </a:solidFill>
            <a:ln>
              <a:noFill/>
            </a:ln>
            <a:effectLst/>
          </c:spPr>
          <c:invertIfNegative val="0"/>
          <c:cat>
            <c:strRef>
              <c:f>'Data 2'!$C$117:$O$117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'Data 2'!$C$121:$O$121</c:f>
              <c:numCache>
                <c:formatCode>#,##0.0</c:formatCode>
                <c:ptCount val="13"/>
                <c:pt idx="0">
                  <c:v>1469.4</c:v>
                </c:pt>
                <c:pt idx="1">
                  <c:v>1177.9000000000001</c:v>
                </c:pt>
                <c:pt idx="2">
                  <c:v>1740</c:v>
                </c:pt>
                <c:pt idx="3">
                  <c:v>762.7</c:v>
                </c:pt>
                <c:pt idx="4">
                  <c:v>1567.6</c:v>
                </c:pt>
                <c:pt idx="5">
                  <c:v>593.20000000000005</c:v>
                </c:pt>
                <c:pt idx="6">
                  <c:v>3675.7</c:v>
                </c:pt>
                <c:pt idx="7">
                  <c:v>123.8</c:v>
                </c:pt>
                <c:pt idx="8">
                  <c:v>1038.2</c:v>
                </c:pt>
                <c:pt idx="9">
                  <c:v>863.8</c:v>
                </c:pt>
                <c:pt idx="10">
                  <c:v>2746.1</c:v>
                </c:pt>
                <c:pt idx="11">
                  <c:v>3776.1</c:v>
                </c:pt>
                <c:pt idx="12">
                  <c:v>319.8</c:v>
                </c:pt>
              </c:numCache>
            </c:numRef>
          </c:val>
        </c:ser>
        <c:ser>
          <c:idx val="7"/>
          <c:order val="4"/>
          <c:tx>
            <c:strRef>
              <c:f>'Data 2'!$B$122</c:f>
              <c:strCache>
                <c:ptCount val="1"/>
                <c:pt idx="0">
                  <c:v>Enlace Península Baleares</c:v>
                </c:pt>
              </c:strCache>
            </c:strRef>
          </c:tx>
          <c:spPr>
            <a:solidFill>
              <a:srgbClr val="A99BBD"/>
            </a:solidFill>
            <a:ln>
              <a:noFill/>
            </a:ln>
            <a:effectLst/>
          </c:spPr>
          <c:invertIfNegative val="0"/>
          <c:cat>
            <c:strRef>
              <c:f>'Data 2'!$C$117:$O$117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'Data 2'!$C$122:$O$122</c:f>
              <c:numCache>
                <c:formatCode>#,##0.0</c:formatCode>
                <c:ptCount val="13"/>
                <c:pt idx="0">
                  <c:v>0</c:v>
                </c:pt>
                <c:pt idx="1">
                  <c:v>20.399999999999999</c:v>
                </c:pt>
                <c:pt idx="2">
                  <c:v>132.6</c:v>
                </c:pt>
                <c:pt idx="3">
                  <c:v>846.6</c:v>
                </c:pt>
                <c:pt idx="4">
                  <c:v>28.4</c:v>
                </c:pt>
                <c:pt idx="5">
                  <c:v>844.1</c:v>
                </c:pt>
                <c:pt idx="6">
                  <c:v>1561.2</c:v>
                </c:pt>
                <c:pt idx="7">
                  <c:v>0</c:v>
                </c:pt>
                <c:pt idx="8">
                  <c:v>495.2</c:v>
                </c:pt>
                <c:pt idx="9">
                  <c:v>0</c:v>
                </c:pt>
                <c:pt idx="10">
                  <c:v>58.6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ser>
          <c:idx val="8"/>
          <c:order val="5"/>
          <c:tx>
            <c:strRef>
              <c:f>'Data 2'!$B$123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70AD47"/>
            </a:solidFill>
            <a:ln>
              <a:noFill/>
            </a:ln>
            <a:effectLst/>
          </c:spPr>
          <c:invertIfNegative val="0"/>
          <c:cat>
            <c:strRef>
              <c:f>'Data 2'!$C$117:$O$117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'Data 2'!$C$123:$O$123</c:f>
              <c:numCache>
                <c:formatCode>#,##0.0</c:formatCode>
                <c:ptCount val="13"/>
                <c:pt idx="0">
                  <c:v>0</c:v>
                </c:pt>
                <c:pt idx="1">
                  <c:v>43.7</c:v>
                </c:pt>
                <c:pt idx="2">
                  <c:v>93.7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ser>
          <c:idx val="9"/>
          <c:order val="6"/>
          <c:tx>
            <c:strRef>
              <c:f>'Data 2'!$B$124</c:f>
              <c:strCache>
                <c:ptCount val="1"/>
                <c:pt idx="0">
                  <c:v>Hidráulica</c:v>
                </c:pt>
              </c:strCache>
            </c:strRef>
          </c:tx>
          <c:spPr>
            <a:solidFill>
              <a:srgbClr val="0090D1"/>
            </a:solidFill>
            <a:ln>
              <a:noFill/>
            </a:ln>
            <a:effectLst/>
          </c:spPr>
          <c:invertIfNegative val="0"/>
          <c:cat>
            <c:strRef>
              <c:f>'Data 2'!$C$117:$O$117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'Data 2'!$C$124:$O$124</c:f>
              <c:numCache>
                <c:formatCode>#,##0.0</c:formatCode>
                <c:ptCount val="13"/>
                <c:pt idx="0">
                  <c:v>198</c:v>
                </c:pt>
                <c:pt idx="1">
                  <c:v>849.6</c:v>
                </c:pt>
                <c:pt idx="2">
                  <c:v>0</c:v>
                </c:pt>
                <c:pt idx="3">
                  <c:v>410</c:v>
                </c:pt>
                <c:pt idx="4">
                  <c:v>149.4</c:v>
                </c:pt>
                <c:pt idx="5">
                  <c:v>376.7</c:v>
                </c:pt>
                <c:pt idx="6">
                  <c:v>359.5</c:v>
                </c:pt>
                <c:pt idx="7">
                  <c:v>40</c:v>
                </c:pt>
                <c:pt idx="8">
                  <c:v>208.4</c:v>
                </c:pt>
                <c:pt idx="9">
                  <c:v>0</c:v>
                </c:pt>
                <c:pt idx="10">
                  <c:v>52.1</c:v>
                </c:pt>
                <c:pt idx="11">
                  <c:v>0</c:v>
                </c:pt>
                <c:pt idx="12">
                  <c:v>367.5</c:v>
                </c:pt>
              </c:numCache>
            </c:numRef>
          </c:val>
        </c:ser>
        <c:ser>
          <c:idx val="10"/>
          <c:order val="7"/>
          <c:tx>
            <c:strRef>
              <c:f>'Data 2'!$B$125</c:f>
              <c:strCache>
                <c:ptCount val="1"/>
                <c:pt idx="0">
                  <c:v>Internacionales</c:v>
                </c:pt>
              </c:strCache>
            </c:strRef>
          </c:tx>
          <c:spPr>
            <a:solidFill>
              <a:srgbClr val="91C3D5"/>
            </a:solidFill>
            <a:ln>
              <a:noFill/>
            </a:ln>
            <a:effectLst/>
          </c:spPr>
          <c:invertIfNegative val="0"/>
          <c:cat>
            <c:strRef>
              <c:f>'Data 2'!$C$117:$O$117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'Data 2'!$C$125:$O$125</c:f>
              <c:numCache>
                <c:formatCode>#,##0.0</c:formatCode>
                <c:ptCount val="13"/>
                <c:pt idx="0">
                  <c:v>2463.6</c:v>
                </c:pt>
                <c:pt idx="1">
                  <c:v>0</c:v>
                </c:pt>
                <c:pt idx="2">
                  <c:v>4549.7</c:v>
                </c:pt>
                <c:pt idx="3">
                  <c:v>0</c:v>
                </c:pt>
                <c:pt idx="4">
                  <c:v>0</c:v>
                </c:pt>
                <c:pt idx="5">
                  <c:v>973.2</c:v>
                </c:pt>
                <c:pt idx="6">
                  <c:v>1700.4</c:v>
                </c:pt>
                <c:pt idx="7">
                  <c:v>0</c:v>
                </c:pt>
                <c:pt idx="8">
                  <c:v>0</c:v>
                </c:pt>
                <c:pt idx="9">
                  <c:v>3635.7</c:v>
                </c:pt>
                <c:pt idx="10">
                  <c:v>0</c:v>
                </c:pt>
                <c:pt idx="11">
                  <c:v>5766.5</c:v>
                </c:pt>
                <c:pt idx="12">
                  <c:v>0</c:v>
                </c:pt>
              </c:numCache>
            </c:numRef>
          </c:val>
        </c:ser>
        <c:ser>
          <c:idx val="11"/>
          <c:order val="8"/>
          <c:tx>
            <c:strRef>
              <c:f>'Data 2'!$B$126</c:f>
              <c:strCache>
                <c:ptCount val="1"/>
                <c:pt idx="0">
                  <c:v>Otras Renovables</c:v>
                </c:pt>
              </c:strCache>
            </c:strRef>
          </c:tx>
          <c:spPr>
            <a:solidFill>
              <a:srgbClr val="808000"/>
            </a:solidFill>
            <a:ln>
              <a:noFill/>
            </a:ln>
            <a:effectLst/>
          </c:spPr>
          <c:invertIfNegative val="0"/>
          <c:cat>
            <c:strRef>
              <c:f>'Data 2'!$C$117:$O$117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'Data 2'!$C$126:$O$126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ser>
          <c:idx val="12"/>
          <c:order val="9"/>
          <c:tx>
            <c:strRef>
              <c:f>'Data 2'!$B$127</c:f>
              <c:strCache>
                <c:ptCount val="1"/>
                <c:pt idx="0">
                  <c:v>Residuos no Renovables</c:v>
                </c:pt>
              </c:strCache>
            </c:strRef>
          </c:tx>
          <c:spPr>
            <a:solidFill>
              <a:srgbClr val="666666"/>
            </a:solidFill>
            <a:ln>
              <a:noFill/>
            </a:ln>
            <a:effectLst/>
          </c:spPr>
          <c:invertIfNegative val="0"/>
          <c:cat>
            <c:strRef>
              <c:f>'Data 2'!$C$117:$O$117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'Data 2'!$C$127:$O$127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ser>
          <c:idx val="13"/>
          <c:order val="10"/>
          <c:tx>
            <c:strRef>
              <c:f>'Data 2'!$B$128</c:f>
              <c:strCache>
                <c:ptCount val="1"/>
                <c:pt idx="0">
                  <c:v>Solar fotovoltaica</c:v>
                </c:pt>
              </c:strCache>
            </c:strRef>
          </c:tx>
          <c:spPr>
            <a:solidFill>
              <a:srgbClr val="ED7D31"/>
            </a:solidFill>
            <a:ln>
              <a:noFill/>
            </a:ln>
            <a:effectLst/>
          </c:spPr>
          <c:invertIfNegative val="0"/>
          <c:cat>
            <c:strRef>
              <c:f>'Data 2'!$C$117:$O$117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'Data 2'!$C$128:$O$128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ser>
          <c:idx val="14"/>
          <c:order val="11"/>
          <c:tx>
            <c:strRef>
              <c:f>'Data 2'!$B$129</c:f>
              <c:strCache>
                <c:ptCount val="1"/>
                <c:pt idx="0">
                  <c:v>Turbinación bombeo</c:v>
                </c:pt>
              </c:strCache>
            </c:strRef>
          </c:tx>
          <c:spPr>
            <a:solidFill>
              <a:srgbClr val="95B3D7"/>
            </a:solidFill>
            <a:ln>
              <a:noFill/>
            </a:ln>
            <a:effectLst/>
          </c:spPr>
          <c:invertIfNegative val="0"/>
          <c:cat>
            <c:strRef>
              <c:f>'Data 2'!$C$117:$O$117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'Data 2'!$C$129:$O$129</c:f>
              <c:numCache>
                <c:formatCode>#,##0.0</c:formatCode>
                <c:ptCount val="13"/>
                <c:pt idx="0">
                  <c:v>2519.6999999999998</c:v>
                </c:pt>
                <c:pt idx="1">
                  <c:v>6709.7</c:v>
                </c:pt>
                <c:pt idx="2">
                  <c:v>7385.9</c:v>
                </c:pt>
                <c:pt idx="3">
                  <c:v>1489.3</c:v>
                </c:pt>
                <c:pt idx="4">
                  <c:v>940.1</c:v>
                </c:pt>
                <c:pt idx="5">
                  <c:v>7214.8</c:v>
                </c:pt>
                <c:pt idx="6">
                  <c:v>1397.9</c:v>
                </c:pt>
                <c:pt idx="7">
                  <c:v>759.3</c:v>
                </c:pt>
                <c:pt idx="8">
                  <c:v>2510.5</c:v>
                </c:pt>
                <c:pt idx="9">
                  <c:v>1650.6</c:v>
                </c:pt>
                <c:pt idx="10">
                  <c:v>774.9</c:v>
                </c:pt>
                <c:pt idx="11">
                  <c:v>1181.9000000000001</c:v>
                </c:pt>
                <c:pt idx="12">
                  <c:v>436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59235896"/>
        <c:axId val="259236288"/>
      </c:barChart>
      <c:lineChart>
        <c:grouping val="standard"/>
        <c:varyColors val="0"/>
        <c:ser>
          <c:idx val="2"/>
          <c:order val="12"/>
          <c:tx>
            <c:v>Precio medio subir</c:v>
          </c:tx>
          <c:spPr>
            <a:ln w="28575" cap="rnd">
              <a:solidFill>
                <a:srgbClr val="004563"/>
              </a:solidFill>
              <a:round/>
            </a:ln>
            <a:effectLst/>
          </c:spPr>
          <c:marker>
            <c:symbol val="none"/>
          </c:marker>
          <c:cat>
            <c:strRef>
              <c:f>'Data 2'!$C$117:$O$117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'Data 2'!$C$147:$O$147</c:f>
              <c:numCache>
                <c:formatCode>#,##0.0</c:formatCode>
                <c:ptCount val="13"/>
                <c:pt idx="0">
                  <c:v>106.2718796366</c:v>
                </c:pt>
                <c:pt idx="1">
                  <c:v>110.2333782116</c:v>
                </c:pt>
                <c:pt idx="2">
                  <c:v>83.828092822599999</c:v>
                </c:pt>
                <c:pt idx="3">
                  <c:v>118.2418215391</c:v>
                </c:pt>
                <c:pt idx="4">
                  <c:v>91.525396333399996</c:v>
                </c:pt>
                <c:pt idx="5">
                  <c:v>88.581907768400001</c:v>
                </c:pt>
                <c:pt idx="6">
                  <c:v>86.157873728799999</c:v>
                </c:pt>
                <c:pt idx="7">
                  <c:v>132.9255103166</c:v>
                </c:pt>
                <c:pt idx="8">
                  <c:v>162.3070364578</c:v>
                </c:pt>
                <c:pt idx="9">
                  <c:v>156.44702913059999</c:v>
                </c:pt>
                <c:pt idx="10">
                  <c:v>137.28795092429999</c:v>
                </c:pt>
                <c:pt idx="11">
                  <c:v>95.193314352300007</c:v>
                </c:pt>
                <c:pt idx="12">
                  <c:v>113.42185996790001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9237072"/>
        <c:axId val="259236680"/>
      </c:lineChart>
      <c:catAx>
        <c:axId val="2592358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004563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59236288"/>
        <c:crosses val="autoZero"/>
        <c:auto val="1"/>
        <c:lblAlgn val="ctr"/>
        <c:lblOffset val="100"/>
        <c:noMultiLvlLbl val="0"/>
      </c:catAx>
      <c:valAx>
        <c:axId val="259236288"/>
        <c:scaling>
          <c:orientation val="minMax"/>
          <c:max val="120000"/>
        </c:scaling>
        <c:delete val="0"/>
        <c:axPos val="l"/>
        <c:majorGridlines>
          <c:spPr>
            <a:ln w="3175" cap="flat" cmpd="sng" algn="ctr">
              <a:solidFill>
                <a:srgbClr val="004563"/>
              </a:solidFill>
              <a:prstDash val="sysDot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/>
                  <a:t>GWh</a:t>
                </a:r>
              </a:p>
            </c:rich>
          </c:tx>
          <c:layout>
            <c:manualLayout>
              <c:xMode val="edge"/>
              <c:yMode val="edge"/>
              <c:x val="1.9573578595317727E-2"/>
              <c:y val="1.311762034514078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59235896"/>
        <c:crosses val="autoZero"/>
        <c:crossBetween val="between"/>
        <c:majorUnit val="20000"/>
        <c:dispUnits>
          <c:builtInUnit val="thousands"/>
        </c:dispUnits>
      </c:valAx>
      <c:valAx>
        <c:axId val="259236680"/>
        <c:scaling>
          <c:orientation val="minMax"/>
          <c:max val="180"/>
          <c:min val="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/>
                  <a:t>€/MWh</a:t>
                </a:r>
              </a:p>
            </c:rich>
          </c:tx>
          <c:layout>
            <c:manualLayout>
              <c:xMode val="edge"/>
              <c:yMode val="edge"/>
              <c:x val="0.94723509582205234"/>
              <c:y val="1.0123372691492585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59237072"/>
        <c:crosses val="max"/>
        <c:crossBetween val="between"/>
        <c:majorUnit val="30"/>
      </c:valAx>
      <c:catAx>
        <c:axId val="25923707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5923668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8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solidFill>
            <a:srgbClr val="004563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3"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678346448125537E-2"/>
          <c:y val="0.10511047672825757"/>
          <c:w val="0.90515649526328479"/>
          <c:h val="0.77533770430090676"/>
        </c:manualLayout>
      </c:layout>
      <c:barChart>
        <c:barDir val="col"/>
        <c:grouping val="stacked"/>
        <c:varyColors val="0"/>
        <c:ser>
          <c:idx val="4"/>
          <c:order val="1"/>
          <c:tx>
            <c:strRef>
              <c:f>'Data 2'!$B$164</c:f>
              <c:strCache>
                <c:ptCount val="1"/>
                <c:pt idx="0">
                  <c:v>Carbón</c:v>
                </c:pt>
              </c:strCache>
            </c:strRef>
          </c:tx>
          <c:spPr>
            <a:solidFill>
              <a:srgbClr val="993300"/>
            </a:solidFill>
            <a:ln>
              <a:noFill/>
            </a:ln>
            <a:effectLst/>
          </c:spPr>
          <c:invertIfNegative val="0"/>
          <c:cat>
            <c:strRef>
              <c:f>'M14'!$O$4:$AA$4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'Data 2'!$C$164:$O$164</c:f>
              <c:numCache>
                <c:formatCode>#,##0.0</c:formatCode>
                <c:ptCount val="13"/>
                <c:pt idx="0">
                  <c:v>1383.6</c:v>
                </c:pt>
                <c:pt idx="1">
                  <c:v>6612.9</c:v>
                </c:pt>
                <c:pt idx="2">
                  <c:v>3055</c:v>
                </c:pt>
                <c:pt idx="3">
                  <c:v>341</c:v>
                </c:pt>
                <c:pt idx="4">
                  <c:v>4305</c:v>
                </c:pt>
                <c:pt idx="5">
                  <c:v>0</c:v>
                </c:pt>
                <c:pt idx="6">
                  <c:v>0</c:v>
                </c:pt>
                <c:pt idx="7">
                  <c:v>3306.6</c:v>
                </c:pt>
                <c:pt idx="8">
                  <c:v>27914.400000000001</c:v>
                </c:pt>
                <c:pt idx="9">
                  <c:v>23926.9</c:v>
                </c:pt>
                <c:pt idx="10">
                  <c:v>3200.6</c:v>
                </c:pt>
                <c:pt idx="11">
                  <c:v>10696.2</c:v>
                </c:pt>
                <c:pt idx="12">
                  <c:v>4341.8999999999996</c:v>
                </c:pt>
              </c:numCache>
            </c:numRef>
          </c:val>
        </c:ser>
        <c:ser>
          <c:idx val="5"/>
          <c:order val="2"/>
          <c:tx>
            <c:strRef>
              <c:f>'Data 2'!$B$165</c:f>
              <c:strCache>
                <c:ptCount val="1"/>
                <c:pt idx="0">
                  <c:v>Ciclo Combinado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'M14'!$O$4:$AA$4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'Data 2'!$C$165:$O$165</c:f>
              <c:numCache>
                <c:formatCode>#,##0.0</c:formatCode>
                <c:ptCount val="13"/>
                <c:pt idx="0">
                  <c:v>10714</c:v>
                </c:pt>
                <c:pt idx="1">
                  <c:v>64802.400000000001</c:v>
                </c:pt>
                <c:pt idx="2">
                  <c:v>6101.5</c:v>
                </c:pt>
                <c:pt idx="3">
                  <c:v>2659</c:v>
                </c:pt>
                <c:pt idx="4">
                  <c:v>11713</c:v>
                </c:pt>
                <c:pt idx="5">
                  <c:v>0</c:v>
                </c:pt>
                <c:pt idx="6">
                  <c:v>15430.5</c:v>
                </c:pt>
                <c:pt idx="7">
                  <c:v>27967.5</c:v>
                </c:pt>
                <c:pt idx="8">
                  <c:v>638167.19999999995</c:v>
                </c:pt>
                <c:pt idx="9">
                  <c:v>455734.5</c:v>
                </c:pt>
                <c:pt idx="10">
                  <c:v>67420.5</c:v>
                </c:pt>
                <c:pt idx="11">
                  <c:v>39454.699999999997</c:v>
                </c:pt>
                <c:pt idx="12">
                  <c:v>58215.4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259237856"/>
        <c:axId val="259238248"/>
        <c:extLst>
          <c:ext xmlns:c15="http://schemas.microsoft.com/office/drawing/2012/chart" uri="{02D57815-91ED-43cb-92C2-25804820EDAC}">
            <c15:filteredBar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'Data 2'!$B$163</c15:sqref>
                        </c15:formulaRef>
                      </c:ext>
                    </c:extLst>
                    <c:strCache>
                      <c:ptCount val="1"/>
                      <c:pt idx="0">
                        <c:v>Adquisición de Energía</c:v>
                      </c:pt>
                    </c:strCache>
                  </c:strRef>
                </c:tx>
                <c:spPr>
                  <a:solidFill>
                    <a:srgbClr val="0070C0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'M14'!$O$4:$AA$4</c15:sqref>
                        </c15:formulaRef>
                      </c:ext>
                    </c:extLst>
                    <c:strCache>
                      <c:ptCount val="13"/>
                      <c:pt idx="0">
                        <c:v>F</c:v>
                      </c:pt>
                      <c:pt idx="1">
                        <c:v>M</c:v>
                      </c:pt>
                      <c:pt idx="2">
                        <c:v>A</c:v>
                      </c:pt>
                      <c:pt idx="3">
                        <c:v>M</c:v>
                      </c:pt>
                      <c:pt idx="4">
                        <c:v>J</c:v>
                      </c:pt>
                      <c:pt idx="5">
                        <c:v>J</c:v>
                      </c:pt>
                      <c:pt idx="6">
                        <c:v>A</c:v>
                      </c:pt>
                      <c:pt idx="7">
                        <c:v>S</c:v>
                      </c:pt>
                      <c:pt idx="8">
                        <c:v>O</c:v>
                      </c:pt>
                      <c:pt idx="9">
                        <c:v>N</c:v>
                      </c:pt>
                      <c:pt idx="10">
                        <c:v>D</c:v>
                      </c:pt>
                      <c:pt idx="11">
                        <c:v>E</c:v>
                      </c:pt>
                      <c:pt idx="12">
                        <c:v>F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'Data 2'!$C$163:$O$163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</c15:ser>
            </c15:filteredBarSeries>
            <c15:filteredBarSeries>
              <c15:ser>
                <c:idx val="6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'Data 2'!$B$166</c15:sqref>
                        </c15:formulaRef>
                      </c:ext>
                    </c:extLst>
                    <c:strCache>
                      <c:ptCount val="1"/>
                      <c:pt idx="0">
                        <c:v>Cogeneración</c:v>
                      </c:pt>
                    </c:strCache>
                  </c:strRef>
                </c:tx>
                <c:spPr>
                  <a:solidFill>
                    <a:srgbClr val="7030A0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'M14'!$O$4:$AA$4</c15:sqref>
                        </c15:formulaRef>
                      </c:ext>
                    </c:extLst>
                    <c:strCache>
                      <c:ptCount val="13"/>
                      <c:pt idx="0">
                        <c:v>F</c:v>
                      </c:pt>
                      <c:pt idx="1">
                        <c:v>M</c:v>
                      </c:pt>
                      <c:pt idx="2">
                        <c:v>A</c:v>
                      </c:pt>
                      <c:pt idx="3">
                        <c:v>M</c:v>
                      </c:pt>
                      <c:pt idx="4">
                        <c:v>J</c:v>
                      </c:pt>
                      <c:pt idx="5">
                        <c:v>J</c:v>
                      </c:pt>
                      <c:pt idx="6">
                        <c:v>A</c:v>
                      </c:pt>
                      <c:pt idx="7">
                        <c:v>S</c:v>
                      </c:pt>
                      <c:pt idx="8">
                        <c:v>O</c:v>
                      </c:pt>
                      <c:pt idx="9">
                        <c:v>N</c:v>
                      </c:pt>
                      <c:pt idx="10">
                        <c:v>D</c:v>
                      </c:pt>
                      <c:pt idx="11">
                        <c:v>E</c:v>
                      </c:pt>
                      <c:pt idx="12">
                        <c:v>F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'Data 2'!$C$166:$O$166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</c15:ser>
            </c15:filteredBarSeries>
            <c15:filteredBarSeries>
              <c15:ser>
                <c:idx val="7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'Data 2'!$B$167</c15:sqref>
                        </c15:formulaRef>
                      </c:ext>
                    </c:extLst>
                    <c:strCache>
                      <c:ptCount val="1"/>
                      <c:pt idx="0">
                        <c:v>Consumo Bombeo</c:v>
                      </c:pt>
                    </c:strCache>
                  </c:strRef>
                </c:tx>
                <c:spPr>
                  <a:solidFill>
                    <a:srgbClr val="FF3399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'M14'!$O$4:$AA$4</c15:sqref>
                        </c15:formulaRef>
                      </c:ext>
                    </c:extLst>
                    <c:strCache>
                      <c:ptCount val="13"/>
                      <c:pt idx="0">
                        <c:v>F</c:v>
                      </c:pt>
                      <c:pt idx="1">
                        <c:v>M</c:v>
                      </c:pt>
                      <c:pt idx="2">
                        <c:v>A</c:v>
                      </c:pt>
                      <c:pt idx="3">
                        <c:v>M</c:v>
                      </c:pt>
                      <c:pt idx="4">
                        <c:v>J</c:v>
                      </c:pt>
                      <c:pt idx="5">
                        <c:v>J</c:v>
                      </c:pt>
                      <c:pt idx="6">
                        <c:v>A</c:v>
                      </c:pt>
                      <c:pt idx="7">
                        <c:v>S</c:v>
                      </c:pt>
                      <c:pt idx="8">
                        <c:v>O</c:v>
                      </c:pt>
                      <c:pt idx="9">
                        <c:v>N</c:v>
                      </c:pt>
                      <c:pt idx="10">
                        <c:v>D</c:v>
                      </c:pt>
                      <c:pt idx="11">
                        <c:v>E</c:v>
                      </c:pt>
                      <c:pt idx="12">
                        <c:v>F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'Data 2'!$C$167:$O$167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</c15:ser>
            </c15:filteredBarSeries>
          </c:ext>
        </c:extLst>
      </c:barChart>
      <c:lineChart>
        <c:grouping val="standard"/>
        <c:varyColors val="0"/>
        <c:ser>
          <c:idx val="8"/>
          <c:order val="5"/>
          <c:tx>
            <c:v>Precio medio</c:v>
          </c:tx>
          <c:spPr>
            <a:ln w="28575" cap="rnd">
              <a:solidFill>
                <a:srgbClr val="004563"/>
              </a:solidFill>
              <a:round/>
            </a:ln>
            <a:effectLst/>
          </c:spPr>
          <c:marker>
            <c:symbol val="none"/>
          </c:marker>
          <c:val>
            <c:numRef>
              <c:f>'Data 2'!$C$179:$O$179</c:f>
              <c:numCache>
                <c:formatCode>#,##0.0</c:formatCode>
                <c:ptCount val="13"/>
                <c:pt idx="0">
                  <c:v>27.787926530899998</c:v>
                </c:pt>
                <c:pt idx="1">
                  <c:v>22.1695571817</c:v>
                </c:pt>
                <c:pt idx="2">
                  <c:v>20</c:v>
                </c:pt>
                <c:pt idx="3">
                  <c:v>3</c:v>
                </c:pt>
                <c:pt idx="4">
                  <c:v>12.8</c:v>
                </c:pt>
                <c:pt idx="5">
                  <c:v>0</c:v>
                </c:pt>
                <c:pt idx="6">
                  <c:v>23.340193253599999</c:v>
                </c:pt>
                <c:pt idx="7">
                  <c:v>21.599768498500001</c:v>
                </c:pt>
                <c:pt idx="8">
                  <c:v>20.4834082251</c:v>
                </c:pt>
                <c:pt idx="9">
                  <c:v>7.6688870712000003</c:v>
                </c:pt>
                <c:pt idx="10">
                  <c:v>8.8270115871999995</c:v>
                </c:pt>
                <c:pt idx="11">
                  <c:v>9.1079265776000007</c:v>
                </c:pt>
                <c:pt idx="12">
                  <c:v>20.767300458899999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9805336"/>
        <c:axId val="259804944"/>
      </c:lineChart>
      <c:catAx>
        <c:axId val="2592378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004563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59238248"/>
        <c:crosses val="autoZero"/>
        <c:auto val="1"/>
        <c:lblAlgn val="ctr"/>
        <c:lblOffset val="100"/>
        <c:noMultiLvlLbl val="0"/>
      </c:catAx>
      <c:valAx>
        <c:axId val="259238248"/>
        <c:scaling>
          <c:orientation val="minMax"/>
          <c:max val="800000"/>
        </c:scaling>
        <c:delete val="0"/>
        <c:axPos val="l"/>
        <c:majorGridlines>
          <c:spPr>
            <a:ln w="3175" cap="flat" cmpd="sng" algn="ctr">
              <a:solidFill>
                <a:srgbClr val="004563"/>
              </a:solidFill>
              <a:prstDash val="sysDot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>
                    <a:solidFill>
                      <a:srgbClr val="004563"/>
                    </a:solidFill>
                  </a:rPr>
                  <a:t>GW</a:t>
                </a:r>
              </a:p>
            </c:rich>
          </c:tx>
          <c:layout>
            <c:manualLayout>
              <c:xMode val="edge"/>
              <c:yMode val="edge"/>
              <c:x val="1.2833820249434932E-2"/>
              <c:y val="3.653529563951506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59237856"/>
        <c:crosses val="autoZero"/>
        <c:crossBetween val="between"/>
        <c:majorUnit val="100000"/>
        <c:dispUnits>
          <c:builtInUnit val="thousands"/>
        </c:dispUnits>
      </c:valAx>
      <c:valAx>
        <c:axId val="259804944"/>
        <c:scaling>
          <c:orientation val="minMax"/>
          <c:max val="4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>
                    <a:solidFill>
                      <a:srgbClr val="004563"/>
                    </a:solidFill>
                  </a:rPr>
                  <a:t>€/MW</a:t>
                </a:r>
              </a:p>
            </c:rich>
          </c:tx>
          <c:layout>
            <c:manualLayout>
              <c:xMode val="edge"/>
              <c:yMode val="edge"/>
              <c:x val="0.94474339045148059"/>
              <c:y val="2.7278613067939744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59805336"/>
        <c:crosses val="max"/>
        <c:crossBetween val="between"/>
      </c:valAx>
      <c:catAx>
        <c:axId val="259805336"/>
        <c:scaling>
          <c:orientation val="minMax"/>
        </c:scaling>
        <c:delete val="1"/>
        <c:axPos val="b"/>
        <c:majorTickMark val="out"/>
        <c:minorTickMark val="none"/>
        <c:tickLblPos val="nextTo"/>
        <c:crossAx val="25980494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3.6508120108901129E-2"/>
          <c:y val="0.94186719838370736"/>
          <c:w val="0.39065857136919097"/>
          <c:h val="5.155197415755692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>
        <a:lumMod val="8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/>
      </a:pPr>
      <a:endParaRPr lang="es-ES"/>
    </a:p>
  </c:txPr>
  <c:printSettings>
    <c:headerFooter/>
    <c:pageMargins b="0.75" l="0.7" r="0.7" t="0.75" header="0.3" footer="0.3"/>
    <c:pageSetup paperSize="9" orientation="landscape" horizontalDpi="355" verticalDpi="355"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2693813070936983E-2"/>
          <c:y val="0.20901159094243654"/>
          <c:w val="0.87712252783722078"/>
          <c:h val="0.6673859245855137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'Data 1'!$C$43:$C$44</c:f>
              <c:strCache>
                <c:ptCount val="2"/>
                <c:pt idx="0">
                  <c:v>Hidráulica</c:v>
                </c:pt>
              </c:strCache>
            </c:strRef>
          </c:tx>
          <c:spPr>
            <a:solidFill>
              <a:srgbClr val="0090D1"/>
            </a:solidFill>
            <a:ln>
              <a:noFill/>
            </a:ln>
          </c:spPr>
          <c:invertIfNegative val="0"/>
          <c:cat>
            <c:strRef>
              <c:f>'Data 1'!$A$45:$A$57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'Data 1'!$C$45:$C$57</c:f>
              <c:numCache>
                <c:formatCode>0.0</c:formatCode>
                <c:ptCount val="13"/>
                <c:pt idx="0">
                  <c:v>33.382936507936506</c:v>
                </c:pt>
                <c:pt idx="1">
                  <c:v>43.965903992821893</c:v>
                </c:pt>
                <c:pt idx="2">
                  <c:v>40.798611111111114</c:v>
                </c:pt>
                <c:pt idx="3">
                  <c:v>40.143369175627242</c:v>
                </c:pt>
                <c:pt idx="4">
                  <c:v>46.087962962962969</c:v>
                </c:pt>
                <c:pt idx="5">
                  <c:v>37.298387096774199</c:v>
                </c:pt>
                <c:pt idx="6">
                  <c:v>36.04390681003585</c:v>
                </c:pt>
                <c:pt idx="7">
                  <c:v>38.946759259259267</c:v>
                </c:pt>
                <c:pt idx="8">
                  <c:v>39.807347670250891</c:v>
                </c:pt>
                <c:pt idx="9">
                  <c:v>33.518518518518519</c:v>
                </c:pt>
                <c:pt idx="10">
                  <c:v>37.141577060931901</c:v>
                </c:pt>
                <c:pt idx="11">
                  <c:v>34.65501792114695</c:v>
                </c:pt>
                <c:pt idx="12">
                  <c:v>48.387896825396837</c:v>
                </c:pt>
              </c:numCache>
            </c:numRef>
          </c:val>
        </c:ser>
        <c:ser>
          <c:idx val="1"/>
          <c:order val="1"/>
          <c:tx>
            <c:strRef>
              <c:f>'Data 1'!$D$43:$D$44</c:f>
              <c:strCache>
                <c:ptCount val="2"/>
                <c:pt idx="0">
                  <c:v>Bombeo</c:v>
                </c:pt>
              </c:strCache>
            </c:strRef>
          </c:tx>
          <c:spPr>
            <a:solidFill>
              <a:srgbClr val="95B3D7"/>
            </a:solidFill>
            <a:ln>
              <a:noFill/>
            </a:ln>
          </c:spPr>
          <c:invertIfNegative val="0"/>
          <c:cat>
            <c:strRef>
              <c:f>'Data 1'!$A$45:$A$57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'Data 1'!$D$45:$D$57</c:f>
              <c:numCache>
                <c:formatCode>0.0</c:formatCode>
                <c:ptCount val="13"/>
                <c:pt idx="0">
                  <c:v>13.640873015873014</c:v>
                </c:pt>
                <c:pt idx="1">
                  <c:v>14.984297891431133</c:v>
                </c:pt>
                <c:pt idx="2">
                  <c:v>13.738425925925924</c:v>
                </c:pt>
                <c:pt idx="3">
                  <c:v>11.559139784946236</c:v>
                </c:pt>
                <c:pt idx="4">
                  <c:v>3.981481481481481</c:v>
                </c:pt>
                <c:pt idx="5">
                  <c:v>4.7827060931899634</c:v>
                </c:pt>
                <c:pt idx="6">
                  <c:v>10.360663082437277</c:v>
                </c:pt>
                <c:pt idx="7">
                  <c:v>7.4074074074074066</c:v>
                </c:pt>
                <c:pt idx="8">
                  <c:v>6.25</c:v>
                </c:pt>
                <c:pt idx="9">
                  <c:v>10.11574074074074</c:v>
                </c:pt>
                <c:pt idx="10">
                  <c:v>8.736559139784946</c:v>
                </c:pt>
                <c:pt idx="11">
                  <c:v>14.448924731182796</c:v>
                </c:pt>
                <c:pt idx="12">
                  <c:v>4.8363095238095237</c:v>
                </c:pt>
              </c:numCache>
            </c:numRef>
          </c:val>
        </c:ser>
        <c:ser>
          <c:idx val="2"/>
          <c:order val="2"/>
          <c:tx>
            <c:strRef>
              <c:f>'Data 1'!$E$43:$E$44</c:f>
              <c:strCache>
                <c:ptCount val="2"/>
                <c:pt idx="0">
                  <c:v>Mibel importación desde sistema eléctrico español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</c:spPr>
          <c:invertIfNegative val="0"/>
          <c:cat>
            <c:strRef>
              <c:f>'Data 1'!$A$45:$A$57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'Data 1'!$E$45:$E$57</c:f>
              <c:numCache>
                <c:formatCode>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ser>
          <c:idx val="4"/>
          <c:order val="3"/>
          <c:tx>
            <c:strRef>
              <c:f>'Data 1'!$F$43:$F$44</c:f>
              <c:strCache>
                <c:ptCount val="2"/>
                <c:pt idx="0">
                  <c:v>Mibel importación desde sistema eléctrico portugués</c:v>
                </c:pt>
              </c:strCache>
            </c:strRef>
          </c:tx>
          <c:spPr>
            <a:solidFill>
              <a:srgbClr val="C0504D"/>
            </a:solidFill>
            <a:ln>
              <a:noFill/>
            </a:ln>
          </c:spPr>
          <c:invertIfNegative val="0"/>
          <c:cat>
            <c:strRef>
              <c:f>'Data 1'!$A$45:$A$57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'Data 1'!$F$45:$F$57</c:f>
              <c:numCache>
                <c:formatCode>0.0</c:formatCode>
                <c:ptCount val="13"/>
                <c:pt idx="0">
                  <c:v>0.29761904761904762</c:v>
                </c:pt>
                <c:pt idx="1">
                  <c:v>0.13458950201884254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0.13440860215053765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ser>
          <c:idx val="3"/>
          <c:order val="4"/>
          <c:tx>
            <c:strRef>
              <c:f>'Data 1'!$G$43:$G$44</c:f>
              <c:strCache>
                <c:ptCount val="2"/>
                <c:pt idx="0">
                  <c:v>Ciclo Combinado</c:v>
                </c:pt>
              </c:strCache>
            </c:strRef>
          </c:tx>
          <c:spPr>
            <a:solidFill>
              <a:srgbClr val="FFCC66"/>
            </a:solidFill>
            <a:ln w="25400">
              <a:noFill/>
            </a:ln>
          </c:spPr>
          <c:invertIfNegative val="0"/>
          <c:cat>
            <c:strRef>
              <c:f>'Data 1'!$A$45:$A$57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'Data 1'!$G$45:$G$57</c:f>
              <c:numCache>
                <c:formatCode>0.0</c:formatCode>
                <c:ptCount val="13"/>
                <c:pt idx="0">
                  <c:v>6.820436507936507</c:v>
                </c:pt>
                <c:pt idx="1">
                  <c:v>6.303275011215792</c:v>
                </c:pt>
                <c:pt idx="2">
                  <c:v>4.583333333333333</c:v>
                </c:pt>
                <c:pt idx="3">
                  <c:v>12.186379928315411</c:v>
                </c:pt>
                <c:pt idx="4">
                  <c:v>13.032407407407407</c:v>
                </c:pt>
                <c:pt idx="5">
                  <c:v>17.6747311827957</c:v>
                </c:pt>
                <c:pt idx="6">
                  <c:v>17.517921146953402</c:v>
                </c:pt>
                <c:pt idx="7">
                  <c:v>19.201388888888893</c:v>
                </c:pt>
                <c:pt idx="8">
                  <c:v>10.483870967741936</c:v>
                </c:pt>
                <c:pt idx="9">
                  <c:v>17.546296296296298</c:v>
                </c:pt>
                <c:pt idx="10">
                  <c:v>15.770609318996415</c:v>
                </c:pt>
                <c:pt idx="11">
                  <c:v>11.312724014336919</c:v>
                </c:pt>
                <c:pt idx="12">
                  <c:v>7.9613095238095237</c:v>
                </c:pt>
              </c:numCache>
            </c:numRef>
          </c:val>
        </c:ser>
        <c:ser>
          <c:idx val="5"/>
          <c:order val="5"/>
          <c:tx>
            <c:strRef>
              <c:f>'Data 1'!$H$43:$H$44</c:f>
              <c:strCache>
                <c:ptCount val="2"/>
                <c:pt idx="0">
                  <c:v>Térmica convencional</c:v>
                </c:pt>
              </c:strCache>
            </c:strRef>
          </c:tx>
          <c:spPr>
            <a:solidFill>
              <a:srgbClr val="993300"/>
            </a:solidFill>
          </c:spPr>
          <c:invertIfNegative val="0"/>
          <c:cat>
            <c:strRef>
              <c:f>'Data 1'!$A$45:$A$57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'Data 1'!$H$45:$H$57</c:f>
              <c:numCache>
                <c:formatCode>0.0</c:formatCode>
                <c:ptCount val="13"/>
                <c:pt idx="0">
                  <c:v>23.883928571428573</c:v>
                </c:pt>
                <c:pt idx="1">
                  <c:v>12.943023777478688</c:v>
                </c:pt>
                <c:pt idx="2">
                  <c:v>16.93287037037037</c:v>
                </c:pt>
                <c:pt idx="3">
                  <c:v>20.228494623655912</c:v>
                </c:pt>
                <c:pt idx="4">
                  <c:v>25.462962962962965</c:v>
                </c:pt>
                <c:pt idx="5">
                  <c:v>28.59543010752688</c:v>
                </c:pt>
                <c:pt idx="6">
                  <c:v>17.708333333333336</c:v>
                </c:pt>
                <c:pt idx="7">
                  <c:v>17.187499999999996</c:v>
                </c:pt>
                <c:pt idx="8">
                  <c:v>25.963261648745522</c:v>
                </c:pt>
                <c:pt idx="9">
                  <c:v>26.087962962962962</c:v>
                </c:pt>
                <c:pt idx="10">
                  <c:v>19.153225806451612</c:v>
                </c:pt>
                <c:pt idx="11">
                  <c:v>18.637992831541222</c:v>
                </c:pt>
                <c:pt idx="12">
                  <c:v>25.992063492063487</c:v>
                </c:pt>
              </c:numCache>
            </c:numRef>
          </c:val>
        </c:ser>
        <c:ser>
          <c:idx val="6"/>
          <c:order val="6"/>
          <c:tx>
            <c:strRef>
              <c:f>'Data 1'!$I$43:$I$44</c:f>
              <c:strCache>
                <c:ptCount val="2"/>
                <c:pt idx="0">
                  <c:v>Importaciones internacionales</c:v>
                </c:pt>
              </c:strCache>
            </c:strRef>
          </c:tx>
          <c:invertIfNegative val="0"/>
          <c:cat>
            <c:strRef>
              <c:f>'Data 1'!$A$45:$A$57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'Data 1'!$I$45:$I$57</c:f>
              <c:numCache>
                <c:formatCode>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ser>
          <c:idx val="7"/>
          <c:order val="7"/>
          <c:tx>
            <c:strRef>
              <c:f>'Data 1'!$J$43:$J$44</c:f>
              <c:strCache>
                <c:ptCount val="2"/>
                <c:pt idx="0">
                  <c:v>Renovables, Cogeneración y Residuos</c:v>
                </c:pt>
              </c:strCache>
            </c:strRef>
          </c:tx>
          <c:spPr>
            <a:solidFill>
              <a:srgbClr val="808000"/>
            </a:solidFill>
          </c:spPr>
          <c:invertIfNegative val="0"/>
          <c:cat>
            <c:strRef>
              <c:f>'Data 1'!$A$45:$A$57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'Data 1'!$J$45:$J$57</c:f>
              <c:numCache>
                <c:formatCode>0.0</c:formatCode>
                <c:ptCount val="13"/>
                <c:pt idx="0">
                  <c:v>21.974206349206348</c:v>
                </c:pt>
                <c:pt idx="1">
                  <c:v>21.668909825033648</c:v>
                </c:pt>
                <c:pt idx="2">
                  <c:v>23.94675925925926</c:v>
                </c:pt>
                <c:pt idx="3">
                  <c:v>15.882616487455195</c:v>
                </c:pt>
                <c:pt idx="4">
                  <c:v>11.435185185185185</c:v>
                </c:pt>
                <c:pt idx="5">
                  <c:v>11.514336917562725</c:v>
                </c:pt>
                <c:pt idx="6">
                  <c:v>18.369175627240143</c:v>
                </c:pt>
                <c:pt idx="7">
                  <c:v>17.256944444444443</c:v>
                </c:pt>
                <c:pt idx="8">
                  <c:v>17.495519713261647</c:v>
                </c:pt>
                <c:pt idx="9">
                  <c:v>12.731481481481485</c:v>
                </c:pt>
                <c:pt idx="10">
                  <c:v>19.198028673835125</c:v>
                </c:pt>
                <c:pt idx="11">
                  <c:v>20.945340501792113</c:v>
                </c:pt>
                <c:pt idx="12">
                  <c:v>12.822420634920634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56120712"/>
        <c:axId val="256121104"/>
      </c:barChart>
      <c:catAx>
        <c:axId val="2561207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chemeClr val="bg1">
                <a:lumMod val="65000"/>
              </a:schemeClr>
            </a:solidFill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256121104"/>
        <c:crosses val="autoZero"/>
        <c:auto val="1"/>
        <c:lblAlgn val="ctr"/>
        <c:lblOffset val="100"/>
        <c:noMultiLvlLbl val="0"/>
      </c:catAx>
      <c:valAx>
        <c:axId val="256121104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ysDot"/>
            </a:ln>
          </c:spPr>
        </c:majorGridlines>
        <c:numFmt formatCode="General" sourceLinked="0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256120712"/>
        <c:crosses val="autoZero"/>
        <c:crossBetween val="between"/>
        <c:majorUnit val="2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3.8673141565806292E-2"/>
          <c:y val="2.5990903183885639E-2"/>
          <c:w val="0.93344979650823001"/>
          <c:h val="0.15543583367868491"/>
        </c:manualLayout>
      </c:layout>
      <c:overlay val="0"/>
    </c:legend>
    <c:plotVisOnly val="1"/>
    <c:dispBlanksAs val="gap"/>
    <c:showDLblsOverMax val="0"/>
  </c:chart>
  <c:spPr>
    <a:solidFill>
      <a:schemeClr val="bg1">
        <a:lumMod val="95000"/>
      </a:schemeClr>
    </a:solidFill>
    <a:ln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 panose="020B0604020202020204" pitchFamily="34" charset="0"/>
          <a:ea typeface="Calibri"/>
          <a:cs typeface="Arial" panose="020B0604020202020204" pitchFamily="34" charset="0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 horizontalDpi="355" verticalDpi="355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2693827752118601E-2"/>
          <c:y val="0.16078849518810151"/>
          <c:w val="0.87712252783722078"/>
          <c:h val="0.688089867672790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'Data 1'!$E$60:$E$61</c:f>
              <c:strCache>
                <c:ptCount val="2"/>
                <c:pt idx="0">
                  <c:v>Mercados diario e intradiario 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</c:spPr>
          <c:invertIfNegative val="0"/>
          <c:cat>
            <c:strRef>
              <c:f>'Data 1'!$A$45:$A$57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'Data 1'!$E$62:$E$74</c:f>
              <c:numCache>
                <c:formatCode>0.00</c:formatCode>
                <c:ptCount val="13"/>
                <c:pt idx="0">
                  <c:v>53.05</c:v>
                </c:pt>
                <c:pt idx="1">
                  <c:v>43.94</c:v>
                </c:pt>
                <c:pt idx="2">
                  <c:v>44.2</c:v>
                </c:pt>
                <c:pt idx="3">
                  <c:v>47.6</c:v>
                </c:pt>
                <c:pt idx="4">
                  <c:v>50.77</c:v>
                </c:pt>
                <c:pt idx="5">
                  <c:v>49.13</c:v>
                </c:pt>
                <c:pt idx="6">
                  <c:v>48.03</c:v>
                </c:pt>
                <c:pt idx="7">
                  <c:v>49.519999999999996</c:v>
                </c:pt>
                <c:pt idx="8">
                  <c:v>57.589999999999996</c:v>
                </c:pt>
                <c:pt idx="9">
                  <c:v>60.540000000000006</c:v>
                </c:pt>
                <c:pt idx="10">
                  <c:v>60.16</c:v>
                </c:pt>
                <c:pt idx="11">
                  <c:v>51.77</c:v>
                </c:pt>
                <c:pt idx="12">
                  <c:v>55.760000000000005</c:v>
                </c:pt>
              </c:numCache>
            </c:numRef>
          </c:val>
        </c:ser>
        <c:ser>
          <c:idx val="1"/>
          <c:order val="1"/>
          <c:tx>
            <c:strRef>
              <c:f>'Data 1'!$F$60:$F$61</c:f>
              <c:strCache>
                <c:ptCount val="2"/>
                <c:pt idx="0">
                  <c:v>Servicios de ajuste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</c:spPr>
          <c:invertIfNegative val="0"/>
          <c:cat>
            <c:strRef>
              <c:f>'Data 1'!$A$45:$A$57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'Data 1'!$F$62:$F$74</c:f>
              <c:numCache>
                <c:formatCode>0.00</c:formatCode>
                <c:ptCount val="13"/>
                <c:pt idx="0">
                  <c:v>2.8400000000000003</c:v>
                </c:pt>
                <c:pt idx="1">
                  <c:v>3.13</c:v>
                </c:pt>
                <c:pt idx="2">
                  <c:v>3.2699999999999996</c:v>
                </c:pt>
                <c:pt idx="3">
                  <c:v>2.13</c:v>
                </c:pt>
                <c:pt idx="4">
                  <c:v>1.2499999999999998</c:v>
                </c:pt>
                <c:pt idx="5">
                  <c:v>1.6499999999999997</c:v>
                </c:pt>
                <c:pt idx="6">
                  <c:v>2.4900000000000007</c:v>
                </c:pt>
                <c:pt idx="7">
                  <c:v>2.2000000000000006</c:v>
                </c:pt>
                <c:pt idx="8">
                  <c:v>2.78</c:v>
                </c:pt>
                <c:pt idx="9">
                  <c:v>1.66</c:v>
                </c:pt>
                <c:pt idx="10">
                  <c:v>2.2399999999999998</c:v>
                </c:pt>
                <c:pt idx="11">
                  <c:v>1.9500000000000004</c:v>
                </c:pt>
                <c:pt idx="12">
                  <c:v>1.5699999999999998</c:v>
                </c:pt>
              </c:numCache>
            </c:numRef>
          </c:val>
        </c:ser>
        <c:ser>
          <c:idx val="2"/>
          <c:order val="2"/>
          <c:tx>
            <c:strRef>
              <c:f>'Data 1'!$G$60:$G$61</c:f>
              <c:strCache>
                <c:ptCount val="2"/>
                <c:pt idx="0">
                  <c:v>Pagos por capacidad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</c:spPr>
          <c:invertIfNegative val="0"/>
          <c:cat>
            <c:strRef>
              <c:f>'Data 1'!$A$45:$A$57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'Data 1'!$G$62:$G$74</c:f>
              <c:numCache>
                <c:formatCode>0.00</c:formatCode>
                <c:ptCount val="13"/>
                <c:pt idx="0">
                  <c:v>3.17</c:v>
                </c:pt>
                <c:pt idx="1">
                  <c:v>2.52</c:v>
                </c:pt>
                <c:pt idx="2">
                  <c:v>2.38</c:v>
                </c:pt>
                <c:pt idx="3">
                  <c:v>2.37</c:v>
                </c:pt>
                <c:pt idx="4">
                  <c:v>2.91</c:v>
                </c:pt>
                <c:pt idx="5">
                  <c:v>3.22</c:v>
                </c:pt>
                <c:pt idx="6">
                  <c:v>2.16</c:v>
                </c:pt>
                <c:pt idx="7">
                  <c:v>2.41</c:v>
                </c:pt>
                <c:pt idx="8">
                  <c:v>2.34</c:v>
                </c:pt>
                <c:pt idx="9">
                  <c:v>2.58</c:v>
                </c:pt>
                <c:pt idx="10">
                  <c:v>3.15</c:v>
                </c:pt>
                <c:pt idx="11">
                  <c:v>3.3</c:v>
                </c:pt>
                <c:pt idx="12">
                  <c:v>3.25</c:v>
                </c:pt>
              </c:numCache>
            </c:numRef>
          </c:val>
        </c:ser>
        <c:ser>
          <c:idx val="4"/>
          <c:order val="3"/>
          <c:tx>
            <c:strRef>
              <c:f>'Data 1'!$H$60:$H$61</c:f>
              <c:strCache>
                <c:ptCount val="2"/>
                <c:pt idx="0">
                  <c:v>Servicio de interrumpibilidad</c:v>
                </c:pt>
              </c:strCache>
            </c:strRef>
          </c:tx>
          <c:spPr>
            <a:solidFill>
              <a:srgbClr val="CC00CC"/>
            </a:solidFill>
            <a:ln>
              <a:noFill/>
            </a:ln>
          </c:spPr>
          <c:invertIfNegative val="0"/>
          <c:cat>
            <c:strRef>
              <c:f>'Data 1'!$A$45:$A$57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'Data 1'!$H$62:$H$74</c:f>
              <c:numCache>
                <c:formatCode>0.00</c:formatCode>
                <c:ptCount val="13"/>
                <c:pt idx="0">
                  <c:v>2.17</c:v>
                </c:pt>
                <c:pt idx="1">
                  <c:v>2.06</c:v>
                </c:pt>
                <c:pt idx="2">
                  <c:v>2.2799999999999998</c:v>
                </c:pt>
                <c:pt idx="3">
                  <c:v>2.15</c:v>
                </c:pt>
                <c:pt idx="4">
                  <c:v>2</c:v>
                </c:pt>
                <c:pt idx="5">
                  <c:v>1.93</c:v>
                </c:pt>
                <c:pt idx="6">
                  <c:v>1.99</c:v>
                </c:pt>
                <c:pt idx="7">
                  <c:v>2.14</c:v>
                </c:pt>
                <c:pt idx="8">
                  <c:v>2.16</c:v>
                </c:pt>
                <c:pt idx="9">
                  <c:v>2.08</c:v>
                </c:pt>
                <c:pt idx="10">
                  <c:v>1.96</c:v>
                </c:pt>
                <c:pt idx="11">
                  <c:v>1.38</c:v>
                </c:pt>
                <c:pt idx="12">
                  <c:v>1.46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256121888"/>
        <c:axId val="256325864"/>
      </c:barChart>
      <c:catAx>
        <c:axId val="2561218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chemeClr val="bg1">
                <a:lumMod val="65000"/>
              </a:schemeClr>
            </a:solidFill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256325864"/>
        <c:crosses val="autoZero"/>
        <c:auto val="1"/>
        <c:lblAlgn val="ctr"/>
        <c:lblOffset val="100"/>
        <c:noMultiLvlLbl val="0"/>
      </c:catAx>
      <c:valAx>
        <c:axId val="256325864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ysDot"/>
            </a:ln>
          </c:spPr>
        </c:majorGridlines>
        <c:numFmt formatCode="0" sourceLinked="0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25612188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857293473411526"/>
          <c:y val="4.1666732894155012E-2"/>
          <c:w val="0.81427070604028751"/>
          <c:h val="6.2878401318005511E-2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 panose="020B0604020202020204" pitchFamily="34" charset="0"/>
          <a:ea typeface="Calibri"/>
          <a:cs typeface="Arial" panose="020B0604020202020204" pitchFamily="34" charset="0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 horizontalDpi="355" verticalDpi="355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4978568794603154"/>
          <c:y val="0.18243889337663954"/>
          <c:w val="0.47563523567818483"/>
          <c:h val="0.64574311408405372"/>
        </c:manualLayout>
      </c:layout>
      <c:doughnutChart>
        <c:varyColors val="1"/>
        <c:ser>
          <c:idx val="0"/>
          <c:order val="0"/>
          <c:spPr>
            <a:ln>
              <a:noFill/>
            </a:ln>
          </c:spPr>
          <c:explosion val="4"/>
          <c:dPt>
            <c:idx val="0"/>
            <c:bubble3D val="0"/>
            <c:explosion val="0"/>
            <c:spPr>
              <a:solidFill>
                <a:schemeClr val="accent1"/>
              </a:solidFill>
              <a:ln w="19050">
                <a:noFill/>
              </a:ln>
              <a:effectLst/>
            </c:spPr>
          </c:dPt>
          <c:dPt>
            <c:idx val="1"/>
            <c:bubble3D val="0"/>
            <c:explosion val="0"/>
            <c:spPr>
              <a:solidFill>
                <a:srgbClr val="C00000"/>
              </a:solidFill>
              <a:ln w="19050">
                <a:noFill/>
              </a:ln>
              <a:effectLst/>
            </c:spPr>
          </c:dPt>
          <c:dPt>
            <c:idx val="2"/>
            <c:bubble3D val="0"/>
            <c:explosion val="0"/>
            <c:spPr>
              <a:solidFill>
                <a:srgbClr val="66FF33"/>
              </a:solidFill>
              <a:ln w="19050">
                <a:noFill/>
              </a:ln>
              <a:effectLst/>
            </c:spPr>
          </c:dPt>
          <c:dPt>
            <c:idx val="3"/>
            <c:bubble3D val="0"/>
            <c:explosion val="0"/>
            <c:spPr>
              <a:solidFill>
                <a:srgbClr val="FFC000"/>
              </a:solidFill>
              <a:ln w="19050">
                <a:noFill/>
              </a:ln>
              <a:effectLst/>
            </c:spPr>
          </c:dPt>
          <c:dLbls>
            <c:dLbl>
              <c:idx val="0"/>
              <c:layout>
                <c:manualLayout>
                  <c:x val="-0.14066480953684471"/>
                  <c:y val="-0.3889667496450619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3223140495867769"/>
                  <c:y val="-0.12342214171429854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spAutoFit/>
                </a:bodyPr>
                <a:lstStyle/>
                <a:p>
                  <a:pPr marL="0" marR="0" indent="0" algn="ctr" defTabSz="914400" rtl="0" eaLnBrk="1" fontAlgn="auto" latinLnBrk="0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  <a:tabLst/>
                    <a:defRPr sz="900" b="0" i="0" u="none" strike="noStrike" kern="1200" baseline="0">
                      <a:solidFill>
                        <a:srgbClr val="00456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16253443526170788"/>
                  <c:y val="-1.4960259601733151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spAutoFit/>
                </a:bodyPr>
                <a:lstStyle/>
                <a:p>
                  <a:pPr marL="0" marR="0" indent="0" algn="ctr" defTabSz="914400" rtl="0" eaLnBrk="1" fontAlgn="auto" latinLnBrk="0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  <a:tabLst/>
                    <a:defRPr sz="900" b="0" i="0" u="none" strike="noStrike" kern="1200" baseline="0">
                      <a:solidFill>
                        <a:srgbClr val="00456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.15977961432506887"/>
                  <c:y val="6.3581103307365827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spAutoFit/>
                </a:bodyPr>
                <a:lstStyle/>
                <a:p>
                  <a:pPr marL="0" marR="0" indent="0" algn="ctr" defTabSz="914400" rtl="0" eaLnBrk="1" fontAlgn="auto" latinLnBrk="0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  <a:tabLst/>
                    <a:defRPr sz="900" b="0" i="0" u="none" strike="noStrike" kern="1200" baseline="0">
                      <a:solidFill>
                        <a:srgbClr val="00456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4563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'Data 1'!$E$77:$H$77</c:f>
              <c:strCache>
                <c:ptCount val="4"/>
                <c:pt idx="0">
                  <c:v>Mercado diario e intradiario</c:v>
                </c:pt>
                <c:pt idx="1">
                  <c:v>Pagos  por capacidad</c:v>
                </c:pt>
                <c:pt idx="2">
                  <c:v>Servicio interrumpibilidad</c:v>
                </c:pt>
                <c:pt idx="3">
                  <c:v>Servicios de ajuste</c:v>
                </c:pt>
              </c:strCache>
            </c:strRef>
          </c:cat>
          <c:val>
            <c:numRef>
              <c:f>'Data 1'!$E$78:$H$78</c:f>
              <c:numCache>
                <c:formatCode>0.00</c:formatCode>
                <c:ptCount val="4"/>
                <c:pt idx="0">
                  <c:v>55.760000000000005</c:v>
                </c:pt>
                <c:pt idx="1">
                  <c:v>3.25</c:v>
                </c:pt>
                <c:pt idx="2">
                  <c:v>1.46</c:v>
                </c:pt>
                <c:pt idx="3">
                  <c:v>1.57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94"/>
        <c:holeSize val="59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4342606439672476E-2"/>
          <c:y val="0.22047244094488189"/>
          <c:w val="0.89127868066858906"/>
          <c:h val="0.6496062992125988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'Data 1'!$B$82</c:f>
              <c:strCache>
                <c:ptCount val="1"/>
                <c:pt idx="0">
                  <c:v>Restricciones técnicas PDBF</c:v>
                </c:pt>
              </c:strCache>
            </c:strRef>
          </c:tx>
          <c:spPr>
            <a:solidFill>
              <a:srgbClr val="0070C0"/>
            </a:solidFill>
            <a:ln w="25400">
              <a:noFill/>
            </a:ln>
          </c:spPr>
          <c:invertIfNegative val="0"/>
          <c:cat>
            <c:strRef>
              <c:f>'Data 1'!$R$80:$AD$80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'Data 1'!$C$82:$O$82</c:f>
              <c:numCache>
                <c:formatCode>#,##0.00</c:formatCode>
                <c:ptCount val="13"/>
                <c:pt idx="0">
                  <c:v>1.82</c:v>
                </c:pt>
                <c:pt idx="1">
                  <c:v>2.2200000000000002</c:v>
                </c:pt>
                <c:pt idx="2">
                  <c:v>2.4</c:v>
                </c:pt>
                <c:pt idx="3">
                  <c:v>1.45</c:v>
                </c:pt>
                <c:pt idx="4">
                  <c:v>0.69</c:v>
                </c:pt>
                <c:pt idx="5">
                  <c:v>1.1399999999999999</c:v>
                </c:pt>
                <c:pt idx="6">
                  <c:v>1.86</c:v>
                </c:pt>
                <c:pt idx="7">
                  <c:v>1.55</c:v>
                </c:pt>
                <c:pt idx="8">
                  <c:v>1.1399999999999999</c:v>
                </c:pt>
                <c:pt idx="9">
                  <c:v>0.76</c:v>
                </c:pt>
                <c:pt idx="10">
                  <c:v>1.06</c:v>
                </c:pt>
                <c:pt idx="11">
                  <c:v>1.07</c:v>
                </c:pt>
                <c:pt idx="12">
                  <c:v>0.88</c:v>
                </c:pt>
              </c:numCache>
            </c:numRef>
          </c:val>
          <c:extLst/>
        </c:ser>
        <c:ser>
          <c:idx val="6"/>
          <c:order val="1"/>
          <c:tx>
            <c:strRef>
              <c:f>'Data 1'!$B$83</c:f>
              <c:strCache>
                <c:ptCount val="1"/>
                <c:pt idx="0">
                  <c:v>Restricciones técnicas en tiempo real</c:v>
                </c:pt>
              </c:strCache>
            </c:strRef>
          </c:tx>
          <c:spPr>
            <a:solidFill>
              <a:srgbClr val="CC6600"/>
            </a:solidFill>
          </c:spPr>
          <c:invertIfNegative val="0"/>
          <c:cat>
            <c:strRef>
              <c:f>'Data 1'!$R$80:$AD$80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'Data 1'!$C$83:$O$83</c:f>
              <c:numCache>
                <c:formatCode>#,##0.00</c:formatCode>
                <c:ptCount val="13"/>
                <c:pt idx="0">
                  <c:v>0.24</c:v>
                </c:pt>
                <c:pt idx="1">
                  <c:v>0.14000000000000001</c:v>
                </c:pt>
                <c:pt idx="2">
                  <c:v>0.09</c:v>
                </c:pt>
                <c:pt idx="3">
                  <c:v>0.03</c:v>
                </c:pt>
                <c:pt idx="4">
                  <c:v>0.02</c:v>
                </c:pt>
                <c:pt idx="5">
                  <c:v>0.05</c:v>
                </c:pt>
                <c:pt idx="6">
                  <c:v>0.05</c:v>
                </c:pt>
                <c:pt idx="7">
                  <c:v>0.05</c:v>
                </c:pt>
                <c:pt idx="8">
                  <c:v>0.12</c:v>
                </c:pt>
                <c:pt idx="9">
                  <c:v>0.08</c:v>
                </c:pt>
                <c:pt idx="10">
                  <c:v>0.05</c:v>
                </c:pt>
                <c:pt idx="11">
                  <c:v>0.05</c:v>
                </c:pt>
                <c:pt idx="12">
                  <c:v>0.05</c:v>
                </c:pt>
              </c:numCache>
            </c:numRef>
          </c:val>
          <c:extLst/>
        </c:ser>
        <c:ser>
          <c:idx val="2"/>
          <c:order val="2"/>
          <c:tx>
            <c:strRef>
              <c:f>'Data 1'!$B$84</c:f>
              <c:strCache>
                <c:ptCount val="1"/>
                <c:pt idx="0">
                  <c:v>Reserva de potencia adicional a subir</c:v>
                </c:pt>
              </c:strCache>
            </c:strRef>
          </c:tx>
          <c:spPr>
            <a:solidFill>
              <a:srgbClr val="F79646"/>
            </a:solidFill>
            <a:ln w="25400">
              <a:noFill/>
            </a:ln>
          </c:spPr>
          <c:invertIfNegative val="0"/>
          <c:cat>
            <c:strRef>
              <c:f>'Data 1'!$R$80:$AD$80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'Data 1'!$C$84:$O$84</c:f>
              <c:numCache>
                <c:formatCode>#,##0.00</c:formatCode>
                <c:ptCount val="13"/>
                <c:pt idx="0">
                  <c:v>0.02</c:v>
                </c:pt>
                <c:pt idx="1">
                  <c:v>7.0000000000000007E-2</c:v>
                </c:pt>
                <c:pt idx="2">
                  <c:v>0.01</c:v>
                </c:pt>
                <c:pt idx="3">
                  <c:v>0</c:v>
                </c:pt>
                <c:pt idx="4">
                  <c:v>0.01</c:v>
                </c:pt>
                <c:pt idx="5">
                  <c:v>0</c:v>
                </c:pt>
                <c:pt idx="6">
                  <c:v>0.02</c:v>
                </c:pt>
                <c:pt idx="7">
                  <c:v>0.03</c:v>
                </c:pt>
                <c:pt idx="8">
                  <c:v>0.66</c:v>
                </c:pt>
                <c:pt idx="9">
                  <c:v>0.17</c:v>
                </c:pt>
                <c:pt idx="10">
                  <c:v>0.03</c:v>
                </c:pt>
                <c:pt idx="11">
                  <c:v>0.02</c:v>
                </c:pt>
                <c:pt idx="12">
                  <c:v>0.06</c:v>
                </c:pt>
              </c:numCache>
            </c:numRef>
          </c:val>
          <c:extLst/>
        </c:ser>
        <c:ser>
          <c:idx val="1"/>
          <c:order val="3"/>
          <c:tx>
            <c:strRef>
              <c:f>'Data 1'!$B$85</c:f>
              <c:strCache>
                <c:ptCount val="1"/>
                <c:pt idx="0">
                  <c:v>Banda de regulación secundaria</c:v>
                </c:pt>
              </c:strCache>
            </c:strRef>
          </c:tx>
          <c:spPr>
            <a:solidFill>
              <a:srgbClr val="92D050"/>
            </a:solidFill>
            <a:ln w="25400">
              <a:noFill/>
            </a:ln>
          </c:spPr>
          <c:invertIfNegative val="0"/>
          <c:cat>
            <c:strRef>
              <c:f>'Data 1'!$R$80:$AD$80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'Data 1'!$C$85:$O$85</c:f>
              <c:numCache>
                <c:formatCode>#,##0.00</c:formatCode>
                <c:ptCount val="13"/>
                <c:pt idx="0">
                  <c:v>0.65</c:v>
                </c:pt>
                <c:pt idx="1">
                  <c:v>0.52</c:v>
                </c:pt>
                <c:pt idx="2">
                  <c:v>0.69</c:v>
                </c:pt>
                <c:pt idx="3">
                  <c:v>0.65</c:v>
                </c:pt>
                <c:pt idx="4">
                  <c:v>0.5</c:v>
                </c:pt>
                <c:pt idx="5">
                  <c:v>0.43</c:v>
                </c:pt>
                <c:pt idx="6">
                  <c:v>0.46</c:v>
                </c:pt>
                <c:pt idx="7">
                  <c:v>0.47</c:v>
                </c:pt>
                <c:pt idx="8">
                  <c:v>0.82</c:v>
                </c:pt>
                <c:pt idx="9">
                  <c:v>0.61</c:v>
                </c:pt>
                <c:pt idx="10">
                  <c:v>0.95</c:v>
                </c:pt>
                <c:pt idx="11">
                  <c:v>0.7</c:v>
                </c:pt>
                <c:pt idx="12">
                  <c:v>0.49</c:v>
                </c:pt>
              </c:numCache>
            </c:numRef>
          </c:val>
          <c:extLst/>
        </c:ser>
        <c:ser>
          <c:idx val="3"/>
          <c:order val="4"/>
          <c:tx>
            <c:strRef>
              <c:f>'Data 1'!$B$86</c:f>
              <c:strCache>
                <c:ptCount val="1"/>
                <c:pt idx="0">
                  <c:v>Desvíos(1)</c:v>
                </c:pt>
              </c:strCache>
            </c:strRef>
          </c:tx>
          <c:spPr>
            <a:solidFill>
              <a:srgbClr val="7030A0"/>
            </a:solidFill>
            <a:ln w="25400">
              <a:noFill/>
            </a:ln>
          </c:spPr>
          <c:invertIfNegative val="0"/>
          <c:cat>
            <c:strRef>
              <c:f>'Data 1'!$R$80:$AD$80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'Data 1'!$C$86:$O$86</c:f>
              <c:numCache>
                <c:formatCode>#,##0.00</c:formatCode>
                <c:ptCount val="13"/>
                <c:pt idx="0">
                  <c:v>0.37</c:v>
                </c:pt>
                <c:pt idx="1">
                  <c:v>0.34</c:v>
                </c:pt>
                <c:pt idx="2">
                  <c:v>0.27</c:v>
                </c:pt>
                <c:pt idx="3">
                  <c:v>0.15000000000000002</c:v>
                </c:pt>
                <c:pt idx="4">
                  <c:v>0.18000000000000002</c:v>
                </c:pt>
                <c:pt idx="5">
                  <c:v>0.17</c:v>
                </c:pt>
                <c:pt idx="6">
                  <c:v>0.24000000000000002</c:v>
                </c:pt>
                <c:pt idx="7">
                  <c:v>0.24000000000000002</c:v>
                </c:pt>
                <c:pt idx="8">
                  <c:v>0.27</c:v>
                </c:pt>
                <c:pt idx="9">
                  <c:v>0.16</c:v>
                </c:pt>
                <c:pt idx="10">
                  <c:v>0.3</c:v>
                </c:pt>
                <c:pt idx="11">
                  <c:v>0.27</c:v>
                </c:pt>
                <c:pt idx="12">
                  <c:v>0.17</c:v>
                </c:pt>
              </c:numCache>
            </c:numRef>
          </c:val>
          <c:extLst/>
        </c:ser>
        <c:ser>
          <c:idx val="5"/>
          <c:order val="5"/>
          <c:tx>
            <c:strRef>
              <c:f>'Data 1'!$B$87</c:f>
              <c:strCache>
                <c:ptCount val="1"/>
                <c:pt idx="0">
                  <c:v>Excedente desvíos</c:v>
                </c:pt>
              </c:strCache>
            </c:strRef>
          </c:tx>
          <c:spPr>
            <a:solidFill>
              <a:srgbClr val="FFCC00"/>
            </a:solidFill>
            <a:ln w="25400">
              <a:noFill/>
            </a:ln>
          </c:spPr>
          <c:invertIfNegative val="0"/>
          <c:cat>
            <c:strRef>
              <c:f>'Data 1'!$R$80:$AD$80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'Data 1'!$C$87:$O$87</c:f>
              <c:numCache>
                <c:formatCode>#,##0.00</c:formatCode>
                <c:ptCount val="13"/>
                <c:pt idx="0">
                  <c:v>-0.19</c:v>
                </c:pt>
                <c:pt idx="1">
                  <c:v>-0.1</c:v>
                </c:pt>
                <c:pt idx="2">
                  <c:v>-0.13</c:v>
                </c:pt>
                <c:pt idx="3">
                  <c:v>-0.1</c:v>
                </c:pt>
                <c:pt idx="4">
                  <c:v>-0.1</c:v>
                </c:pt>
                <c:pt idx="5">
                  <c:v>-0.09</c:v>
                </c:pt>
                <c:pt idx="6">
                  <c:v>-9.0000000000000011E-2</c:v>
                </c:pt>
                <c:pt idx="7">
                  <c:v>-9.0000000000000011E-2</c:v>
                </c:pt>
                <c:pt idx="8">
                  <c:v>-0.17</c:v>
                </c:pt>
                <c:pt idx="9">
                  <c:v>-6.0000000000000005E-2</c:v>
                </c:pt>
                <c:pt idx="10">
                  <c:v>-7.0000000000000007E-2</c:v>
                </c:pt>
                <c:pt idx="11">
                  <c:v>-0.09</c:v>
                </c:pt>
                <c:pt idx="12">
                  <c:v>-1.9999999999999997E-2</c:v>
                </c:pt>
              </c:numCache>
            </c:numRef>
          </c:val>
          <c:extLst/>
        </c:ser>
        <c:ser>
          <c:idx val="7"/>
          <c:order val="6"/>
          <c:tx>
            <c:strRef>
              <c:f>'Data 1'!$B$88</c:f>
              <c:strCache>
                <c:ptCount val="1"/>
                <c:pt idx="0">
                  <c:v>Control del factor de potencia</c:v>
                </c:pt>
              </c:strCache>
            </c:strRef>
          </c:tx>
          <c:invertIfNegative val="0"/>
          <c:cat>
            <c:strRef>
              <c:f>'Data 1'!$R$80:$AD$80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'Data 1'!$C$88:$O$88</c:f>
              <c:numCache>
                <c:formatCode>0.00</c:formatCode>
                <c:ptCount val="13"/>
                <c:pt idx="0">
                  <c:v>-7.0000000000000007E-2</c:v>
                </c:pt>
                <c:pt idx="1">
                  <c:v>-0.06</c:v>
                </c:pt>
                <c:pt idx="2">
                  <c:v>-0.06</c:v>
                </c:pt>
                <c:pt idx="3">
                  <c:v>-0.05</c:v>
                </c:pt>
                <c:pt idx="4">
                  <c:v>-0.05</c:v>
                </c:pt>
                <c:pt idx="5">
                  <c:v>-0.05</c:v>
                </c:pt>
                <c:pt idx="6">
                  <c:v>-0.05</c:v>
                </c:pt>
                <c:pt idx="7">
                  <c:v>-0.05</c:v>
                </c:pt>
                <c:pt idx="8">
                  <c:v>-0.06</c:v>
                </c:pt>
                <c:pt idx="9">
                  <c:v>-0.06</c:v>
                </c:pt>
                <c:pt idx="10">
                  <c:v>-0.08</c:v>
                </c:pt>
                <c:pt idx="11">
                  <c:v>-7.0000000000000007E-2</c:v>
                </c:pt>
                <c:pt idx="12">
                  <c:v>-0.06</c:v>
                </c:pt>
              </c:numCache>
            </c:numRef>
          </c:val>
          <c:extLst/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53311976"/>
        <c:axId val="253312368"/>
      </c:barChart>
      <c:catAx>
        <c:axId val="2533119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chemeClr val="bg1">
                <a:lumMod val="6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2533123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53312368"/>
        <c:scaling>
          <c:orientation val="minMax"/>
          <c:max val="7"/>
          <c:min val="-1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253311976"/>
        <c:crosses val="autoZero"/>
        <c:crossBetween val="between"/>
        <c:majorUnit val="1"/>
        <c:minorUnit val="2.8000000000000001E-2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9.1290696150736025E-2"/>
          <c:y val="3.1413622603850076E-2"/>
          <c:w val="0.86044104417935097"/>
          <c:h val="0.12827229229905446"/>
        </c:manualLayout>
      </c:layout>
      <c:overlay val="0"/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 panose="020B0604020202020204" pitchFamily="34" charset="0"/>
          <a:ea typeface="Arial"/>
          <a:cs typeface="Arial" panose="020B0604020202020204" pitchFamily="34" charset="0"/>
        </a:defRPr>
      </a:pPr>
      <a:endParaRPr lang="es-ES"/>
    </a:p>
  </c:txPr>
  <c:printSettings>
    <c:headerFooter alignWithMargins="0"/>
    <c:pageMargins b="1" l="0.75000000000000033" r="0.75000000000000033" t="1" header="0" footer="0"/>
    <c:pageSetup paperSize="9" orientation="landscape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4342606439672476E-2"/>
          <c:y val="0.22047244094488189"/>
          <c:w val="0.89127868066858906"/>
          <c:h val="0.64960629921259883"/>
        </c:manualLayout>
      </c:layout>
      <c:barChart>
        <c:barDir val="col"/>
        <c:grouping val="clustered"/>
        <c:varyColors val="0"/>
        <c:ser>
          <c:idx val="6"/>
          <c:order val="0"/>
          <c:tx>
            <c:strRef>
              <c:f>'Data 1'!$C$127:$C$128</c:f>
              <c:strCache>
                <c:ptCount val="2"/>
                <c:pt idx="0">
                  <c:v>2018</c:v>
                </c:pt>
                <c:pt idx="1">
                  <c:v>Febrero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cat>
            <c:strRef>
              <c:f>'Data 1'!$B$129:$B$133</c:f>
              <c:strCache>
                <c:ptCount val="5"/>
                <c:pt idx="0">
                  <c:v>Restricciones Técnicas al PBF</c:v>
                </c:pt>
                <c:pt idx="1">
                  <c:v>Regulación secundaria</c:v>
                </c:pt>
                <c:pt idx="2">
                  <c:v>Regulación terciaria</c:v>
                </c:pt>
                <c:pt idx="3">
                  <c:v>Gestión Desvios</c:v>
                </c:pt>
                <c:pt idx="4">
                  <c:v>Restric. en Tiempo Real</c:v>
                </c:pt>
              </c:strCache>
            </c:strRef>
          </c:cat>
          <c:val>
            <c:numRef>
              <c:f>'Data 1'!$C$129:$C$133</c:f>
              <c:numCache>
                <c:formatCode>#,##0.00</c:formatCode>
                <c:ptCount val="5"/>
                <c:pt idx="0">
                  <c:v>782.64110000000005</c:v>
                </c:pt>
                <c:pt idx="1">
                  <c:v>231.755461</c:v>
                </c:pt>
                <c:pt idx="2">
                  <c:v>345.8528</c:v>
                </c:pt>
                <c:pt idx="3">
                  <c:v>146.1798</c:v>
                </c:pt>
                <c:pt idx="4">
                  <c:v>43.415399999999998</c:v>
                </c:pt>
              </c:numCache>
            </c:numRef>
          </c:val>
        </c:ser>
        <c:ser>
          <c:idx val="0"/>
          <c:order val="1"/>
          <c:tx>
            <c:strRef>
              <c:f>'Data 1'!$D$127:$D$128</c:f>
              <c:strCache>
                <c:ptCount val="2"/>
                <c:pt idx="0">
                  <c:v>2017</c:v>
                </c:pt>
                <c:pt idx="1">
                  <c:v>Febrero</c:v>
                </c:pt>
              </c:strCache>
            </c:strRef>
          </c:tx>
          <c:spPr>
            <a:solidFill>
              <a:srgbClr val="0070C0"/>
            </a:solidFill>
            <a:ln w="25400">
              <a:noFill/>
            </a:ln>
          </c:spPr>
          <c:invertIfNegative val="0"/>
          <c:cat>
            <c:strRef>
              <c:f>'Data 1'!$B$129:$B$133</c:f>
              <c:strCache>
                <c:ptCount val="5"/>
                <c:pt idx="0">
                  <c:v>Restricciones Técnicas al PBF</c:v>
                </c:pt>
                <c:pt idx="1">
                  <c:v>Regulación secundaria</c:v>
                </c:pt>
                <c:pt idx="2">
                  <c:v>Regulación terciaria</c:v>
                </c:pt>
                <c:pt idx="3">
                  <c:v>Gestión Desvios</c:v>
                </c:pt>
                <c:pt idx="4">
                  <c:v>Restric. en Tiempo Real</c:v>
                </c:pt>
              </c:strCache>
            </c:strRef>
          </c:cat>
          <c:val>
            <c:numRef>
              <c:f>'Data 1'!$D$129:$D$133</c:f>
              <c:numCache>
                <c:formatCode>#,##0.00</c:formatCode>
                <c:ptCount val="5"/>
                <c:pt idx="0">
                  <c:v>931.50329999999997</c:v>
                </c:pt>
                <c:pt idx="1">
                  <c:v>188.121621</c:v>
                </c:pt>
                <c:pt idx="2">
                  <c:v>334.30099999999999</c:v>
                </c:pt>
                <c:pt idx="3">
                  <c:v>142.44479999999999</c:v>
                </c:pt>
                <c:pt idx="4">
                  <c:v>120.1238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8797416"/>
        <c:axId val="258797808"/>
      </c:barChart>
      <c:catAx>
        <c:axId val="2587974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chemeClr val="bg1">
                <a:lumMod val="6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258797808"/>
        <c:crosses val="autoZero"/>
        <c:auto val="1"/>
        <c:lblAlgn val="ctr"/>
        <c:lblOffset val="100"/>
        <c:noMultiLvlLbl val="0"/>
      </c:catAx>
      <c:valAx>
        <c:axId val="25879780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258797416"/>
        <c:crosses val="autoZero"/>
        <c:crossBetween val="between"/>
        <c:majorUnit val="200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0721512037715931"/>
          <c:y val="4.4451402505586414E-2"/>
          <c:w val="0.37876728971631585"/>
          <c:h val="6.1396156125645585E-2"/>
        </c:manualLayout>
      </c:layout>
      <c:overlay val="0"/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 panose="020B0604020202020204" pitchFamily="34" charset="0"/>
          <a:ea typeface="Arial"/>
          <a:cs typeface="Arial" panose="020B0604020202020204" pitchFamily="34" charset="0"/>
        </a:defRPr>
      </a:pPr>
      <a:endParaRPr lang="es-ES"/>
    </a:p>
  </c:txPr>
  <c:printSettings>
    <c:headerFooter alignWithMargins="0"/>
    <c:pageMargins b="1" l="0.75000000000000033" r="0.75000000000000033" t="1" header="0" footer="0"/>
    <c:pageSetup paperSize="9" orientation="landscape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631025328334913E-2"/>
          <c:y val="0.12454101736471991"/>
          <c:w val="0.89662947963244555"/>
          <c:h val="0.69275413221570525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'Data 1'!$C$141</c:f>
              <c:strCache>
                <c:ptCount val="1"/>
                <c:pt idx="0">
                  <c:v>Carbón</c:v>
                </c:pt>
              </c:strCache>
            </c:strRef>
          </c:tx>
          <c:spPr>
            <a:solidFill>
              <a:srgbClr val="993300"/>
            </a:solidFill>
            <a:ln>
              <a:noFill/>
            </a:ln>
            <a:effectLst/>
          </c:spPr>
          <c:invertIfNegative val="0"/>
          <c:cat>
            <c:strRef>
              <c:f>'Data 1'!$D$138:$P$138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'Data 1'!$D$141:$P$141</c:f>
              <c:numCache>
                <c:formatCode>#,##0.00</c:formatCode>
                <c:ptCount val="13"/>
                <c:pt idx="0">
                  <c:v>198516.2</c:v>
                </c:pt>
                <c:pt idx="1">
                  <c:v>631868</c:v>
                </c:pt>
                <c:pt idx="2">
                  <c:v>454829.4</c:v>
                </c:pt>
                <c:pt idx="3">
                  <c:v>384999.4</c:v>
                </c:pt>
                <c:pt idx="4">
                  <c:v>176734.4</c:v>
                </c:pt>
                <c:pt idx="5">
                  <c:v>221645.5</c:v>
                </c:pt>
                <c:pt idx="6">
                  <c:v>424631</c:v>
                </c:pt>
                <c:pt idx="7">
                  <c:v>419522.2</c:v>
                </c:pt>
                <c:pt idx="8">
                  <c:v>195163.5</c:v>
                </c:pt>
                <c:pt idx="9">
                  <c:v>99779.8</c:v>
                </c:pt>
                <c:pt idx="10">
                  <c:v>195559</c:v>
                </c:pt>
                <c:pt idx="11">
                  <c:v>323414.2</c:v>
                </c:pt>
                <c:pt idx="12">
                  <c:v>176086.6</c:v>
                </c:pt>
              </c:numCache>
            </c:numRef>
          </c:val>
        </c:ser>
        <c:ser>
          <c:idx val="2"/>
          <c:order val="1"/>
          <c:tx>
            <c:strRef>
              <c:f>'Data 1'!$C$142</c:f>
              <c:strCache>
                <c:ptCount val="1"/>
                <c:pt idx="0">
                  <c:v>Ciclo Combinado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'Data 1'!$D$138:$P$138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'Data 1'!$D$142:$P$142</c:f>
              <c:numCache>
                <c:formatCode>#,##0.00</c:formatCode>
                <c:ptCount val="13"/>
                <c:pt idx="0">
                  <c:v>665095.19999999995</c:v>
                </c:pt>
                <c:pt idx="1">
                  <c:v>670791.6</c:v>
                </c:pt>
                <c:pt idx="2">
                  <c:v>684899.6</c:v>
                </c:pt>
                <c:pt idx="3">
                  <c:v>642959.4</c:v>
                </c:pt>
                <c:pt idx="4">
                  <c:v>535700.19999999995</c:v>
                </c:pt>
                <c:pt idx="5">
                  <c:v>612390.30000000005</c:v>
                </c:pt>
                <c:pt idx="6">
                  <c:v>842008.2</c:v>
                </c:pt>
                <c:pt idx="7">
                  <c:v>659557.1</c:v>
                </c:pt>
                <c:pt idx="8">
                  <c:v>613794.4</c:v>
                </c:pt>
                <c:pt idx="9">
                  <c:v>428275.6</c:v>
                </c:pt>
                <c:pt idx="10">
                  <c:v>499810.1</c:v>
                </c:pt>
                <c:pt idx="11">
                  <c:v>535924.4</c:v>
                </c:pt>
                <c:pt idx="12">
                  <c:v>587965.4</c:v>
                </c:pt>
              </c:numCache>
            </c:numRef>
          </c:val>
        </c:ser>
        <c:ser>
          <c:idx val="0"/>
          <c:order val="2"/>
          <c:tx>
            <c:strRef>
              <c:f>'Data 1'!$C$139</c:f>
              <c:strCache>
                <c:ptCount val="1"/>
                <c:pt idx="0">
                  <c:v>Hidráulica</c:v>
                </c:pt>
              </c:strCache>
            </c:strRef>
          </c:tx>
          <c:spPr>
            <a:solidFill>
              <a:srgbClr val="0090D1"/>
            </a:solidFill>
            <a:ln>
              <a:noFill/>
            </a:ln>
            <a:effectLst/>
          </c:spPr>
          <c:invertIfNegative val="0"/>
          <c:cat>
            <c:strRef>
              <c:f>'Data 1'!$D$138:$P$138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'Data 1'!$D$139:$P$139</c:f>
              <c:numCache>
                <c:formatCode>#,##0.00</c:formatCode>
                <c:ptCount val="13"/>
                <c:pt idx="0">
                  <c:v>712.6</c:v>
                </c:pt>
                <c:pt idx="1">
                  <c:v>1411.7</c:v>
                </c:pt>
                <c:pt idx="2">
                  <c:v>1412</c:v>
                </c:pt>
                <c:pt idx="3">
                  <c:v>538</c:v>
                </c:pt>
                <c:pt idx="4">
                  <c:v>240</c:v>
                </c:pt>
                <c:pt idx="5">
                  <c:v>245</c:v>
                </c:pt>
                <c:pt idx="6">
                  <c:v>714.3</c:v>
                </c:pt>
                <c:pt idx="7">
                  <c:v>1903.2</c:v>
                </c:pt>
                <c:pt idx="8">
                  <c:v>1865.1</c:v>
                </c:pt>
                <c:pt idx="9">
                  <c:v>1458.4</c:v>
                </c:pt>
                <c:pt idx="10">
                  <c:v>237.7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ser>
          <c:idx val="4"/>
          <c:order val="3"/>
          <c:tx>
            <c:strRef>
              <c:f>'Data 1'!$C$140</c:f>
              <c:strCache>
                <c:ptCount val="1"/>
                <c:pt idx="0">
                  <c:v>Nuclear</c:v>
                </c:pt>
              </c:strCache>
            </c:strRef>
          </c:tx>
          <c:spPr>
            <a:solidFill>
              <a:srgbClr val="464394"/>
            </a:solidFill>
            <a:ln>
              <a:noFill/>
            </a:ln>
            <a:effectLst/>
          </c:spPr>
          <c:invertIfNegative val="0"/>
          <c:cat>
            <c:strRef>
              <c:f>'Data 1'!$D$138:$P$138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'Data 1'!$D$140:$P$140</c:f>
              <c:numCache>
                <c:formatCode>#,##0.00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9600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ser>
          <c:idx val="6"/>
          <c:order val="4"/>
          <c:tx>
            <c:strRef>
              <c:f>'Data 1'!$C$143</c:f>
              <c:strCache>
                <c:ptCount val="1"/>
                <c:pt idx="0">
                  <c:v>Consumo Bombeo</c:v>
                </c:pt>
              </c:strCache>
            </c:strRef>
          </c:tx>
          <c:spPr>
            <a:solidFill>
              <a:srgbClr val="2C4D75"/>
            </a:solidFill>
            <a:ln>
              <a:noFill/>
            </a:ln>
            <a:effectLst/>
          </c:spPr>
          <c:invertIfNegative val="0"/>
          <c:val>
            <c:numRef>
              <c:f>'Data 1'!$D$143:$P$143</c:f>
              <c:numCache>
                <c:formatCode>#,##0.00</c:formatCode>
                <c:ptCount val="13"/>
                <c:pt idx="0">
                  <c:v>139.6</c:v>
                </c:pt>
                <c:pt idx="1">
                  <c:v>13667.9</c:v>
                </c:pt>
                <c:pt idx="2">
                  <c:v>2812.1</c:v>
                </c:pt>
                <c:pt idx="3">
                  <c:v>0</c:v>
                </c:pt>
                <c:pt idx="4">
                  <c:v>0</c:v>
                </c:pt>
                <c:pt idx="5">
                  <c:v>1709.9</c:v>
                </c:pt>
                <c:pt idx="6">
                  <c:v>227.4</c:v>
                </c:pt>
                <c:pt idx="7">
                  <c:v>2247.5</c:v>
                </c:pt>
                <c:pt idx="8">
                  <c:v>2877.8</c:v>
                </c:pt>
                <c:pt idx="9">
                  <c:v>370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58798592"/>
        <c:axId val="258798984"/>
      </c:barChart>
      <c:lineChart>
        <c:grouping val="standard"/>
        <c:varyColors val="0"/>
        <c:ser>
          <c:idx val="5"/>
          <c:order val="5"/>
          <c:tx>
            <c:v>Precio medio a subir</c:v>
          </c:tx>
          <c:spPr>
            <a:ln w="28575" cap="rnd">
              <a:solidFill>
                <a:srgbClr val="004563"/>
              </a:solidFill>
              <a:round/>
            </a:ln>
            <a:effectLst/>
          </c:spPr>
          <c:marker>
            <c:symbol val="none"/>
          </c:marker>
          <c:val>
            <c:numRef>
              <c:f>'Data 1'!$D$157:$P$157</c:f>
              <c:numCache>
                <c:formatCode>#,##0.00</c:formatCode>
                <c:ptCount val="13"/>
                <c:pt idx="0">
                  <c:v>92.084451201899995</c:v>
                </c:pt>
                <c:pt idx="1">
                  <c:v>76.422112971999994</c:v>
                </c:pt>
                <c:pt idx="2">
                  <c:v>81.132726105100005</c:v>
                </c:pt>
                <c:pt idx="3">
                  <c:v>73.815872961400004</c:v>
                </c:pt>
                <c:pt idx="4">
                  <c:v>69.048564800799994</c:v>
                </c:pt>
                <c:pt idx="5">
                  <c:v>78.254490438700003</c:v>
                </c:pt>
                <c:pt idx="6">
                  <c:v>77.994650132399997</c:v>
                </c:pt>
                <c:pt idx="7">
                  <c:v>76.517602623599998</c:v>
                </c:pt>
                <c:pt idx="8">
                  <c:v>81.795735348899996</c:v>
                </c:pt>
                <c:pt idx="9">
                  <c:v>84.018140656499995</c:v>
                </c:pt>
                <c:pt idx="10">
                  <c:v>84.545507835699993</c:v>
                </c:pt>
                <c:pt idx="11">
                  <c:v>74.456576685800002</c:v>
                </c:pt>
                <c:pt idx="12">
                  <c:v>78.626601016699993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8799768"/>
        <c:axId val="258799376"/>
      </c:lineChart>
      <c:catAx>
        <c:axId val="2587985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004563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58798984"/>
        <c:crosses val="autoZero"/>
        <c:auto val="1"/>
        <c:lblAlgn val="ctr"/>
        <c:lblOffset val="100"/>
        <c:noMultiLvlLbl val="1"/>
      </c:catAx>
      <c:valAx>
        <c:axId val="258798984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004563"/>
              </a:solidFill>
              <a:prstDash val="sysDot"/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58798592"/>
        <c:crosses val="autoZero"/>
        <c:crossBetween val="between"/>
        <c:dispUnits>
          <c:builtInUnit val="thousands"/>
        </c:dispUnits>
      </c:valAx>
      <c:valAx>
        <c:axId val="258799376"/>
        <c:scaling>
          <c:orientation val="minMax"/>
          <c:max val="14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 sz="800">
                    <a:solidFill>
                      <a:srgbClr val="004563"/>
                    </a:solidFill>
                  </a:rPr>
                  <a:t>€/MWh</a:t>
                </a:r>
              </a:p>
            </c:rich>
          </c:tx>
          <c:layout>
            <c:manualLayout>
              <c:xMode val="edge"/>
              <c:yMode val="edge"/>
              <c:x val="0.94716582318272979"/>
              <c:y val="1.4657471675842802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58799768"/>
        <c:crosses val="max"/>
        <c:crossBetween val="between"/>
      </c:valAx>
      <c:catAx>
        <c:axId val="258799768"/>
        <c:scaling>
          <c:orientation val="minMax"/>
        </c:scaling>
        <c:delete val="1"/>
        <c:axPos val="b"/>
        <c:majorTickMark val="out"/>
        <c:minorTickMark val="none"/>
        <c:tickLblPos val="nextTo"/>
        <c:crossAx val="25879937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rgbClr val="D9D9D9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 horizontalDpi="355" verticalDpi="355"/>
  </c:printSettings>
  <c:userShapes r:id="rId3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5893074119077533E-2"/>
          <c:y val="6.7873303167420809E-2"/>
          <c:w val="0.90234727490582289"/>
          <c:h val="0.69719731509625127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'Data 1'!$C$147</c:f>
              <c:strCache>
                <c:ptCount val="1"/>
                <c:pt idx="0">
                  <c:v>Carbón</c:v>
                </c:pt>
              </c:strCache>
            </c:strRef>
          </c:tx>
          <c:spPr>
            <a:solidFill>
              <a:srgbClr val="993300"/>
            </a:solidFill>
            <a:ln w="25400">
              <a:noFill/>
              <a:prstDash val="solid"/>
            </a:ln>
          </c:spPr>
          <c:invertIfNegative val="0"/>
          <c:val>
            <c:numRef>
              <c:f>'Data 1'!$D$147:$P$147</c:f>
              <c:numCache>
                <c:formatCode>#,##0.00</c:formatCode>
                <c:ptCount val="13"/>
                <c:pt idx="0">
                  <c:v>58033.7</c:v>
                </c:pt>
                <c:pt idx="1">
                  <c:v>20255.7</c:v>
                </c:pt>
                <c:pt idx="2">
                  <c:v>158.4</c:v>
                </c:pt>
                <c:pt idx="3">
                  <c:v>6575</c:v>
                </c:pt>
                <c:pt idx="4">
                  <c:v>8771</c:v>
                </c:pt>
                <c:pt idx="5">
                  <c:v>66423</c:v>
                </c:pt>
                <c:pt idx="6">
                  <c:v>75870.399999999994</c:v>
                </c:pt>
                <c:pt idx="7">
                  <c:v>802.5</c:v>
                </c:pt>
                <c:pt idx="8">
                  <c:v>7913</c:v>
                </c:pt>
                <c:pt idx="9">
                  <c:v>9798</c:v>
                </c:pt>
                <c:pt idx="10">
                  <c:v>40570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ser>
          <c:idx val="2"/>
          <c:order val="1"/>
          <c:tx>
            <c:strRef>
              <c:f>'Data 1'!$C$148</c:f>
              <c:strCache>
                <c:ptCount val="1"/>
                <c:pt idx="0">
                  <c:v>Ciclo Combinado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</c:spPr>
          <c:invertIfNegative val="0"/>
          <c:val>
            <c:numRef>
              <c:f>'Data 1'!$D$148:$P$148</c:f>
              <c:numCache>
                <c:formatCode>#,##0.00</c:formatCode>
                <c:ptCount val="13"/>
                <c:pt idx="0">
                  <c:v>0</c:v>
                </c:pt>
                <c:pt idx="1">
                  <c:v>17094</c:v>
                </c:pt>
                <c:pt idx="2">
                  <c:v>0</c:v>
                </c:pt>
                <c:pt idx="3">
                  <c:v>0</c:v>
                </c:pt>
                <c:pt idx="4">
                  <c:v>12552</c:v>
                </c:pt>
                <c:pt idx="5">
                  <c:v>75034.899999999994</c:v>
                </c:pt>
                <c:pt idx="6">
                  <c:v>123130.8</c:v>
                </c:pt>
                <c:pt idx="7">
                  <c:v>67762.600000000006</c:v>
                </c:pt>
                <c:pt idx="8">
                  <c:v>45184</c:v>
                </c:pt>
                <c:pt idx="9">
                  <c:v>18106.5</c:v>
                </c:pt>
                <c:pt idx="10">
                  <c:v>3247</c:v>
                </c:pt>
                <c:pt idx="11">
                  <c:v>1230</c:v>
                </c:pt>
                <c:pt idx="12">
                  <c:v>16736</c:v>
                </c:pt>
              </c:numCache>
            </c:numRef>
          </c:val>
        </c:ser>
        <c:ser>
          <c:idx val="6"/>
          <c:order val="2"/>
          <c:tx>
            <c:strRef>
              <c:f>'Data 1'!$C$152</c:f>
              <c:strCache>
                <c:ptCount val="1"/>
                <c:pt idx="0">
                  <c:v>Cogeneración</c:v>
                </c:pt>
              </c:strCache>
            </c:strRef>
          </c:tx>
          <c:spPr>
            <a:solidFill>
              <a:srgbClr val="CFA2CA"/>
            </a:solidFill>
            <a:ln>
              <a:noFill/>
            </a:ln>
          </c:spPr>
          <c:invertIfNegative val="0"/>
          <c:val>
            <c:numRef>
              <c:f>'Data 1'!$D$152:$P$152</c:f>
              <c:numCache>
                <c:formatCode>#,##0.00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910.1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ser>
          <c:idx val="8"/>
          <c:order val="3"/>
          <c:tx>
            <c:v>Consumo bombeo</c:v>
          </c:tx>
          <c:spPr>
            <a:solidFill>
              <a:srgbClr val="2C4D75"/>
            </a:solidFill>
            <a:ln>
              <a:noFill/>
            </a:ln>
          </c:spPr>
          <c:invertIfNegative val="0"/>
          <c:val>
            <c:numRef>
              <c:f>'Data 1'!$D$155:$P$155</c:f>
              <c:numCache>
                <c:formatCode>#,##0.00</c:formatCode>
                <c:ptCount val="13"/>
              </c:numCache>
            </c:numRef>
          </c:val>
        </c:ser>
        <c:ser>
          <c:idx val="3"/>
          <c:order val="4"/>
          <c:tx>
            <c:strRef>
              <c:f>'Data 1'!$C$149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70AD47"/>
            </a:solidFill>
            <a:ln>
              <a:noFill/>
            </a:ln>
          </c:spPr>
          <c:invertIfNegative val="0"/>
          <c:val>
            <c:numRef>
              <c:f>'Data 1'!$D$149:$P$149</c:f>
              <c:numCache>
                <c:formatCode>#,##0.00</c:formatCode>
                <c:ptCount val="13"/>
                <c:pt idx="0">
                  <c:v>988.1</c:v>
                </c:pt>
                <c:pt idx="1">
                  <c:v>5344.3</c:v>
                </c:pt>
                <c:pt idx="2">
                  <c:v>1844.3</c:v>
                </c:pt>
                <c:pt idx="3">
                  <c:v>2859</c:v>
                </c:pt>
                <c:pt idx="4">
                  <c:v>1652.9</c:v>
                </c:pt>
                <c:pt idx="5">
                  <c:v>19943.3</c:v>
                </c:pt>
                <c:pt idx="6">
                  <c:v>1278.3</c:v>
                </c:pt>
                <c:pt idx="7">
                  <c:v>9561.7000000000007</c:v>
                </c:pt>
                <c:pt idx="8">
                  <c:v>2732.2</c:v>
                </c:pt>
                <c:pt idx="9">
                  <c:v>568.29999999999995</c:v>
                </c:pt>
                <c:pt idx="10">
                  <c:v>1377.6</c:v>
                </c:pt>
                <c:pt idx="11">
                  <c:v>0</c:v>
                </c:pt>
                <c:pt idx="12">
                  <c:v>1262.8</c:v>
                </c:pt>
              </c:numCache>
            </c:numRef>
          </c:val>
        </c:ser>
        <c:ser>
          <c:idx val="11"/>
          <c:order val="5"/>
          <c:tx>
            <c:strRef>
              <c:f>'Data 1'!$C$145</c:f>
              <c:strCache>
                <c:ptCount val="1"/>
                <c:pt idx="0">
                  <c:v>Hidráulica</c:v>
                </c:pt>
              </c:strCache>
            </c:strRef>
          </c:tx>
          <c:spPr>
            <a:solidFill>
              <a:srgbClr val="0090D1"/>
            </a:solidFill>
          </c:spPr>
          <c:invertIfNegative val="0"/>
          <c:val>
            <c:numRef>
              <c:f>'Data 1'!$D$145:$P$145</c:f>
              <c:numCache>
                <c:formatCode>#,##0.00</c:formatCode>
                <c:ptCount val="13"/>
                <c:pt idx="0">
                  <c:v>1026.5</c:v>
                </c:pt>
                <c:pt idx="1">
                  <c:v>623</c:v>
                </c:pt>
                <c:pt idx="2">
                  <c:v>12</c:v>
                </c:pt>
                <c:pt idx="3">
                  <c:v>0</c:v>
                </c:pt>
                <c:pt idx="4">
                  <c:v>70</c:v>
                </c:pt>
                <c:pt idx="5">
                  <c:v>36</c:v>
                </c:pt>
                <c:pt idx="6">
                  <c:v>0</c:v>
                </c:pt>
                <c:pt idx="7">
                  <c:v>4762.5</c:v>
                </c:pt>
                <c:pt idx="8">
                  <c:v>54.3</c:v>
                </c:pt>
                <c:pt idx="9">
                  <c:v>428.4</c:v>
                </c:pt>
                <c:pt idx="10">
                  <c:v>0</c:v>
                </c:pt>
                <c:pt idx="11">
                  <c:v>0</c:v>
                </c:pt>
                <c:pt idx="12">
                  <c:v>563.70000000000005</c:v>
                </c:pt>
              </c:numCache>
            </c:numRef>
          </c:val>
        </c:ser>
        <c:ser>
          <c:idx val="13"/>
          <c:order val="6"/>
          <c:tx>
            <c:v>Nuclear</c:v>
          </c:tx>
          <c:spPr>
            <a:solidFill>
              <a:srgbClr val="464394"/>
            </a:solidFill>
          </c:spPr>
          <c:invertIfNegative val="0"/>
          <c:val>
            <c:numRef>
              <c:f>'Data 1'!$D$156:$P$156</c:f>
              <c:numCache>
                <c:formatCode>#,##0.00</c:formatCode>
                <c:ptCount val="13"/>
              </c:numCache>
            </c:numRef>
          </c:val>
        </c:ser>
        <c:ser>
          <c:idx val="10"/>
          <c:order val="7"/>
          <c:tx>
            <c:strRef>
              <c:f>'Data 1'!$C$153</c:f>
              <c:strCache>
                <c:ptCount val="1"/>
                <c:pt idx="0">
                  <c:v>Otras Renovables</c:v>
                </c:pt>
              </c:strCache>
            </c:strRef>
          </c:tx>
          <c:spPr>
            <a:solidFill>
              <a:srgbClr val="70303C"/>
            </a:solidFill>
          </c:spPr>
          <c:invertIfNegative val="0"/>
          <c:val>
            <c:numRef>
              <c:f>'Data 1'!$D$153:$P$153</c:f>
              <c:numCache>
                <c:formatCode>#,##0.00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288.39999999999998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ser>
          <c:idx val="4"/>
          <c:order val="8"/>
          <c:tx>
            <c:strRef>
              <c:f>'Data 1'!$C$150</c:f>
              <c:strCache>
                <c:ptCount val="1"/>
                <c:pt idx="0">
                  <c:v>Solar fotovoltaica</c:v>
                </c:pt>
              </c:strCache>
            </c:strRef>
          </c:tx>
          <c:spPr>
            <a:solidFill>
              <a:srgbClr val="ED7D31"/>
            </a:solidFill>
            <a:ln>
              <a:noFill/>
            </a:ln>
          </c:spPr>
          <c:invertIfNegative val="0"/>
          <c:dPt>
            <c:idx val="0"/>
            <c:invertIfNegative val="0"/>
            <c:bubble3D val="0"/>
          </c:dPt>
          <c:val>
            <c:numRef>
              <c:f>'Data 1'!$D$150:$P$150</c:f>
              <c:numCache>
                <c:formatCode>#,##0.00</c:formatCode>
                <c:ptCount val="13"/>
                <c:pt idx="0">
                  <c:v>57.8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1820.4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25.9</c:v>
                </c:pt>
              </c:numCache>
            </c:numRef>
          </c:val>
        </c:ser>
        <c:ser>
          <c:idx val="5"/>
          <c:order val="9"/>
          <c:tx>
            <c:strRef>
              <c:f>'Data 1'!$C$151</c:f>
              <c:strCache>
                <c:ptCount val="1"/>
                <c:pt idx="0">
                  <c:v>Solar térmica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</c:spPr>
          <c:invertIfNegative val="0"/>
          <c:val>
            <c:numRef>
              <c:f>'Data 1'!$D$151:$P$151</c:f>
              <c:numCache>
                <c:formatCode>#,##0.00</c:formatCode>
                <c:ptCount val="13"/>
                <c:pt idx="0">
                  <c:v>0</c:v>
                </c:pt>
                <c:pt idx="1">
                  <c:v>617.6</c:v>
                </c:pt>
                <c:pt idx="2">
                  <c:v>0</c:v>
                </c:pt>
                <c:pt idx="3">
                  <c:v>725.3</c:v>
                </c:pt>
                <c:pt idx="4">
                  <c:v>608.70000000000005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784</c:v>
                </c:pt>
                <c:pt idx="9">
                  <c:v>944</c:v>
                </c:pt>
                <c:pt idx="10">
                  <c:v>0</c:v>
                </c:pt>
                <c:pt idx="11">
                  <c:v>0</c:v>
                </c:pt>
                <c:pt idx="12">
                  <c:v>0.7</c:v>
                </c:pt>
              </c:numCache>
            </c:numRef>
          </c:val>
        </c:ser>
        <c:ser>
          <c:idx val="0"/>
          <c:order val="10"/>
          <c:tx>
            <c:strRef>
              <c:f>'Data 1'!$C$146</c:f>
              <c:strCache>
                <c:ptCount val="1"/>
                <c:pt idx="0">
                  <c:v>Turbinación bombeo</c:v>
                </c:pt>
              </c:strCache>
            </c:strRef>
          </c:tx>
          <c:spPr>
            <a:solidFill>
              <a:srgbClr val="95B3D7"/>
            </a:solidFill>
            <a:ln w="25400">
              <a:noFill/>
            </a:ln>
          </c:spPr>
          <c:invertIfNegative val="0"/>
          <c:val>
            <c:numRef>
              <c:f>'Data 1'!$D$146:$P$146</c:f>
              <c:numCache>
                <c:formatCode>#,##0.00</c:formatCode>
                <c:ptCount val="13"/>
                <c:pt idx="0">
                  <c:v>6933.6</c:v>
                </c:pt>
                <c:pt idx="1">
                  <c:v>755.1</c:v>
                </c:pt>
                <c:pt idx="2">
                  <c:v>1460</c:v>
                </c:pt>
                <c:pt idx="3">
                  <c:v>0</c:v>
                </c:pt>
                <c:pt idx="4">
                  <c:v>0</c:v>
                </c:pt>
                <c:pt idx="5">
                  <c:v>2822.9</c:v>
                </c:pt>
                <c:pt idx="6">
                  <c:v>5090.1000000000004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53311192"/>
        <c:axId val="253311584"/>
      </c:barChart>
      <c:lineChart>
        <c:grouping val="standard"/>
        <c:varyColors val="0"/>
        <c:ser>
          <c:idx val="7"/>
          <c:order val="11"/>
          <c:tx>
            <c:v>Precio medio subir</c:v>
          </c:tx>
          <c:spPr>
            <a:ln>
              <a:solidFill>
                <a:srgbClr val="004563"/>
              </a:solidFill>
            </a:ln>
          </c:spPr>
          <c:marker>
            <c:symbol val="none"/>
          </c:marker>
          <c:val>
            <c:numRef>
              <c:f>'Data 1'!$D$156:$P$156</c:f>
              <c:numCache>
                <c:formatCode>#,##0.00</c:formatCode>
                <c:ptCount val="13"/>
              </c:numCache>
            </c:numRef>
          </c:val>
          <c:smooth val="0"/>
        </c:ser>
        <c:ser>
          <c:idx val="9"/>
          <c:order val="12"/>
          <c:tx>
            <c:v>Precio medio bajar</c:v>
          </c:tx>
          <c:spPr>
            <a:ln>
              <a:solidFill>
                <a:srgbClr val="404040"/>
              </a:solidFill>
            </a:ln>
          </c:spPr>
          <c:marker>
            <c:symbol val="none"/>
          </c:marker>
          <c:val>
            <c:numRef>
              <c:f>'Data 1'!$D$158:$P$158</c:f>
              <c:numCache>
                <c:formatCode>#,##0.00</c:formatCode>
                <c:ptCount val="13"/>
                <c:pt idx="0">
                  <c:v>59.043409800500001</c:v>
                </c:pt>
                <c:pt idx="1">
                  <c:v>45.244610503099999</c:v>
                </c:pt>
                <c:pt idx="2">
                  <c:v>42.666926641099998</c:v>
                </c:pt>
                <c:pt idx="3">
                  <c:v>47.541595385500003</c:v>
                </c:pt>
                <c:pt idx="4">
                  <c:v>55.270262020899999</c:v>
                </c:pt>
                <c:pt idx="5">
                  <c:v>48.6004134963</c:v>
                </c:pt>
                <c:pt idx="6">
                  <c:v>49.077318314899998</c:v>
                </c:pt>
                <c:pt idx="7">
                  <c:v>48.041428748900003</c:v>
                </c:pt>
                <c:pt idx="8">
                  <c:v>55.133704327899999</c:v>
                </c:pt>
                <c:pt idx="9">
                  <c:v>59.679777987800001</c:v>
                </c:pt>
                <c:pt idx="10">
                  <c:v>74.139002447199999</c:v>
                </c:pt>
                <c:pt idx="11">
                  <c:v>62.761666666700002</c:v>
                </c:pt>
                <c:pt idx="12">
                  <c:v>56.593756556300001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3310408"/>
        <c:axId val="253310800"/>
      </c:lineChart>
      <c:valAx>
        <c:axId val="253311584"/>
        <c:scaling>
          <c:orientation val="maxMin"/>
          <c:max val="210000"/>
        </c:scaling>
        <c:delete val="0"/>
        <c:axPos val="l"/>
        <c:majorGridlines>
          <c:spPr>
            <a:ln w="3175">
              <a:solidFill>
                <a:srgbClr val="004563"/>
              </a:solidFill>
              <a:prstDash val="sysDot"/>
            </a:ln>
          </c:spPr>
        </c:majorGridlines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>
                <a:solidFill>
                  <a:srgbClr val="004563"/>
                </a:solidFill>
              </a:defRPr>
            </a:pPr>
            <a:endParaRPr lang="es-ES"/>
          </a:p>
        </c:txPr>
        <c:crossAx val="253311192"/>
        <c:crosses val="autoZero"/>
        <c:crossBetween val="between"/>
        <c:majorUnit val="30000"/>
        <c:dispUnits>
          <c:builtInUnit val="thousands"/>
        </c:dispUnits>
      </c:valAx>
      <c:catAx>
        <c:axId val="253311192"/>
        <c:scaling>
          <c:orientation val="minMax"/>
        </c:scaling>
        <c:delete val="1"/>
        <c:axPos val="t"/>
        <c:numFmt formatCode="@" sourceLinked="1"/>
        <c:majorTickMark val="out"/>
        <c:minorTickMark val="none"/>
        <c:tickLblPos val="nextTo"/>
        <c:crossAx val="253311584"/>
        <c:crossesAt val="0"/>
        <c:auto val="1"/>
        <c:lblAlgn val="ctr"/>
        <c:lblOffset val="100"/>
        <c:noMultiLvlLbl val="0"/>
      </c:catAx>
      <c:valAx>
        <c:axId val="253310800"/>
        <c:scaling>
          <c:orientation val="maxMin"/>
          <c:max val="140"/>
        </c:scaling>
        <c:delete val="0"/>
        <c:axPos val="r"/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>
                <a:solidFill>
                  <a:srgbClr val="004563"/>
                </a:solidFill>
              </a:defRPr>
            </a:pPr>
            <a:endParaRPr lang="es-ES"/>
          </a:p>
        </c:txPr>
        <c:crossAx val="253310408"/>
        <c:crosses val="max"/>
        <c:crossBetween val="between"/>
      </c:valAx>
      <c:catAx>
        <c:axId val="253310408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253310800"/>
        <c:crossesAt val="0"/>
        <c:auto val="1"/>
        <c:lblAlgn val="ctr"/>
        <c:lblOffset val="100"/>
        <c:noMultiLvlLbl val="0"/>
      </c:catAx>
      <c:spPr>
        <a:solidFill>
          <a:schemeClr val="bg1">
            <a:lumMod val="85000"/>
          </a:schemeClr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4.716802145004724E-2"/>
          <c:y val="0.78434509708607614"/>
          <c:w val="0.80429471627784466"/>
          <c:h val="0.21565473325906523"/>
        </c:manualLayout>
      </c:layout>
      <c:overlay val="0"/>
    </c:legend>
    <c:plotVisOnly val="1"/>
    <c:dispBlanksAs val="gap"/>
    <c:showDLblsOverMax val="0"/>
  </c:chart>
  <c:spPr>
    <a:solidFill>
      <a:schemeClr val="bg1">
        <a:lumMod val="85000"/>
      </a:schemeClr>
    </a:solidFill>
    <a:ln w="9525">
      <a:noFill/>
    </a:ln>
  </c:spPr>
  <c:txPr>
    <a:bodyPr/>
    <a:lstStyle/>
    <a:p>
      <a:pPr algn="ctr">
        <a:defRPr lang="en-US" sz="800" b="0" i="0" u="none" strike="noStrike" kern="1200" baseline="0">
          <a:solidFill>
            <a:srgbClr val="004563"/>
          </a:solidFill>
          <a:latin typeface="Arial" panose="020B0604020202020204" pitchFamily="34" charset="0"/>
          <a:ea typeface="Calibri"/>
          <a:cs typeface="Arial" panose="020B0604020202020204" pitchFamily="34" charset="0"/>
        </a:defRPr>
      </a:pPr>
      <a:endParaRPr lang="es-ES"/>
    </a:p>
  </c:txPr>
  <c:printSettings>
    <c:headerFooter alignWithMargins="0"/>
    <c:pageMargins b="1" l="0.75000000000001465" r="0.75000000000001465" t="1" header="0" footer="0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631025328334913E-2"/>
          <c:y val="0.12454101736471991"/>
          <c:w val="0.89662947963244555"/>
          <c:h val="0.6927541322157052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'Data 2'!$B$6</c:f>
              <c:strCache>
                <c:ptCount val="1"/>
                <c:pt idx="0">
                  <c:v>Energia (MWh) a subir</c:v>
                </c:pt>
              </c:strCache>
            </c:strRef>
          </c:tx>
          <c:spPr>
            <a:solidFill>
              <a:srgbClr val="007AB0"/>
            </a:solidFill>
            <a:ln>
              <a:noFill/>
            </a:ln>
            <a:effectLst/>
          </c:spPr>
          <c:invertIfNegative val="0"/>
          <c:cat>
            <c:strRef>
              <c:f>'Data 1'!$A$45:$A$57</c:f>
              <c:strCache>
                <c:ptCount val="13"/>
                <c:pt idx="0">
                  <c:v>F</c:v>
                </c:pt>
                <c:pt idx="1">
                  <c:v>M</c:v>
                </c:pt>
                <c:pt idx="2">
                  <c:v>A</c:v>
                </c:pt>
                <c:pt idx="3">
                  <c:v>M</c:v>
                </c:pt>
                <c:pt idx="4">
                  <c:v>J</c:v>
                </c:pt>
                <c:pt idx="5">
                  <c:v>J</c:v>
                </c:pt>
                <c:pt idx="6">
                  <c:v>A</c:v>
                </c:pt>
                <c:pt idx="7">
                  <c:v>S</c:v>
                </c:pt>
                <c:pt idx="8">
                  <c:v>O</c:v>
                </c:pt>
                <c:pt idx="9">
                  <c:v>N</c:v>
                </c:pt>
                <c:pt idx="10">
                  <c:v>D</c:v>
                </c:pt>
                <c:pt idx="11">
                  <c:v>E</c:v>
                </c:pt>
                <c:pt idx="12">
                  <c:v>F</c:v>
                </c:pt>
              </c:strCache>
            </c:strRef>
          </c:cat>
          <c:val>
            <c:numRef>
              <c:f>'Data 2'!$C$6:$O$6</c:f>
              <c:numCache>
                <c:formatCode>#,##0</c:formatCode>
                <c:ptCount val="13"/>
                <c:pt idx="0">
                  <c:v>690.06696428570001</c:v>
                </c:pt>
                <c:pt idx="1">
                  <c:v>679.79004037690004</c:v>
                </c:pt>
                <c:pt idx="2">
                  <c:v>667.79305555559995</c:v>
                </c:pt>
                <c:pt idx="3">
                  <c:v>657.63440860219998</c:v>
                </c:pt>
                <c:pt idx="4">
                  <c:v>680.75416666670003</c:v>
                </c:pt>
                <c:pt idx="5">
                  <c:v>681.72177419349998</c:v>
                </c:pt>
                <c:pt idx="6">
                  <c:v>685.08333333329995</c:v>
                </c:pt>
                <c:pt idx="7">
                  <c:v>666.50138888890001</c:v>
                </c:pt>
                <c:pt idx="8">
                  <c:v>686.99597315439996</c:v>
                </c:pt>
                <c:pt idx="9">
                  <c:v>674.33472222219996</c:v>
                </c:pt>
                <c:pt idx="10">
                  <c:v>695.75403225809998</c:v>
                </c:pt>
                <c:pt idx="11">
                  <c:v>703.82795698919995</c:v>
                </c:pt>
                <c:pt idx="12">
                  <c:v>654.95089285710003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59830096"/>
        <c:axId val="259830488"/>
      </c:barChart>
      <c:lineChart>
        <c:grouping val="standard"/>
        <c:varyColors val="0"/>
        <c:ser>
          <c:idx val="2"/>
          <c:order val="1"/>
          <c:tx>
            <c:strRef>
              <c:f>'Data 2'!$B$8</c:f>
              <c:strCache>
                <c:ptCount val="1"/>
                <c:pt idx="0">
                  <c:v>Precio ( €/MWh)</c:v>
                </c:pt>
              </c:strCache>
            </c:strRef>
          </c:tx>
          <c:spPr>
            <a:ln w="28575" cap="rnd">
              <a:solidFill>
                <a:srgbClr val="004563"/>
              </a:solidFill>
              <a:round/>
            </a:ln>
            <a:effectLst/>
          </c:spPr>
          <c:marker>
            <c:symbol val="none"/>
          </c:marker>
          <c:cat>
            <c:strRef>
              <c:f>'M9'!$O$4:$AA$4</c:f>
              <c:strCache>
                <c:ptCount val="13"/>
                <c:pt idx="0">
                  <c:v>J</c:v>
                </c:pt>
                <c:pt idx="1">
                  <c:v>D</c:v>
                </c:pt>
                <c:pt idx="2">
                  <c:v>E</c:v>
                </c:pt>
                <c:pt idx="3">
                  <c:v>F</c:v>
                </c:pt>
                <c:pt idx="4">
                  <c:v>M</c:v>
                </c:pt>
                <c:pt idx="5">
                  <c:v>A</c:v>
                </c:pt>
                <c:pt idx="6">
                  <c:v>M</c:v>
                </c:pt>
                <c:pt idx="7">
                  <c:v>J</c:v>
                </c:pt>
                <c:pt idx="8">
                  <c:v>J</c:v>
                </c:pt>
                <c:pt idx="9">
                  <c:v>A</c:v>
                </c:pt>
                <c:pt idx="10">
                  <c:v>S</c:v>
                </c:pt>
                <c:pt idx="11">
                  <c:v>O</c:v>
                </c:pt>
                <c:pt idx="12">
                  <c:v>N</c:v>
                </c:pt>
              </c:strCache>
            </c:strRef>
          </c:cat>
          <c:val>
            <c:numRef>
              <c:f>'Data 2'!$C$8:$O$8</c:f>
              <c:numCache>
                <c:formatCode>0.0</c:formatCode>
                <c:ptCount val="13"/>
                <c:pt idx="0">
                  <c:v>15.125065320299999</c:v>
                </c:pt>
                <c:pt idx="1">
                  <c:v>11.5469110496</c:v>
                </c:pt>
                <c:pt idx="2">
                  <c:v>14.6645191734</c:v>
                </c:pt>
                <c:pt idx="3">
                  <c:v>14.2514912811</c:v>
                </c:pt>
                <c:pt idx="4">
                  <c:v>11.9237809565</c:v>
                </c:pt>
                <c:pt idx="5">
                  <c:v>10.3340536748</c:v>
                </c:pt>
                <c:pt idx="6">
                  <c:v>10.640429382000001</c:v>
                </c:pt>
                <c:pt idx="7">
                  <c:v>10.716390382</c:v>
                </c:pt>
                <c:pt idx="8">
                  <c:v>17.145887023699999</c:v>
                </c:pt>
                <c:pt idx="9">
                  <c:v>13.6975213023</c:v>
                </c:pt>
                <c:pt idx="10">
                  <c:v>21.612955502799998</c:v>
                </c:pt>
                <c:pt idx="11">
                  <c:v>15.876601324499999</c:v>
                </c:pt>
                <c:pt idx="12">
                  <c:v>11.467495272700001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9915784"/>
        <c:axId val="259915392"/>
      </c:lineChart>
      <c:catAx>
        <c:axId val="2598300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004563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59830488"/>
        <c:crosses val="autoZero"/>
        <c:auto val="1"/>
        <c:lblAlgn val="ctr"/>
        <c:lblOffset val="100"/>
        <c:noMultiLvlLbl val="1"/>
      </c:catAx>
      <c:valAx>
        <c:axId val="259830488"/>
        <c:scaling>
          <c:orientation val="minMax"/>
          <c:min val="0"/>
        </c:scaling>
        <c:delete val="0"/>
        <c:axPos val="l"/>
        <c:majorGridlines>
          <c:spPr>
            <a:ln w="3175" cap="flat" cmpd="sng" algn="ctr">
              <a:solidFill>
                <a:srgbClr val="004563"/>
              </a:solidFill>
              <a:prstDash val="sysDot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 sz="800">
                    <a:solidFill>
                      <a:srgbClr val="004563"/>
                    </a:solidFill>
                  </a:rPr>
                  <a:t>GW</a:t>
                </a:r>
              </a:p>
            </c:rich>
          </c:tx>
          <c:layout>
            <c:manualLayout>
              <c:xMode val="edge"/>
              <c:yMode val="edge"/>
              <c:x val="2.1914394226280522E-2"/>
              <c:y val="1.143555889398472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59830096"/>
        <c:crosses val="autoZero"/>
        <c:crossBetween val="between"/>
        <c:majorUnit val="200"/>
      </c:valAx>
      <c:valAx>
        <c:axId val="259915392"/>
        <c:scaling>
          <c:orientation val="minMax"/>
          <c:max val="4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 sz="800">
                    <a:solidFill>
                      <a:srgbClr val="004563"/>
                    </a:solidFill>
                  </a:rPr>
                  <a:t>€/MW</a:t>
                </a:r>
              </a:p>
            </c:rich>
          </c:tx>
          <c:layout>
            <c:manualLayout>
              <c:xMode val="edge"/>
              <c:yMode val="edge"/>
              <c:x val="0.94481793598262565"/>
              <c:y val="2.2046861853368505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59915784"/>
        <c:crosses val="max"/>
        <c:crossBetween val="between"/>
        <c:majorUnit val="10"/>
      </c:valAx>
      <c:catAx>
        <c:axId val="2599157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5991539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rgbClr val="D9D9D9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 horizontalDpi="355" verticalDpi="355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6.xml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2.png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2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4.xml"/><Relationship Id="rId2" Type="http://schemas.openxmlformats.org/officeDocument/2006/relationships/image" Target="../media/image2.png"/><Relationship Id="rId1" Type="http://schemas.openxmlformats.org/officeDocument/2006/relationships/chart" Target="../charts/chart13.xml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6.xml"/><Relationship Id="rId2" Type="http://schemas.openxmlformats.org/officeDocument/2006/relationships/image" Target="../media/image2.png"/><Relationship Id="rId1" Type="http://schemas.openxmlformats.org/officeDocument/2006/relationships/chart" Target="../charts/chart15.xml"/></Relationships>
</file>

<file path=xl/drawings/_rels/drawing2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image" Target="../media/image2.png"/><Relationship Id="rId1" Type="http://schemas.openxmlformats.org/officeDocument/2006/relationships/chart" Target="../charts/chart17.xml"/></Relationships>
</file>

<file path=xl/drawings/_rels/drawing3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9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22860</xdr:colOff>
      <xdr:row>5</xdr:row>
      <xdr:rowOff>38099</xdr:rowOff>
    </xdr:from>
    <xdr:to>
      <xdr:col>2</xdr:col>
      <xdr:colOff>1066800</xdr:colOff>
      <xdr:row>22</xdr:row>
      <xdr:rowOff>19049</xdr:rowOff>
    </xdr:to>
    <xdr:pic>
      <xdr:nvPicPr>
        <xdr:cNvPr id="2" name="Picture 3"/>
        <xdr:cNvPicPr>
          <a:picLocks noChangeArrowheads="1"/>
        </xdr:cNvPicPr>
      </xdr:nvPicPr>
      <xdr:blipFill>
        <a:blip xmlns:r="http://schemas.openxmlformats.org/officeDocument/2006/relationships" r:embed="rId1">
          <a:lum bright="4000"/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" y="876299"/>
          <a:ext cx="1043940" cy="2352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28575</xdr:colOff>
      <xdr:row>1</xdr:row>
      <xdr:rowOff>142875</xdr:rowOff>
    </xdr:from>
    <xdr:to>
      <xdr:col>2</xdr:col>
      <xdr:colOff>942975</xdr:colOff>
      <xdr:row>2</xdr:row>
      <xdr:rowOff>150495</xdr:rowOff>
    </xdr:to>
    <xdr:pic>
      <xdr:nvPicPr>
        <xdr:cNvPr id="3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52400"/>
          <a:ext cx="91440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171448</xdr:colOff>
      <xdr:row>2</xdr:row>
      <xdr:rowOff>184785</xdr:rowOff>
    </xdr:from>
    <xdr:to>
      <xdr:col>4</xdr:col>
      <xdr:colOff>6353174</xdr:colOff>
      <xdr:row>3</xdr:row>
      <xdr:rowOff>19050</xdr:rowOff>
    </xdr:to>
    <xdr:sp macro="" textlink="">
      <xdr:nvSpPr>
        <xdr:cNvPr id="4" name="Line 7"/>
        <xdr:cNvSpPr>
          <a:spLocks noChangeShapeType="1"/>
        </xdr:cNvSpPr>
      </xdr:nvSpPr>
      <xdr:spPr bwMode="auto">
        <a:xfrm flipH="1" flipV="1">
          <a:off x="180973" y="461010"/>
          <a:ext cx="7772401" cy="24765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</cdr:x>
      <cdr:y>0.10865</cdr:y>
    </cdr:from>
    <cdr:to>
      <cdr:x>0.07221</cdr:x>
      <cdr:y>0.1806</cdr:y>
    </cdr:to>
    <cdr:sp macro="" textlink="">
      <cdr:nvSpPr>
        <cdr:cNvPr id="2" name="CuadroTexto 1"/>
        <cdr:cNvSpPr txBox="1"/>
      </cdr:nvSpPr>
      <cdr:spPr>
        <a:xfrm xmlns:a="http://schemas.openxmlformats.org/drawingml/2006/main">
          <a:off x="0" y="317500"/>
          <a:ext cx="509627" cy="210250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800" b="0" i="0" baseline="0">
              <a:solidFill>
                <a:srgbClr val="004563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€/MWh</a:t>
          </a:r>
          <a:endParaRPr lang="en-US" sz="800">
            <a:solidFill>
              <a:srgbClr val="004563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0.37905</cdr:x>
      <cdr:y>0.93906</cdr:y>
    </cdr:from>
    <cdr:to>
      <cdr:x>0.46948</cdr:x>
      <cdr:y>1</cdr:y>
    </cdr:to>
    <cdr:sp macro="" textlink="">
      <cdr:nvSpPr>
        <cdr:cNvPr id="3" name="CuadroTexto 1"/>
        <cdr:cNvSpPr txBox="1"/>
      </cdr:nvSpPr>
      <cdr:spPr>
        <a:xfrm xmlns:a="http://schemas.openxmlformats.org/drawingml/2006/main">
          <a:off x="2674461" y="2824687"/>
          <a:ext cx="638042" cy="18330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2017</a:t>
          </a:r>
        </a:p>
      </cdr:txBody>
    </cdr:sp>
  </cdr:relSizeAnchor>
  <cdr:relSizeAnchor xmlns:cdr="http://schemas.openxmlformats.org/drawingml/2006/chartDrawing">
    <cdr:from>
      <cdr:x>0.8615</cdr:x>
      <cdr:y>0.93329</cdr:y>
    </cdr:from>
    <cdr:to>
      <cdr:x>0.94131</cdr:x>
      <cdr:y>0.99845</cdr:y>
    </cdr:to>
    <cdr:sp macro="" textlink="">
      <cdr:nvSpPr>
        <cdr:cNvPr id="4" name="CuadroTexto 1"/>
        <cdr:cNvSpPr txBox="1"/>
      </cdr:nvSpPr>
      <cdr:spPr>
        <a:xfrm xmlns:a="http://schemas.openxmlformats.org/drawingml/2006/main">
          <a:off x="6078439" y="2807332"/>
          <a:ext cx="563111" cy="1960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2018</a:t>
          </a:r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922020</xdr:colOff>
      <xdr:row>2</xdr:row>
      <xdr:rowOff>167640</xdr:rowOff>
    </xdr:to>
    <xdr:pic>
      <xdr:nvPicPr>
        <xdr:cNvPr id="3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91440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15240</xdr:colOff>
      <xdr:row>3</xdr:row>
      <xdr:rowOff>30478</xdr:rowOff>
    </xdr:from>
    <xdr:to>
      <xdr:col>6</xdr:col>
      <xdr:colOff>762000</xdr:colOff>
      <xdr:row>3</xdr:row>
      <xdr:rowOff>38099</xdr:rowOff>
    </xdr:to>
    <xdr:sp macro="" textlink="">
      <xdr:nvSpPr>
        <xdr:cNvPr id="4" name="Line 10"/>
        <xdr:cNvSpPr>
          <a:spLocks noChangeShapeType="1"/>
        </xdr:cNvSpPr>
      </xdr:nvSpPr>
      <xdr:spPr bwMode="auto">
        <a:xfrm flipH="1" flipV="1">
          <a:off x="205740" y="487678"/>
          <a:ext cx="6938010" cy="7621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3</xdr:col>
      <xdr:colOff>83820</xdr:colOff>
      <xdr:row>6</xdr:row>
      <xdr:rowOff>15240</xdr:rowOff>
    </xdr:from>
    <xdr:to>
      <xdr:col>5</xdr:col>
      <xdr:colOff>7620</xdr:colOff>
      <xdr:row>24</xdr:row>
      <xdr:rowOff>171450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7620</xdr:colOff>
      <xdr:row>1</xdr:row>
      <xdr:rowOff>160020</xdr:rowOff>
    </xdr:from>
    <xdr:to>
      <xdr:col>2</xdr:col>
      <xdr:colOff>922020</xdr:colOff>
      <xdr:row>2</xdr:row>
      <xdr:rowOff>167640</xdr:rowOff>
    </xdr:to>
    <xdr:pic>
      <xdr:nvPicPr>
        <xdr:cNvPr id="3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91440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15240</xdr:colOff>
      <xdr:row>3</xdr:row>
      <xdr:rowOff>30480</xdr:rowOff>
    </xdr:from>
    <xdr:to>
      <xdr:col>5</xdr:col>
      <xdr:colOff>0</xdr:colOff>
      <xdr:row>3</xdr:row>
      <xdr:rowOff>30480</xdr:rowOff>
    </xdr:to>
    <xdr:sp macro="" textlink="">
      <xdr:nvSpPr>
        <xdr:cNvPr id="4" name="Line 10"/>
        <xdr:cNvSpPr>
          <a:spLocks noChangeShapeType="1"/>
        </xdr:cNvSpPr>
      </xdr:nvSpPr>
      <xdr:spPr bwMode="auto">
        <a:xfrm flipH="1">
          <a:off x="205740" y="487680"/>
          <a:ext cx="87001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0.01125</cdr:x>
      <cdr:y>0.09098</cdr:y>
    </cdr:from>
    <cdr:to>
      <cdr:x>0.06714</cdr:x>
      <cdr:y>0.16183</cdr:y>
    </cdr:to>
    <cdr:sp macro="" textlink="">
      <cdr:nvSpPr>
        <cdr:cNvPr id="2" name="CuadroTexto 5"/>
        <cdr:cNvSpPr txBox="1"/>
      </cdr:nvSpPr>
      <cdr:spPr>
        <a:xfrm xmlns:a="http://schemas.openxmlformats.org/drawingml/2006/main">
          <a:off x="79375" y="279400"/>
          <a:ext cx="394532" cy="217560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800">
              <a:solidFill>
                <a:srgbClr val="004563"/>
              </a:solidFill>
            </a:rPr>
            <a:t>GWh</a:t>
          </a:r>
        </a:p>
      </cdr:txBody>
    </cdr:sp>
  </cdr:relSizeAnchor>
</c:userShapes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1482588</xdr:colOff>
      <xdr:row>6</xdr:row>
      <xdr:rowOff>49695</xdr:rowOff>
    </xdr:from>
    <xdr:to>
      <xdr:col>11</xdr:col>
      <xdr:colOff>687927</xdr:colOff>
      <xdr:row>21</xdr:row>
      <xdr:rowOff>99391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1482587</xdr:colOff>
      <xdr:row>20</xdr:row>
      <xdr:rowOff>157369</xdr:rowOff>
    </xdr:from>
    <xdr:to>
      <xdr:col>11</xdr:col>
      <xdr:colOff>687456</xdr:colOff>
      <xdr:row>36</xdr:row>
      <xdr:rowOff>41386</xdr:rowOff>
    </xdr:to>
    <xdr:graphicFrame macro="">
      <xdr:nvGraphicFramePr>
        <xdr:cNvPr id="3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1</xdr:col>
      <xdr:colOff>14654</xdr:colOff>
      <xdr:row>0</xdr:row>
      <xdr:rowOff>21981</xdr:rowOff>
    </xdr:from>
    <xdr:to>
      <xdr:col>1</xdr:col>
      <xdr:colOff>929054</xdr:colOff>
      <xdr:row>1</xdr:row>
      <xdr:rowOff>135109</xdr:rowOff>
    </xdr:to>
    <xdr:pic>
      <xdr:nvPicPr>
        <xdr:cNvPr id="4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7827" y="21981"/>
          <a:ext cx="91440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0</xdr:col>
      <xdr:colOff>165943</xdr:colOff>
      <xdr:row>2</xdr:row>
      <xdr:rowOff>20881</xdr:rowOff>
    </xdr:from>
    <xdr:to>
      <xdr:col>11</xdr:col>
      <xdr:colOff>745433</xdr:colOff>
      <xdr:row>2</xdr:row>
      <xdr:rowOff>49694</xdr:rowOff>
    </xdr:to>
    <xdr:sp macro="" textlink="">
      <xdr:nvSpPr>
        <xdr:cNvPr id="5" name="Line 7"/>
        <xdr:cNvSpPr>
          <a:spLocks noChangeShapeType="1"/>
        </xdr:cNvSpPr>
      </xdr:nvSpPr>
      <xdr:spPr bwMode="auto">
        <a:xfrm flipH="1" flipV="1">
          <a:off x="165943" y="352185"/>
          <a:ext cx="9209968" cy="28813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0.00664</cdr:x>
      <cdr:y>0.02004</cdr:y>
    </cdr:from>
    <cdr:to>
      <cdr:x>0.05819</cdr:x>
      <cdr:y>0.10588</cdr:y>
    </cdr:to>
    <cdr:sp macro="" textlink="">
      <cdr:nvSpPr>
        <cdr:cNvPr id="2" name="CuadroTexto 5"/>
        <cdr:cNvSpPr txBox="1"/>
      </cdr:nvSpPr>
      <cdr:spPr>
        <a:xfrm xmlns:a="http://schemas.openxmlformats.org/drawingml/2006/main">
          <a:off x="50800" y="50800"/>
          <a:ext cx="394532" cy="217560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800">
              <a:solidFill>
                <a:srgbClr val="004563"/>
              </a:solidFill>
            </a:rPr>
            <a:t>GWh</a:t>
          </a:r>
        </a:p>
      </cdr:txBody>
    </cdr:sp>
  </cdr:relSizeAnchor>
  <cdr:relSizeAnchor xmlns:cdr="http://schemas.openxmlformats.org/drawingml/2006/chartDrawing">
    <cdr:from>
      <cdr:x>0.81679</cdr:x>
      <cdr:y>0.11708</cdr:y>
    </cdr:from>
    <cdr:to>
      <cdr:x>0.81926</cdr:x>
      <cdr:y>0.81169</cdr:y>
    </cdr:to>
    <cdr:cxnSp macro="">
      <cdr:nvCxnSpPr>
        <cdr:cNvPr id="3" name="Conector recto 2"/>
        <cdr:cNvCxnSpPr/>
      </cdr:nvCxnSpPr>
      <cdr:spPr bwMode="auto">
        <a:xfrm xmlns:a="http://schemas.openxmlformats.org/drawingml/2006/main" flipH="1" flipV="1">
          <a:off x="6251688" y="290184"/>
          <a:ext cx="18905" cy="1721640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0.86538</cdr:x>
      <cdr:y>0.89529</cdr:y>
    </cdr:from>
    <cdr:to>
      <cdr:x>0.93901</cdr:x>
      <cdr:y>0.96874</cdr:y>
    </cdr:to>
    <cdr:sp macro="" textlink="">
      <cdr:nvSpPr>
        <cdr:cNvPr id="6" name="CuadroTexto 1"/>
        <cdr:cNvSpPr txBox="1"/>
      </cdr:nvSpPr>
      <cdr:spPr>
        <a:xfrm xmlns:a="http://schemas.openxmlformats.org/drawingml/2006/main">
          <a:off x="6623622" y="2219033"/>
          <a:ext cx="563565" cy="18205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2018</a:t>
          </a:r>
        </a:p>
      </cdr:txBody>
    </cdr:sp>
  </cdr:relSizeAnchor>
  <cdr:relSizeAnchor xmlns:cdr="http://schemas.openxmlformats.org/drawingml/2006/chartDrawing">
    <cdr:from>
      <cdr:x>0.38173</cdr:x>
      <cdr:y>0.88957</cdr:y>
    </cdr:from>
    <cdr:to>
      <cdr:x>0.45535</cdr:x>
      <cdr:y>0.96302</cdr:y>
    </cdr:to>
    <cdr:sp macro="" textlink="">
      <cdr:nvSpPr>
        <cdr:cNvPr id="7" name="CuadroTexto 1"/>
        <cdr:cNvSpPr txBox="1"/>
      </cdr:nvSpPr>
      <cdr:spPr>
        <a:xfrm xmlns:a="http://schemas.openxmlformats.org/drawingml/2006/main">
          <a:off x="2921775" y="2204858"/>
          <a:ext cx="563489" cy="18205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2017</a:t>
          </a:r>
        </a:p>
      </cdr:txBody>
    </cdr:sp>
  </cdr:relSizeAnchor>
</c:userShapes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0.81773</cdr:x>
      <cdr:y>0.06638</cdr:y>
    </cdr:from>
    <cdr:to>
      <cdr:x>0.8202</cdr:x>
      <cdr:y>0.761</cdr:y>
    </cdr:to>
    <cdr:cxnSp macro="">
      <cdr:nvCxnSpPr>
        <cdr:cNvPr id="2" name="Conector recto 1"/>
        <cdr:cNvCxnSpPr/>
      </cdr:nvCxnSpPr>
      <cdr:spPr bwMode="auto">
        <a:xfrm xmlns:a="http://schemas.openxmlformats.org/drawingml/2006/main" flipH="1" flipV="1">
          <a:off x="6258550" y="164275"/>
          <a:ext cx="18904" cy="1719058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3314</xdr:colOff>
      <xdr:row>6</xdr:row>
      <xdr:rowOff>41412</xdr:rowOff>
    </xdr:from>
    <xdr:to>
      <xdr:col>11</xdr:col>
      <xdr:colOff>670892</xdr:colOff>
      <xdr:row>20</xdr:row>
      <xdr:rowOff>91108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2375</xdr:colOff>
      <xdr:row>19</xdr:row>
      <xdr:rowOff>149087</xdr:rowOff>
    </xdr:from>
    <xdr:to>
      <xdr:col>11</xdr:col>
      <xdr:colOff>670892</xdr:colOff>
      <xdr:row>30</xdr:row>
      <xdr:rowOff>74544</xdr:rowOff>
    </xdr:to>
    <xdr:graphicFrame macro="">
      <xdr:nvGraphicFramePr>
        <xdr:cNvPr id="3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1</xdr:col>
      <xdr:colOff>14654</xdr:colOff>
      <xdr:row>0</xdr:row>
      <xdr:rowOff>21981</xdr:rowOff>
    </xdr:from>
    <xdr:to>
      <xdr:col>1</xdr:col>
      <xdr:colOff>929054</xdr:colOff>
      <xdr:row>1</xdr:row>
      <xdr:rowOff>135109</xdr:rowOff>
    </xdr:to>
    <xdr:pic>
      <xdr:nvPicPr>
        <xdr:cNvPr id="4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629" y="21981"/>
          <a:ext cx="914400" cy="2750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0</xdr:col>
      <xdr:colOff>165943</xdr:colOff>
      <xdr:row>2</xdr:row>
      <xdr:rowOff>20881</xdr:rowOff>
    </xdr:from>
    <xdr:to>
      <xdr:col>12</xdr:col>
      <xdr:colOff>115954</xdr:colOff>
      <xdr:row>2</xdr:row>
      <xdr:rowOff>49694</xdr:rowOff>
    </xdr:to>
    <xdr:sp macro="" textlink="">
      <xdr:nvSpPr>
        <xdr:cNvPr id="5" name="Line 7"/>
        <xdr:cNvSpPr>
          <a:spLocks noChangeShapeType="1"/>
        </xdr:cNvSpPr>
      </xdr:nvSpPr>
      <xdr:spPr bwMode="auto">
        <a:xfrm flipH="1" flipV="1">
          <a:off x="165943" y="344731"/>
          <a:ext cx="9209140" cy="28813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0.81724</cdr:x>
      <cdr:y>0.12526</cdr:y>
    </cdr:from>
    <cdr:to>
      <cdr:x>0.81814</cdr:x>
      <cdr:y>0.81297</cdr:y>
    </cdr:to>
    <cdr:cxnSp macro="">
      <cdr:nvCxnSpPr>
        <cdr:cNvPr id="2" name="Conector recto 1"/>
        <cdr:cNvCxnSpPr/>
      </cdr:nvCxnSpPr>
      <cdr:spPr bwMode="auto">
        <a:xfrm xmlns:a="http://schemas.openxmlformats.org/drawingml/2006/main" flipH="1" flipV="1">
          <a:off x="6157953" y="290179"/>
          <a:ext cx="6782" cy="1593181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0.85539</cdr:x>
      <cdr:y>0.8711</cdr:y>
    </cdr:from>
    <cdr:to>
      <cdr:x>0.93019</cdr:x>
      <cdr:y>0.94969</cdr:y>
    </cdr:to>
    <cdr:sp macro="" textlink="">
      <cdr:nvSpPr>
        <cdr:cNvPr id="4" name="CuadroTexto 1"/>
        <cdr:cNvSpPr txBox="1"/>
      </cdr:nvSpPr>
      <cdr:spPr>
        <a:xfrm xmlns:a="http://schemas.openxmlformats.org/drawingml/2006/main">
          <a:off x="6445464" y="2018030"/>
          <a:ext cx="563625" cy="1820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2018</a:t>
          </a:r>
        </a:p>
      </cdr:txBody>
    </cdr:sp>
  </cdr:relSizeAnchor>
  <cdr:relSizeAnchor xmlns:cdr="http://schemas.openxmlformats.org/drawingml/2006/chartDrawing">
    <cdr:from>
      <cdr:x>0.3767</cdr:x>
      <cdr:y>0.87731</cdr:y>
    </cdr:from>
    <cdr:to>
      <cdr:x>0.4515</cdr:x>
      <cdr:y>0.9559</cdr:y>
    </cdr:to>
    <cdr:sp macro="" textlink="">
      <cdr:nvSpPr>
        <cdr:cNvPr id="5" name="CuadroTexto 1"/>
        <cdr:cNvSpPr txBox="1"/>
      </cdr:nvSpPr>
      <cdr:spPr>
        <a:xfrm xmlns:a="http://schemas.openxmlformats.org/drawingml/2006/main">
          <a:off x="2838442" y="2032417"/>
          <a:ext cx="563626" cy="1820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2017</a:t>
          </a:r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0.81772</cdr:x>
      <cdr:y>0.0276</cdr:y>
    </cdr:from>
    <cdr:to>
      <cdr:x>0.81946</cdr:x>
      <cdr:y>0.86172</cdr:y>
    </cdr:to>
    <cdr:cxnSp macro="">
      <cdr:nvCxnSpPr>
        <cdr:cNvPr id="2" name="Conector recto 1"/>
        <cdr:cNvCxnSpPr/>
      </cdr:nvCxnSpPr>
      <cdr:spPr bwMode="auto">
        <a:xfrm xmlns:a="http://schemas.openxmlformats.org/drawingml/2006/main" flipH="1" flipV="1">
          <a:off x="6162403" y="47101"/>
          <a:ext cx="13113" cy="1423536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</xdr:row>
      <xdr:rowOff>0</xdr:rowOff>
    </xdr:from>
    <xdr:to>
      <xdr:col>2</xdr:col>
      <xdr:colOff>914400</xdr:colOff>
      <xdr:row>2</xdr:row>
      <xdr:rowOff>112395</xdr:rowOff>
    </xdr:to>
    <xdr:pic>
      <xdr:nvPicPr>
        <xdr:cNvPr id="3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133350"/>
          <a:ext cx="91440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160020</xdr:colOff>
      <xdr:row>3</xdr:row>
      <xdr:rowOff>0</xdr:rowOff>
    </xdr:from>
    <xdr:to>
      <xdr:col>11</xdr:col>
      <xdr:colOff>695325</xdr:colOff>
      <xdr:row>3</xdr:row>
      <xdr:rowOff>3810</xdr:rowOff>
    </xdr:to>
    <xdr:sp macro="" textlink="">
      <xdr:nvSpPr>
        <xdr:cNvPr id="4" name="Line 7"/>
        <xdr:cNvSpPr>
          <a:spLocks noChangeShapeType="1"/>
        </xdr:cNvSpPr>
      </xdr:nvSpPr>
      <xdr:spPr bwMode="auto">
        <a:xfrm flipH="1">
          <a:off x="160020" y="457200"/>
          <a:ext cx="7536180" cy="381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11</xdr:col>
      <xdr:colOff>704850</xdr:colOff>
      <xdr:row>24</xdr:row>
      <xdr:rowOff>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9221</xdr:colOff>
      <xdr:row>5</xdr:row>
      <xdr:rowOff>91107</xdr:rowOff>
    </xdr:from>
    <xdr:to>
      <xdr:col>11</xdr:col>
      <xdr:colOff>676799</xdr:colOff>
      <xdr:row>19</xdr:row>
      <xdr:rowOff>165651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8282</xdr:colOff>
      <xdr:row>19</xdr:row>
      <xdr:rowOff>66261</xdr:rowOff>
    </xdr:from>
    <xdr:to>
      <xdr:col>11</xdr:col>
      <xdr:colOff>676799</xdr:colOff>
      <xdr:row>29</xdr:row>
      <xdr:rowOff>157370</xdr:rowOff>
    </xdr:to>
    <xdr:graphicFrame macro="">
      <xdr:nvGraphicFramePr>
        <xdr:cNvPr id="3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1</xdr:col>
      <xdr:colOff>14654</xdr:colOff>
      <xdr:row>0</xdr:row>
      <xdr:rowOff>21981</xdr:rowOff>
    </xdr:from>
    <xdr:to>
      <xdr:col>1</xdr:col>
      <xdr:colOff>929054</xdr:colOff>
      <xdr:row>1</xdr:row>
      <xdr:rowOff>135109</xdr:rowOff>
    </xdr:to>
    <xdr:pic>
      <xdr:nvPicPr>
        <xdr:cNvPr id="4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629" y="21981"/>
          <a:ext cx="914400" cy="2750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0</xdr:col>
      <xdr:colOff>165943</xdr:colOff>
      <xdr:row>2</xdr:row>
      <xdr:rowOff>20881</xdr:rowOff>
    </xdr:from>
    <xdr:to>
      <xdr:col>12</xdr:col>
      <xdr:colOff>115954</xdr:colOff>
      <xdr:row>2</xdr:row>
      <xdr:rowOff>49694</xdr:rowOff>
    </xdr:to>
    <xdr:sp macro="" textlink="">
      <xdr:nvSpPr>
        <xdr:cNvPr id="5" name="Line 7"/>
        <xdr:cNvSpPr>
          <a:spLocks noChangeShapeType="1"/>
        </xdr:cNvSpPr>
      </xdr:nvSpPr>
      <xdr:spPr bwMode="auto">
        <a:xfrm flipH="1" flipV="1">
          <a:off x="165943" y="344731"/>
          <a:ext cx="9208311" cy="28813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0.81973</cdr:x>
      <cdr:y>0.12457</cdr:y>
    </cdr:from>
    <cdr:to>
      <cdr:x>0.81992</cdr:x>
      <cdr:y>0.82399</cdr:y>
    </cdr:to>
    <cdr:cxnSp macro="">
      <cdr:nvCxnSpPr>
        <cdr:cNvPr id="2" name="Conector recto 1"/>
        <cdr:cNvCxnSpPr/>
      </cdr:nvCxnSpPr>
      <cdr:spPr bwMode="auto">
        <a:xfrm xmlns:a="http://schemas.openxmlformats.org/drawingml/2006/main" flipV="1">
          <a:off x="6176746" y="291680"/>
          <a:ext cx="1432" cy="1637688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0.86264</cdr:x>
      <cdr:y>0.88627</cdr:y>
    </cdr:from>
    <cdr:to>
      <cdr:x>0.93745</cdr:x>
      <cdr:y>0.96405</cdr:y>
    </cdr:to>
    <cdr:sp macro="" textlink="">
      <cdr:nvSpPr>
        <cdr:cNvPr id="4" name="CuadroTexto 1"/>
        <cdr:cNvSpPr txBox="1"/>
      </cdr:nvSpPr>
      <cdr:spPr>
        <a:xfrm xmlns:a="http://schemas.openxmlformats.org/drawingml/2006/main">
          <a:off x="6500066" y="2075196"/>
          <a:ext cx="563701" cy="18212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2018</a:t>
          </a:r>
        </a:p>
      </cdr:txBody>
    </cdr:sp>
  </cdr:relSizeAnchor>
  <cdr:relSizeAnchor xmlns:cdr="http://schemas.openxmlformats.org/drawingml/2006/chartDrawing">
    <cdr:from>
      <cdr:x>0.37763</cdr:x>
      <cdr:y>0.87615</cdr:y>
    </cdr:from>
    <cdr:to>
      <cdr:x>0.45242</cdr:x>
      <cdr:y>0.95393</cdr:y>
    </cdr:to>
    <cdr:sp macro="" textlink="">
      <cdr:nvSpPr>
        <cdr:cNvPr id="5" name="CuadroTexto 1"/>
        <cdr:cNvSpPr txBox="1"/>
      </cdr:nvSpPr>
      <cdr:spPr>
        <a:xfrm xmlns:a="http://schemas.openxmlformats.org/drawingml/2006/main">
          <a:off x="2845494" y="2051496"/>
          <a:ext cx="563550" cy="18212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2017</a:t>
          </a:r>
        </a:p>
      </cdr:txBody>
    </cdr:sp>
  </cdr:relSizeAnchor>
</c:userShapes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0.81884</cdr:x>
      <cdr:y>0.0319</cdr:y>
    </cdr:from>
    <cdr:to>
      <cdr:x>0.81994</cdr:x>
      <cdr:y>0.85901</cdr:y>
    </cdr:to>
    <cdr:cxnSp macro="">
      <cdr:nvCxnSpPr>
        <cdr:cNvPr id="2" name="Conector recto 1"/>
        <cdr:cNvCxnSpPr/>
      </cdr:nvCxnSpPr>
      <cdr:spPr bwMode="auto">
        <a:xfrm xmlns:a="http://schemas.openxmlformats.org/drawingml/2006/main" flipH="1" flipV="1">
          <a:off x="6170797" y="55476"/>
          <a:ext cx="8290" cy="1438290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</c:userShapes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1468396</xdr:colOff>
      <xdr:row>20</xdr:row>
      <xdr:rowOff>49696</xdr:rowOff>
    </xdr:from>
    <xdr:to>
      <xdr:col>11</xdr:col>
      <xdr:colOff>554935</xdr:colOff>
      <xdr:row>36</xdr:row>
      <xdr:rowOff>41661</xdr:rowOff>
    </xdr:to>
    <xdr:graphicFrame macro="">
      <xdr:nvGraphicFramePr>
        <xdr:cNvPr id="8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</xdr:col>
      <xdr:colOff>14654</xdr:colOff>
      <xdr:row>0</xdr:row>
      <xdr:rowOff>21981</xdr:rowOff>
    </xdr:from>
    <xdr:to>
      <xdr:col>1</xdr:col>
      <xdr:colOff>929054</xdr:colOff>
      <xdr:row>1</xdr:row>
      <xdr:rowOff>135109</xdr:rowOff>
    </xdr:to>
    <xdr:pic>
      <xdr:nvPicPr>
        <xdr:cNvPr id="4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629" y="21981"/>
          <a:ext cx="914400" cy="2750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0</xdr:col>
      <xdr:colOff>165943</xdr:colOff>
      <xdr:row>2</xdr:row>
      <xdr:rowOff>20881</xdr:rowOff>
    </xdr:from>
    <xdr:to>
      <xdr:col>11</xdr:col>
      <xdr:colOff>745433</xdr:colOff>
      <xdr:row>2</xdr:row>
      <xdr:rowOff>49694</xdr:rowOff>
    </xdr:to>
    <xdr:sp macro="" textlink="">
      <xdr:nvSpPr>
        <xdr:cNvPr id="5" name="Line 7"/>
        <xdr:cNvSpPr>
          <a:spLocks noChangeShapeType="1"/>
        </xdr:cNvSpPr>
      </xdr:nvSpPr>
      <xdr:spPr bwMode="auto">
        <a:xfrm flipH="1" flipV="1">
          <a:off x="165943" y="344731"/>
          <a:ext cx="9209140" cy="28813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1468396</xdr:colOff>
      <xdr:row>4</xdr:row>
      <xdr:rowOff>70816</xdr:rowOff>
    </xdr:from>
    <xdr:to>
      <xdr:col>11</xdr:col>
      <xdr:colOff>554935</xdr:colOff>
      <xdr:row>20</xdr:row>
      <xdr:rowOff>158197</xdr:rowOff>
    </xdr:to>
    <xdr:graphicFrame macro="">
      <xdr:nvGraphicFramePr>
        <xdr:cNvPr id="7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0.81959</cdr:x>
      <cdr:y>0.09132</cdr:y>
    </cdr:from>
    <cdr:to>
      <cdr:x>0.82017</cdr:x>
      <cdr:y>0.80685</cdr:y>
    </cdr:to>
    <cdr:cxnSp macro="">
      <cdr:nvCxnSpPr>
        <cdr:cNvPr id="2" name="Conector recto 1"/>
        <cdr:cNvCxnSpPr/>
      </cdr:nvCxnSpPr>
      <cdr:spPr bwMode="auto">
        <a:xfrm xmlns:a="http://schemas.openxmlformats.org/drawingml/2006/main" flipH="1" flipV="1">
          <a:off x="6175773" y="235858"/>
          <a:ext cx="4371" cy="1848046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</c:userShapes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0.82017</cdr:x>
      <cdr:y>0.1834</cdr:y>
    </cdr:from>
    <cdr:to>
      <cdr:x>0.82085</cdr:x>
      <cdr:y>0.86657</cdr:y>
    </cdr:to>
    <cdr:cxnSp macro="">
      <cdr:nvCxnSpPr>
        <cdr:cNvPr id="2" name="Conector recto 1"/>
        <cdr:cNvCxnSpPr/>
      </cdr:nvCxnSpPr>
      <cdr:spPr bwMode="auto">
        <a:xfrm xmlns:a="http://schemas.openxmlformats.org/drawingml/2006/main" flipH="1" flipV="1">
          <a:off x="6180174" y="491169"/>
          <a:ext cx="5124" cy="1829653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0.86616</cdr:x>
      <cdr:y>0.9133</cdr:y>
    </cdr:from>
    <cdr:to>
      <cdr:x>0.94096</cdr:x>
      <cdr:y>0.98376</cdr:y>
    </cdr:to>
    <cdr:sp macro="" textlink="">
      <cdr:nvSpPr>
        <cdr:cNvPr id="4" name="CuadroTexto 1"/>
        <cdr:cNvSpPr txBox="1"/>
      </cdr:nvSpPr>
      <cdr:spPr>
        <a:xfrm xmlns:a="http://schemas.openxmlformats.org/drawingml/2006/main">
          <a:off x="6526675" y="2445984"/>
          <a:ext cx="563634" cy="1887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2018</a:t>
          </a:r>
        </a:p>
      </cdr:txBody>
    </cdr:sp>
  </cdr:relSizeAnchor>
  <cdr:relSizeAnchor xmlns:cdr="http://schemas.openxmlformats.org/drawingml/2006/chartDrawing">
    <cdr:from>
      <cdr:x>0.3812</cdr:x>
      <cdr:y>0.92955</cdr:y>
    </cdr:from>
    <cdr:to>
      <cdr:x>0.45599</cdr:x>
      <cdr:y>1</cdr:y>
    </cdr:to>
    <cdr:sp macro="" textlink="">
      <cdr:nvSpPr>
        <cdr:cNvPr id="5" name="CuadroTexto 1"/>
        <cdr:cNvSpPr txBox="1"/>
      </cdr:nvSpPr>
      <cdr:spPr>
        <a:xfrm xmlns:a="http://schemas.openxmlformats.org/drawingml/2006/main">
          <a:off x="2872430" y="2489503"/>
          <a:ext cx="563558" cy="1886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2017</a:t>
          </a:r>
        </a:p>
      </cdr:txBody>
    </cdr:sp>
  </cdr:relSizeAnchor>
  <cdr:relSizeAnchor xmlns:cdr="http://schemas.openxmlformats.org/drawingml/2006/chartDrawing">
    <cdr:from>
      <cdr:x>0.92036</cdr:x>
      <cdr:y>0.00912</cdr:y>
    </cdr:from>
    <cdr:to>
      <cdr:x>0.99082</cdr:x>
      <cdr:y>0.08025</cdr:y>
    </cdr:to>
    <cdr:sp macro="" textlink="">
      <cdr:nvSpPr>
        <cdr:cNvPr id="3" name="CuadroTexto 2"/>
        <cdr:cNvSpPr txBox="1"/>
      </cdr:nvSpPr>
      <cdr:spPr>
        <a:xfrm xmlns:a="http://schemas.openxmlformats.org/drawingml/2006/main">
          <a:off x="6935139" y="24434"/>
          <a:ext cx="530915" cy="190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800" b="0" i="0" u="none" strike="noStrike" kern="1200" baseline="0">
              <a:solidFill>
                <a:srgbClr val="004563"/>
              </a:solidFill>
              <a:latin typeface="Calibri" panose="020F0502020204030204" pitchFamily="34" charset="0"/>
              <a:ea typeface="+mn-ea"/>
              <a:cs typeface="+mn-cs"/>
            </a:rPr>
            <a:t>€/M</a:t>
          </a:r>
          <a:r>
            <a:rPr lang="es-ES" sz="800" b="0" i="0" u="none" strike="noStrike" kern="1200" baseline="0">
              <a:solidFill>
                <a:srgbClr val="004563"/>
              </a:solidFill>
              <a:latin typeface="+mn-lt"/>
              <a:ea typeface="+mn-ea"/>
              <a:cs typeface="+mn-cs"/>
            </a:rPr>
            <a:t>Wh</a:t>
          </a:r>
          <a:endParaRPr lang="en-US" sz="800" b="0" i="0" u="none" strike="noStrike" kern="1200" baseline="0">
            <a:solidFill>
              <a:srgbClr val="004563"/>
            </a:solidFill>
            <a:latin typeface="+mn-lt"/>
            <a:ea typeface="+mn-ea"/>
            <a:cs typeface="+mn-cs"/>
          </a:endParaRPr>
        </a:p>
        <a:p xmlns:a="http://schemas.openxmlformats.org/drawingml/2006/main">
          <a:endParaRPr lang="en-US" sz="1100"/>
        </a:p>
      </cdr:txBody>
    </cdr:sp>
  </cdr:relSizeAnchor>
</c:userShapes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1468396</xdr:colOff>
      <xdr:row>20</xdr:row>
      <xdr:rowOff>49695</xdr:rowOff>
    </xdr:from>
    <xdr:to>
      <xdr:col>11</xdr:col>
      <xdr:colOff>554935</xdr:colOff>
      <xdr:row>37</xdr:row>
      <xdr:rowOff>24847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</xdr:col>
      <xdr:colOff>14654</xdr:colOff>
      <xdr:row>0</xdr:row>
      <xdr:rowOff>21981</xdr:rowOff>
    </xdr:from>
    <xdr:to>
      <xdr:col>1</xdr:col>
      <xdr:colOff>929054</xdr:colOff>
      <xdr:row>1</xdr:row>
      <xdr:rowOff>135109</xdr:rowOff>
    </xdr:to>
    <xdr:pic>
      <xdr:nvPicPr>
        <xdr:cNvPr id="3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629" y="21981"/>
          <a:ext cx="914400" cy="2750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0</xdr:col>
      <xdr:colOff>165943</xdr:colOff>
      <xdr:row>2</xdr:row>
      <xdr:rowOff>20881</xdr:rowOff>
    </xdr:from>
    <xdr:to>
      <xdr:col>11</xdr:col>
      <xdr:colOff>745433</xdr:colOff>
      <xdr:row>2</xdr:row>
      <xdr:rowOff>49694</xdr:rowOff>
    </xdr:to>
    <xdr:sp macro="" textlink="">
      <xdr:nvSpPr>
        <xdr:cNvPr id="4" name="Line 7"/>
        <xdr:cNvSpPr>
          <a:spLocks noChangeShapeType="1"/>
        </xdr:cNvSpPr>
      </xdr:nvSpPr>
      <xdr:spPr bwMode="auto">
        <a:xfrm flipH="1" flipV="1">
          <a:off x="165943" y="344731"/>
          <a:ext cx="9209140" cy="28813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1468396</xdr:colOff>
      <xdr:row>4</xdr:row>
      <xdr:rowOff>74543</xdr:rowOff>
    </xdr:from>
    <xdr:to>
      <xdr:col>11</xdr:col>
      <xdr:colOff>554935</xdr:colOff>
      <xdr:row>20</xdr:row>
      <xdr:rowOff>66510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7.xml><?xml version="1.0" encoding="utf-8"?>
<c:userShapes xmlns:c="http://schemas.openxmlformats.org/drawingml/2006/chart">
  <cdr:relSizeAnchor xmlns:cdr="http://schemas.openxmlformats.org/drawingml/2006/chartDrawing">
    <cdr:from>
      <cdr:x>0.81755</cdr:x>
      <cdr:y>0.09077</cdr:y>
    </cdr:from>
    <cdr:to>
      <cdr:x>0.81929</cdr:x>
      <cdr:y>0.77551</cdr:y>
    </cdr:to>
    <cdr:cxnSp macro="">
      <cdr:nvCxnSpPr>
        <cdr:cNvPr id="2" name="Conector recto 1"/>
        <cdr:cNvCxnSpPr/>
      </cdr:nvCxnSpPr>
      <cdr:spPr bwMode="auto">
        <a:xfrm xmlns:a="http://schemas.openxmlformats.org/drawingml/2006/main" flipH="1" flipV="1">
          <a:off x="6160432" y="252797"/>
          <a:ext cx="13111" cy="1907019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</c:userShapes>
</file>

<file path=xl/drawings/drawing28.xml><?xml version="1.0" encoding="utf-8"?>
<c:userShapes xmlns:c="http://schemas.openxmlformats.org/drawingml/2006/chart">
  <cdr:relSizeAnchor xmlns:cdr="http://schemas.openxmlformats.org/drawingml/2006/chartDrawing">
    <cdr:from>
      <cdr:x>0.81801</cdr:x>
      <cdr:y>0.09653</cdr:y>
    </cdr:from>
    <cdr:to>
      <cdr:x>0.81891</cdr:x>
      <cdr:y>0.85415</cdr:y>
    </cdr:to>
    <cdr:cxnSp macro="">
      <cdr:nvCxnSpPr>
        <cdr:cNvPr id="2" name="Conector recto 1"/>
        <cdr:cNvCxnSpPr/>
      </cdr:nvCxnSpPr>
      <cdr:spPr bwMode="auto">
        <a:xfrm xmlns:a="http://schemas.openxmlformats.org/drawingml/2006/main" flipV="1">
          <a:off x="6163899" y="249307"/>
          <a:ext cx="6755" cy="1956766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0.8622</cdr:x>
      <cdr:y>0.92028</cdr:y>
    </cdr:from>
    <cdr:to>
      <cdr:x>0.937</cdr:x>
      <cdr:y>0.99074</cdr:y>
    </cdr:to>
    <cdr:sp macro="" textlink="">
      <cdr:nvSpPr>
        <cdr:cNvPr id="4" name="CuadroTexto 1"/>
        <cdr:cNvSpPr txBox="1"/>
      </cdr:nvSpPr>
      <cdr:spPr>
        <a:xfrm xmlns:a="http://schemas.openxmlformats.org/drawingml/2006/main">
          <a:off x="6496863" y="2376874"/>
          <a:ext cx="563634" cy="1819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2018</a:t>
          </a:r>
        </a:p>
      </cdr:txBody>
    </cdr:sp>
  </cdr:relSizeAnchor>
  <cdr:relSizeAnchor xmlns:cdr="http://schemas.openxmlformats.org/drawingml/2006/chartDrawing">
    <cdr:from>
      <cdr:x>0.37851</cdr:x>
      <cdr:y>0.92217</cdr:y>
    </cdr:from>
    <cdr:to>
      <cdr:x>0.4533</cdr:x>
      <cdr:y>0.99262</cdr:y>
    </cdr:to>
    <cdr:sp macro="" textlink="">
      <cdr:nvSpPr>
        <cdr:cNvPr id="5" name="CuadroTexto 1"/>
        <cdr:cNvSpPr txBox="1"/>
      </cdr:nvSpPr>
      <cdr:spPr>
        <a:xfrm xmlns:a="http://schemas.openxmlformats.org/drawingml/2006/main">
          <a:off x="2852143" y="2381761"/>
          <a:ext cx="563559" cy="18195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2017</a:t>
          </a:r>
        </a:p>
      </cdr:txBody>
    </cdr:sp>
  </cdr:relSizeAnchor>
</c:userShapes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1484961</xdr:colOff>
      <xdr:row>21</xdr:row>
      <xdr:rowOff>24846</xdr:rowOff>
    </xdr:from>
    <xdr:to>
      <xdr:col>11</xdr:col>
      <xdr:colOff>571500</xdr:colOff>
      <xdr:row>39</xdr:row>
      <xdr:rowOff>91107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</xdr:col>
      <xdr:colOff>14654</xdr:colOff>
      <xdr:row>0</xdr:row>
      <xdr:rowOff>21981</xdr:rowOff>
    </xdr:from>
    <xdr:to>
      <xdr:col>1</xdr:col>
      <xdr:colOff>929054</xdr:colOff>
      <xdr:row>1</xdr:row>
      <xdr:rowOff>135109</xdr:rowOff>
    </xdr:to>
    <xdr:pic>
      <xdr:nvPicPr>
        <xdr:cNvPr id="3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629" y="21981"/>
          <a:ext cx="914400" cy="2750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0</xdr:col>
      <xdr:colOff>165943</xdr:colOff>
      <xdr:row>2</xdr:row>
      <xdr:rowOff>20881</xdr:rowOff>
    </xdr:from>
    <xdr:to>
      <xdr:col>12</xdr:col>
      <xdr:colOff>132520</xdr:colOff>
      <xdr:row>2</xdr:row>
      <xdr:rowOff>49694</xdr:rowOff>
    </xdr:to>
    <xdr:sp macro="" textlink="">
      <xdr:nvSpPr>
        <xdr:cNvPr id="4" name="Line 7"/>
        <xdr:cNvSpPr>
          <a:spLocks noChangeShapeType="1"/>
        </xdr:cNvSpPr>
      </xdr:nvSpPr>
      <xdr:spPr bwMode="auto">
        <a:xfrm flipH="1" flipV="1">
          <a:off x="165943" y="344731"/>
          <a:ext cx="9209140" cy="28813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1484961</xdr:colOff>
      <xdr:row>5</xdr:row>
      <xdr:rowOff>115956</xdr:rowOff>
    </xdr:from>
    <xdr:to>
      <xdr:col>11</xdr:col>
      <xdr:colOff>571500</xdr:colOff>
      <xdr:row>21</xdr:row>
      <xdr:rowOff>107922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0.29027</cdr:x>
      <cdr:y>0.20371</cdr:y>
    </cdr:from>
    <cdr:to>
      <cdr:x>0.41977</cdr:x>
      <cdr:y>0.26471</cdr:y>
    </cdr:to>
    <cdr:sp macro="" textlink="">
      <cdr:nvSpPr>
        <cdr:cNvPr id="2" name="Texto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675472" y="488962"/>
          <a:ext cx="747494" cy="14641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square" lIns="18288" tIns="22860" rIns="18288" bIns="22860" anchor="ctr" upright="1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+mn-lt"/>
              <a:cs typeface="Arial"/>
            </a:rPr>
            <a:t>Precio</a:t>
          </a:r>
          <a:r>
            <a:rPr lang="es-ES" sz="800" b="0" i="0" strike="noStrike" baseline="0">
              <a:solidFill>
                <a:srgbClr val="004563"/>
              </a:solidFill>
              <a:latin typeface="+mn-lt"/>
              <a:cs typeface="Arial"/>
            </a:rPr>
            <a:t> m</a:t>
          </a:r>
          <a:r>
            <a:rPr lang="es-ES" sz="800" b="0" i="0" strike="noStrike">
              <a:solidFill>
                <a:srgbClr val="004563"/>
              </a:solidFill>
              <a:latin typeface="+mn-lt"/>
              <a:cs typeface="Arial"/>
            </a:rPr>
            <a:t>áximo </a:t>
          </a:r>
          <a:endParaRPr lang="es-ES" sz="800" b="0" i="0" strike="noStrike">
            <a:solidFill>
              <a:srgbClr val="004563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0.41218</cdr:x>
      <cdr:y>0.58582</cdr:y>
    </cdr:from>
    <cdr:to>
      <cdr:x>0.54168</cdr:x>
      <cdr:y>0.64682</cdr:y>
    </cdr:to>
    <cdr:sp macro="" textlink="">
      <cdr:nvSpPr>
        <cdr:cNvPr id="3" name="Texto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79178" y="1406154"/>
          <a:ext cx="747494" cy="14641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square" lIns="18288" tIns="22860" rIns="18288" bIns="22860" anchor="ctr" upright="1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+mn-lt"/>
              <a:cs typeface="Arial"/>
            </a:rPr>
            <a:t>Precio</a:t>
          </a:r>
          <a:r>
            <a:rPr lang="es-ES" sz="800" b="0" i="0" strike="noStrike" baseline="0">
              <a:solidFill>
                <a:srgbClr val="004563"/>
              </a:solidFill>
              <a:latin typeface="+mn-lt"/>
              <a:cs typeface="Arial"/>
            </a:rPr>
            <a:t> mínimo</a:t>
          </a:r>
          <a:endParaRPr lang="es-ES" sz="800" b="0" i="0" strike="noStrike">
            <a:solidFill>
              <a:srgbClr val="004563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30.xml><?xml version="1.0" encoding="utf-8"?>
<c:userShapes xmlns:c="http://schemas.openxmlformats.org/drawingml/2006/chart">
  <cdr:relSizeAnchor xmlns:cdr="http://schemas.openxmlformats.org/drawingml/2006/chartDrawing">
    <cdr:from>
      <cdr:x>0.81683</cdr:x>
      <cdr:y>0.09275</cdr:y>
    </cdr:from>
    <cdr:to>
      <cdr:x>0.8182</cdr:x>
      <cdr:y>0.76174</cdr:y>
    </cdr:to>
    <cdr:cxnSp macro="">
      <cdr:nvCxnSpPr>
        <cdr:cNvPr id="2" name="Conector recto 1"/>
        <cdr:cNvCxnSpPr/>
      </cdr:nvCxnSpPr>
      <cdr:spPr bwMode="auto">
        <a:xfrm xmlns:a="http://schemas.openxmlformats.org/drawingml/2006/main" flipH="1" flipV="1">
          <a:off x="6077162" y="276479"/>
          <a:ext cx="10252" cy="1994200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</c:userShapes>
</file>

<file path=xl/drawings/drawing31.xml><?xml version="1.0" encoding="utf-8"?>
<c:userShapes xmlns:c="http://schemas.openxmlformats.org/drawingml/2006/chart">
  <cdr:relSizeAnchor xmlns:cdr="http://schemas.openxmlformats.org/drawingml/2006/chartDrawing">
    <cdr:from>
      <cdr:x>0.81692</cdr:x>
      <cdr:y>0.09156</cdr:y>
    </cdr:from>
    <cdr:to>
      <cdr:x>0.81875</cdr:x>
      <cdr:y>0.85738</cdr:y>
    </cdr:to>
    <cdr:cxnSp macro="">
      <cdr:nvCxnSpPr>
        <cdr:cNvPr id="2" name="Conector recto 1"/>
        <cdr:cNvCxnSpPr/>
      </cdr:nvCxnSpPr>
      <cdr:spPr bwMode="auto">
        <a:xfrm xmlns:a="http://schemas.openxmlformats.org/drawingml/2006/main" flipH="1" flipV="1">
          <a:off x="6077889" y="236469"/>
          <a:ext cx="13559" cy="1977942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0.86204</cdr:x>
      <cdr:y>0.91659</cdr:y>
    </cdr:from>
    <cdr:to>
      <cdr:x>0.93776</cdr:x>
      <cdr:y>0.98705</cdr:y>
    </cdr:to>
    <cdr:sp macro="" textlink="">
      <cdr:nvSpPr>
        <cdr:cNvPr id="4" name="CuadroTexto 1"/>
        <cdr:cNvSpPr txBox="1"/>
      </cdr:nvSpPr>
      <cdr:spPr>
        <a:xfrm xmlns:a="http://schemas.openxmlformats.org/drawingml/2006/main">
          <a:off x="6413575" y="2367348"/>
          <a:ext cx="563354" cy="1819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2018</a:t>
          </a:r>
        </a:p>
      </cdr:txBody>
    </cdr:sp>
  </cdr:relSizeAnchor>
  <cdr:relSizeAnchor xmlns:cdr="http://schemas.openxmlformats.org/drawingml/2006/chartDrawing">
    <cdr:from>
      <cdr:x>0.37365</cdr:x>
      <cdr:y>0.92955</cdr:y>
    </cdr:from>
    <cdr:to>
      <cdr:x>0.44936</cdr:x>
      <cdr:y>1</cdr:y>
    </cdr:to>
    <cdr:sp macro="" textlink="">
      <cdr:nvSpPr>
        <cdr:cNvPr id="5" name="CuadroTexto 1"/>
        <cdr:cNvSpPr txBox="1"/>
      </cdr:nvSpPr>
      <cdr:spPr>
        <a:xfrm xmlns:a="http://schemas.openxmlformats.org/drawingml/2006/main">
          <a:off x="2779926" y="2400810"/>
          <a:ext cx="563280" cy="18195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2017</a:t>
          </a:r>
        </a:p>
      </cdr:txBody>
    </cdr:sp>
  </cdr:relSizeAnchor>
</c:userShapes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1482588</xdr:colOff>
      <xdr:row>6</xdr:row>
      <xdr:rowOff>49694</xdr:rowOff>
    </xdr:from>
    <xdr:to>
      <xdr:col>11</xdr:col>
      <xdr:colOff>662609</xdr:colOff>
      <xdr:row>29</xdr:row>
      <xdr:rowOff>99391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</xdr:col>
      <xdr:colOff>14654</xdr:colOff>
      <xdr:row>0</xdr:row>
      <xdr:rowOff>21981</xdr:rowOff>
    </xdr:from>
    <xdr:to>
      <xdr:col>1</xdr:col>
      <xdr:colOff>929054</xdr:colOff>
      <xdr:row>1</xdr:row>
      <xdr:rowOff>135109</xdr:rowOff>
    </xdr:to>
    <xdr:pic>
      <xdr:nvPicPr>
        <xdr:cNvPr id="4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629" y="21981"/>
          <a:ext cx="914400" cy="2750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0</xdr:col>
      <xdr:colOff>165943</xdr:colOff>
      <xdr:row>2</xdr:row>
      <xdr:rowOff>20881</xdr:rowOff>
    </xdr:from>
    <xdr:to>
      <xdr:col>12</xdr:col>
      <xdr:colOff>91107</xdr:colOff>
      <xdr:row>2</xdr:row>
      <xdr:rowOff>49694</xdr:rowOff>
    </xdr:to>
    <xdr:sp macro="" textlink="">
      <xdr:nvSpPr>
        <xdr:cNvPr id="5" name="Line 7"/>
        <xdr:cNvSpPr>
          <a:spLocks noChangeShapeType="1"/>
        </xdr:cNvSpPr>
      </xdr:nvSpPr>
      <xdr:spPr bwMode="auto">
        <a:xfrm flipH="1" flipV="1">
          <a:off x="165943" y="344731"/>
          <a:ext cx="9209140" cy="28813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3.xml><?xml version="1.0" encoding="utf-8"?>
<c:userShapes xmlns:c="http://schemas.openxmlformats.org/drawingml/2006/chart">
  <cdr:relSizeAnchor xmlns:cdr="http://schemas.openxmlformats.org/drawingml/2006/chartDrawing">
    <cdr:from>
      <cdr:x>0.81277</cdr:x>
      <cdr:y>0.10263</cdr:y>
    </cdr:from>
    <cdr:to>
      <cdr:x>0.81768</cdr:x>
      <cdr:y>0.87945</cdr:y>
    </cdr:to>
    <cdr:cxnSp macro="">
      <cdr:nvCxnSpPr>
        <cdr:cNvPr id="2" name="Conector recto 1"/>
        <cdr:cNvCxnSpPr/>
      </cdr:nvCxnSpPr>
      <cdr:spPr bwMode="auto">
        <a:xfrm xmlns:a="http://schemas.openxmlformats.org/drawingml/2006/main" flipH="1" flipV="1">
          <a:off x="6122960" y="387308"/>
          <a:ext cx="36989" cy="2931697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0.85643</cdr:x>
      <cdr:y>0.9277</cdr:y>
    </cdr:from>
    <cdr:to>
      <cdr:x>0.93127</cdr:x>
      <cdr:y>0.97593</cdr:y>
    </cdr:to>
    <cdr:sp macro="" textlink="">
      <cdr:nvSpPr>
        <cdr:cNvPr id="4" name="CuadroTexto 1"/>
        <cdr:cNvSpPr txBox="1"/>
      </cdr:nvSpPr>
      <cdr:spPr>
        <a:xfrm xmlns:a="http://schemas.openxmlformats.org/drawingml/2006/main">
          <a:off x="6451872" y="3501128"/>
          <a:ext cx="563803" cy="1820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2018</a:t>
          </a:r>
        </a:p>
      </cdr:txBody>
    </cdr:sp>
  </cdr:relSizeAnchor>
  <cdr:relSizeAnchor xmlns:cdr="http://schemas.openxmlformats.org/drawingml/2006/chartDrawing">
    <cdr:from>
      <cdr:x>0.44452</cdr:x>
      <cdr:y>0.92899</cdr:y>
    </cdr:from>
    <cdr:to>
      <cdr:x>0.51935</cdr:x>
      <cdr:y>0.97723</cdr:y>
    </cdr:to>
    <cdr:sp macro="" textlink="">
      <cdr:nvSpPr>
        <cdr:cNvPr id="5" name="CuadroTexto 1"/>
        <cdr:cNvSpPr txBox="1"/>
      </cdr:nvSpPr>
      <cdr:spPr>
        <a:xfrm xmlns:a="http://schemas.openxmlformats.org/drawingml/2006/main">
          <a:off x="3347279" y="3585627"/>
          <a:ext cx="563502" cy="18617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2017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922020</xdr:colOff>
      <xdr:row>2</xdr:row>
      <xdr:rowOff>167640</xdr:rowOff>
    </xdr:to>
    <xdr:pic>
      <xdr:nvPicPr>
        <xdr:cNvPr id="2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91440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15240</xdr:colOff>
      <xdr:row>3</xdr:row>
      <xdr:rowOff>30480</xdr:rowOff>
    </xdr:from>
    <xdr:to>
      <xdr:col>5</xdr:col>
      <xdr:colOff>0</xdr:colOff>
      <xdr:row>3</xdr:row>
      <xdr:rowOff>30480</xdr:rowOff>
    </xdr:to>
    <xdr:sp macro="" textlink="">
      <xdr:nvSpPr>
        <xdr:cNvPr id="3" name="Line 7"/>
        <xdr:cNvSpPr>
          <a:spLocks noChangeShapeType="1"/>
        </xdr:cNvSpPr>
      </xdr:nvSpPr>
      <xdr:spPr bwMode="auto">
        <a:xfrm flipH="1">
          <a:off x="205740" y="487680"/>
          <a:ext cx="87001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7620</xdr:colOff>
      <xdr:row>5</xdr:row>
      <xdr:rowOff>152400</xdr:rowOff>
    </xdr:from>
    <xdr:to>
      <xdr:col>5</xdr:col>
      <xdr:colOff>17145</xdr:colOff>
      <xdr:row>24</xdr:row>
      <xdr:rowOff>142875</xdr:rowOff>
    </xdr:to>
    <xdr:graphicFrame macro="">
      <xdr:nvGraphicFramePr>
        <xdr:cNvPr id="4" name="1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0.82348</cdr:x>
      <cdr:y>0.20496</cdr:y>
    </cdr:from>
    <cdr:to>
      <cdr:x>0.82483</cdr:x>
      <cdr:y>0.87888</cdr:y>
    </cdr:to>
    <cdr:cxnSp macro="">
      <cdr:nvCxnSpPr>
        <cdr:cNvPr id="6" name="Conector recto 5"/>
        <cdr:cNvCxnSpPr/>
      </cdr:nvCxnSpPr>
      <cdr:spPr bwMode="auto">
        <a:xfrm xmlns:a="http://schemas.openxmlformats.org/drawingml/2006/main" flipH="1" flipV="1">
          <a:off x="5812159" y="628623"/>
          <a:ext cx="9529" cy="2066946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0.0072</cdr:x>
      <cdr:y>0.05383</cdr:y>
    </cdr:from>
    <cdr:to>
      <cdr:x>0.04375</cdr:x>
      <cdr:y>0.12476</cdr:y>
    </cdr:to>
    <cdr:sp macro="" textlink="">
      <cdr:nvSpPr>
        <cdr:cNvPr id="3" name="CuadroTexto 5"/>
        <cdr:cNvSpPr txBox="1"/>
      </cdr:nvSpPr>
      <cdr:spPr>
        <a:xfrm xmlns:a="http://schemas.openxmlformats.org/drawingml/2006/main">
          <a:off x="50800" y="165100"/>
          <a:ext cx="258019" cy="217560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800">
              <a:solidFill>
                <a:srgbClr val="004563"/>
              </a:solidFill>
            </a:rPr>
            <a:t>%</a:t>
          </a:r>
        </a:p>
      </cdr:txBody>
    </cdr:sp>
  </cdr:relSizeAnchor>
  <cdr:relSizeAnchor xmlns:cdr="http://schemas.openxmlformats.org/drawingml/2006/chartDrawing">
    <cdr:from>
      <cdr:x>0.39182</cdr:x>
      <cdr:y>0.93792</cdr:y>
    </cdr:from>
    <cdr:to>
      <cdr:x>0.47163</cdr:x>
      <cdr:y>1</cdr:y>
    </cdr:to>
    <cdr:sp macro="" textlink="">
      <cdr:nvSpPr>
        <cdr:cNvPr id="4" name="CuadroTexto 1"/>
        <cdr:cNvSpPr txBox="1"/>
      </cdr:nvSpPr>
      <cdr:spPr>
        <a:xfrm xmlns:a="http://schemas.openxmlformats.org/drawingml/2006/main">
          <a:off x="2765451" y="2876647"/>
          <a:ext cx="563301" cy="1904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2017</a:t>
          </a:r>
        </a:p>
      </cdr:txBody>
    </cdr:sp>
  </cdr:relSizeAnchor>
  <cdr:relSizeAnchor xmlns:cdr="http://schemas.openxmlformats.org/drawingml/2006/chartDrawing">
    <cdr:from>
      <cdr:x>0.8628</cdr:x>
      <cdr:y>0.93582</cdr:y>
    </cdr:from>
    <cdr:to>
      <cdr:x>0.94261</cdr:x>
      <cdr:y>0.9979</cdr:y>
    </cdr:to>
    <cdr:sp macro="" textlink="">
      <cdr:nvSpPr>
        <cdr:cNvPr id="5" name="CuadroTexto 1"/>
        <cdr:cNvSpPr txBox="1"/>
      </cdr:nvSpPr>
      <cdr:spPr>
        <a:xfrm xmlns:a="http://schemas.openxmlformats.org/drawingml/2006/main">
          <a:off x="6089653" y="2870194"/>
          <a:ext cx="563301" cy="1904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2018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922020</xdr:colOff>
      <xdr:row>2</xdr:row>
      <xdr:rowOff>167640</xdr:rowOff>
    </xdr:to>
    <xdr:pic>
      <xdr:nvPicPr>
        <xdr:cNvPr id="27715035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7640"/>
          <a:ext cx="91440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15240</xdr:colOff>
      <xdr:row>3</xdr:row>
      <xdr:rowOff>30480</xdr:rowOff>
    </xdr:from>
    <xdr:to>
      <xdr:col>5</xdr:col>
      <xdr:colOff>0</xdr:colOff>
      <xdr:row>3</xdr:row>
      <xdr:rowOff>30480</xdr:rowOff>
    </xdr:to>
    <xdr:sp macro="" textlink="">
      <xdr:nvSpPr>
        <xdr:cNvPr id="27715036" name="Line 7"/>
        <xdr:cNvSpPr>
          <a:spLocks noChangeShapeType="1"/>
        </xdr:cNvSpPr>
      </xdr:nvSpPr>
      <xdr:spPr bwMode="auto">
        <a:xfrm flipH="1">
          <a:off x="205740" y="495300"/>
          <a:ext cx="893826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83820</xdr:colOff>
      <xdr:row>5</xdr:row>
      <xdr:rowOff>152400</xdr:rowOff>
    </xdr:from>
    <xdr:to>
      <xdr:col>5</xdr:col>
      <xdr:colOff>7620</xdr:colOff>
      <xdr:row>24</xdr:row>
      <xdr:rowOff>7620</xdr:rowOff>
    </xdr:to>
    <xdr:graphicFrame macro="">
      <xdr:nvGraphicFramePr>
        <xdr:cNvPr id="27715037" name="1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4</xdr:col>
      <xdr:colOff>123825</xdr:colOff>
      <xdr:row>7</xdr:row>
      <xdr:rowOff>0</xdr:rowOff>
    </xdr:from>
    <xdr:ext cx="509627" cy="210250"/>
    <xdr:sp macro="" textlink="">
      <xdr:nvSpPr>
        <xdr:cNvPr id="2" name="CuadroTexto 1"/>
        <xdr:cNvSpPr txBox="1"/>
      </xdr:nvSpPr>
      <xdr:spPr>
        <a:xfrm>
          <a:off x="1981200" y="1181100"/>
          <a:ext cx="509627" cy="2102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800" b="0" i="0" baseline="0">
              <a:solidFill>
                <a:srgbClr val="004563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€/MWh</a:t>
          </a:r>
          <a:endParaRPr lang="en-US" sz="800">
            <a:solidFill>
              <a:srgbClr val="004563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0.86343</cdr:x>
      <cdr:y>0.9109</cdr:y>
    </cdr:from>
    <cdr:to>
      <cdr:x>0.94324</cdr:x>
      <cdr:y>0.9744</cdr:y>
    </cdr:to>
    <cdr:sp macro="" textlink="">
      <cdr:nvSpPr>
        <cdr:cNvPr id="4" name="CuadroTexto 1"/>
        <cdr:cNvSpPr txBox="1"/>
      </cdr:nvSpPr>
      <cdr:spPr>
        <a:xfrm xmlns:a="http://schemas.openxmlformats.org/drawingml/2006/main">
          <a:off x="6094124" y="2731316"/>
          <a:ext cx="563301" cy="1904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2018</a:t>
          </a:r>
        </a:p>
      </cdr:txBody>
    </cdr:sp>
  </cdr:relSizeAnchor>
  <cdr:relSizeAnchor xmlns:cdr="http://schemas.openxmlformats.org/drawingml/2006/chartDrawing">
    <cdr:from>
      <cdr:x>0.82618</cdr:x>
      <cdr:y>0.16519</cdr:y>
    </cdr:from>
    <cdr:to>
      <cdr:x>0.82636</cdr:x>
      <cdr:y>0.8507</cdr:y>
    </cdr:to>
    <cdr:cxnSp macro="">
      <cdr:nvCxnSpPr>
        <cdr:cNvPr id="6" name="Conector recto 5"/>
        <cdr:cNvCxnSpPr/>
      </cdr:nvCxnSpPr>
      <cdr:spPr bwMode="auto">
        <a:xfrm xmlns:a="http://schemas.openxmlformats.org/drawingml/2006/main" flipH="1" flipV="1">
          <a:off x="5831206" y="495307"/>
          <a:ext cx="1270" cy="2055481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0.39316</cdr:x>
      <cdr:y>0.9191</cdr:y>
    </cdr:from>
    <cdr:to>
      <cdr:x>0.47297</cdr:x>
      <cdr:y>0.9826</cdr:y>
    </cdr:to>
    <cdr:sp macro="" textlink="">
      <cdr:nvSpPr>
        <cdr:cNvPr id="5" name="CuadroTexto 1"/>
        <cdr:cNvSpPr txBox="1"/>
      </cdr:nvSpPr>
      <cdr:spPr>
        <a:xfrm xmlns:a="http://schemas.openxmlformats.org/drawingml/2006/main">
          <a:off x="2774919" y="2755903"/>
          <a:ext cx="563301" cy="1904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2017</a:t>
          </a: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9525</xdr:colOff>
      <xdr:row>0</xdr:row>
      <xdr:rowOff>152400</xdr:rowOff>
    </xdr:from>
    <xdr:to>
      <xdr:col>1</xdr:col>
      <xdr:colOff>923925</xdr:colOff>
      <xdr:row>2</xdr:row>
      <xdr:rowOff>102870</xdr:rowOff>
    </xdr:to>
    <xdr:pic>
      <xdr:nvPicPr>
        <xdr:cNvPr id="3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52400"/>
          <a:ext cx="91440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7619</xdr:colOff>
      <xdr:row>3</xdr:row>
      <xdr:rowOff>0</xdr:rowOff>
    </xdr:from>
    <xdr:to>
      <xdr:col>7</xdr:col>
      <xdr:colOff>647699</xdr:colOff>
      <xdr:row>3</xdr:row>
      <xdr:rowOff>3810</xdr:rowOff>
    </xdr:to>
    <xdr:sp macro="" textlink="">
      <xdr:nvSpPr>
        <xdr:cNvPr id="4" name="Line 7"/>
        <xdr:cNvSpPr>
          <a:spLocks noChangeShapeType="1"/>
        </xdr:cNvSpPr>
      </xdr:nvSpPr>
      <xdr:spPr bwMode="auto">
        <a:xfrm flipH="1">
          <a:off x="264794" y="485775"/>
          <a:ext cx="6136005" cy="381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1533525</xdr:colOff>
      <xdr:row>3</xdr:row>
      <xdr:rowOff>109536</xdr:rowOff>
    </xdr:from>
    <xdr:to>
      <xdr:col>7</xdr:col>
      <xdr:colOff>695325</xdr:colOff>
      <xdr:row>24</xdr:row>
      <xdr:rowOff>104774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790575</xdr:colOff>
      <xdr:row>4</xdr:row>
      <xdr:rowOff>9525</xdr:rowOff>
    </xdr:from>
    <xdr:to>
      <xdr:col>5</xdr:col>
      <xdr:colOff>180975</xdr:colOff>
      <xdr:row>5</xdr:row>
      <xdr:rowOff>104775</xdr:rowOff>
    </xdr:to>
    <xdr:sp macro="" textlink="$L$30">
      <xdr:nvSpPr>
        <xdr:cNvPr id="6" name="CuadroTexto 5"/>
        <xdr:cNvSpPr txBox="1"/>
      </xdr:nvSpPr>
      <xdr:spPr>
        <a:xfrm>
          <a:off x="3390900" y="657225"/>
          <a:ext cx="971550" cy="257175"/>
        </a:xfrm>
        <a:prstGeom prst="rect">
          <a:avLst/>
        </a:prstGeom>
        <a:solidFill>
          <a:srgbClr val="F5F5F5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36000" bIns="36000" rtlCol="0" anchor="ctr" anchorCtr="0"/>
        <a:lstStyle/>
        <a:p>
          <a:fld id="{8837D56B-7519-4B1D-AB16-B55BCB94499E}" type="TxLink">
            <a:rPr lang="en-US" sz="900" b="0" i="0" u="none" strike="noStrike">
              <a:solidFill>
                <a:srgbClr val="004563"/>
              </a:solidFill>
              <a:latin typeface="+mn-lt"/>
              <a:cs typeface="Arial"/>
            </a:rPr>
            <a:pPr/>
            <a:t> </a:t>
          </a:fld>
          <a:endParaRPr lang="es-ES" sz="900">
            <a:solidFill>
              <a:srgbClr val="004563"/>
            </a:solidFill>
            <a:latin typeface="+mn-lt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4</xdr:col>
      <xdr:colOff>476</xdr:colOff>
      <xdr:row>6</xdr:row>
      <xdr:rowOff>15240</xdr:rowOff>
    </xdr:from>
    <xdr:to>
      <xdr:col>5</xdr:col>
      <xdr:colOff>7620</xdr:colOff>
      <xdr:row>24</xdr:row>
      <xdr:rowOff>22860</xdr:rowOff>
    </xdr:to>
    <xdr:graphicFrame macro="">
      <xdr:nvGraphicFramePr>
        <xdr:cNvPr id="2771708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7620</xdr:colOff>
      <xdr:row>1</xdr:row>
      <xdr:rowOff>160020</xdr:rowOff>
    </xdr:from>
    <xdr:to>
      <xdr:col>2</xdr:col>
      <xdr:colOff>922020</xdr:colOff>
      <xdr:row>2</xdr:row>
      <xdr:rowOff>167640</xdr:rowOff>
    </xdr:to>
    <xdr:pic>
      <xdr:nvPicPr>
        <xdr:cNvPr id="27717084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7640"/>
          <a:ext cx="91440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15240</xdr:colOff>
      <xdr:row>3</xdr:row>
      <xdr:rowOff>30480</xdr:rowOff>
    </xdr:from>
    <xdr:to>
      <xdr:col>5</xdr:col>
      <xdr:colOff>0</xdr:colOff>
      <xdr:row>3</xdr:row>
      <xdr:rowOff>30480</xdr:rowOff>
    </xdr:to>
    <xdr:sp macro="" textlink="">
      <xdr:nvSpPr>
        <xdr:cNvPr id="27717085" name="Line 10"/>
        <xdr:cNvSpPr>
          <a:spLocks noChangeShapeType="1"/>
        </xdr:cNvSpPr>
      </xdr:nvSpPr>
      <xdr:spPr bwMode="auto">
        <a:xfrm flipH="1">
          <a:off x="205740" y="495300"/>
          <a:ext cx="893826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5769769</xdr:colOff>
      <xdr:row>9</xdr:row>
      <xdr:rowOff>164306</xdr:rowOff>
    </xdr:from>
    <xdr:to>
      <xdr:col>4</xdr:col>
      <xdr:colOff>5769769</xdr:colOff>
      <xdr:row>21</xdr:row>
      <xdr:rowOff>111918</xdr:rowOff>
    </xdr:to>
    <xdr:cxnSp macro="">
      <xdr:nvCxnSpPr>
        <xdr:cNvPr id="3" name="Conector recto 2"/>
        <xdr:cNvCxnSpPr/>
      </xdr:nvCxnSpPr>
      <xdr:spPr bwMode="auto">
        <a:xfrm flipV="1">
          <a:off x="7627144" y="1688306"/>
          <a:ext cx="0" cy="1947862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nalisis/ANALISIS/ANALISIS/Documentos%20Usuario/INDICES/Precios1I98a18VIII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nalisis/analisis/ANALISIS/Documentos%20Usuario/INDICES/Precios1I98a5X9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ores"/>
      <sheetName val="Pre.Dia"/>
      <sheetName val="GráficoGP"/>
      <sheetName val="Pre.GP"/>
      <sheetName val="Pre.SSCC"/>
      <sheetName val="Pre.Fin"/>
      <sheetName val="Prod."/>
      <sheetName val="I.Precios"/>
      <sheetName val="I.PxD"/>
      <sheetName val="I.PxD2"/>
      <sheetName val="I.G.deP."/>
      <sheetName val="Demanda"/>
      <sheetName val="Gráfico"/>
      <sheetName val="REE"/>
      <sheetName val="MINER"/>
    </sheetNames>
    <sheetDataSet>
      <sheetData sheetId="0"/>
      <sheetData sheetId="1"/>
      <sheetData sheetId="2" refreshError="1"/>
      <sheetData sheetId="3"/>
      <sheetData sheetId="4"/>
      <sheetData sheetId="5"/>
      <sheetData sheetId="6"/>
      <sheetData sheetId="7">
        <row r="1">
          <cell r="A1" t="str">
            <v>Indice de precios</v>
          </cell>
        </row>
        <row r="2">
          <cell r="A2" t="str">
            <v>Media ponderada de enero</v>
          </cell>
        </row>
        <row r="3">
          <cell r="A3">
            <v>35796</v>
          </cell>
        </row>
        <row r="4">
          <cell r="A4">
            <v>35797</v>
          </cell>
        </row>
        <row r="5">
          <cell r="A5">
            <v>35798</v>
          </cell>
        </row>
        <row r="6">
          <cell r="A6">
            <v>35799</v>
          </cell>
        </row>
        <row r="7">
          <cell r="A7">
            <v>35800</v>
          </cell>
        </row>
        <row r="8">
          <cell r="A8">
            <v>35801</v>
          </cell>
        </row>
        <row r="9">
          <cell r="A9">
            <v>35802</v>
          </cell>
        </row>
        <row r="10">
          <cell r="A10">
            <v>35803</v>
          </cell>
        </row>
        <row r="11">
          <cell r="A11">
            <v>35804</v>
          </cell>
        </row>
        <row r="12">
          <cell r="A12">
            <v>35805</v>
          </cell>
        </row>
        <row r="13">
          <cell r="A13">
            <v>35806</v>
          </cell>
        </row>
        <row r="14">
          <cell r="A14">
            <v>35807</v>
          </cell>
        </row>
        <row r="15">
          <cell r="A15">
            <v>35808</v>
          </cell>
        </row>
        <row r="16">
          <cell r="A16">
            <v>35809</v>
          </cell>
        </row>
        <row r="17">
          <cell r="A17">
            <v>35810</v>
          </cell>
        </row>
        <row r="18">
          <cell r="A18">
            <v>35811</v>
          </cell>
        </row>
        <row r="19">
          <cell r="A19">
            <v>35812</v>
          </cell>
        </row>
        <row r="20">
          <cell r="A20">
            <v>35813</v>
          </cell>
        </row>
        <row r="21">
          <cell r="A21">
            <v>35814</v>
          </cell>
        </row>
        <row r="22">
          <cell r="A22">
            <v>35815</v>
          </cell>
        </row>
        <row r="23">
          <cell r="A23">
            <v>35816</v>
          </cell>
        </row>
        <row r="24">
          <cell r="A24">
            <v>35817</v>
          </cell>
        </row>
        <row r="25">
          <cell r="A25">
            <v>35818</v>
          </cell>
        </row>
        <row r="26">
          <cell r="A26">
            <v>35819</v>
          </cell>
        </row>
        <row r="27">
          <cell r="A27">
            <v>35820</v>
          </cell>
        </row>
        <row r="28">
          <cell r="A28">
            <v>35821</v>
          </cell>
        </row>
        <row r="29">
          <cell r="A29">
            <v>35822</v>
          </cell>
        </row>
        <row r="30">
          <cell r="A30">
            <v>35823</v>
          </cell>
        </row>
        <row r="31">
          <cell r="A31">
            <v>35824</v>
          </cell>
        </row>
        <row r="32">
          <cell r="A32">
            <v>35825</v>
          </cell>
        </row>
        <row r="33">
          <cell r="A33">
            <v>35826</v>
          </cell>
        </row>
        <row r="34">
          <cell r="A34">
            <v>35827</v>
          </cell>
        </row>
        <row r="35">
          <cell r="A35">
            <v>35828</v>
          </cell>
        </row>
        <row r="36">
          <cell r="A36">
            <v>35829</v>
          </cell>
        </row>
        <row r="37">
          <cell r="A37">
            <v>35830</v>
          </cell>
        </row>
        <row r="38">
          <cell r="A38">
            <v>35831</v>
          </cell>
        </row>
        <row r="39">
          <cell r="A39">
            <v>35832</v>
          </cell>
        </row>
        <row r="40">
          <cell r="A40">
            <v>35833</v>
          </cell>
        </row>
        <row r="41">
          <cell r="A41">
            <v>35834</v>
          </cell>
        </row>
        <row r="42">
          <cell r="A42">
            <v>35835</v>
          </cell>
        </row>
        <row r="43">
          <cell r="A43">
            <v>35836</v>
          </cell>
        </row>
        <row r="44">
          <cell r="A44">
            <v>35837</v>
          </cell>
        </row>
        <row r="45">
          <cell r="A45">
            <v>35838</v>
          </cell>
        </row>
        <row r="46">
          <cell r="A46">
            <v>35839</v>
          </cell>
        </row>
        <row r="47">
          <cell r="A47">
            <v>35840</v>
          </cell>
        </row>
        <row r="48">
          <cell r="A48">
            <v>35841</v>
          </cell>
        </row>
        <row r="49">
          <cell r="A49">
            <v>35842</v>
          </cell>
        </row>
        <row r="50">
          <cell r="A50">
            <v>35843</v>
          </cell>
        </row>
        <row r="51">
          <cell r="A51">
            <v>35844</v>
          </cell>
        </row>
        <row r="52">
          <cell r="A52">
            <v>35845</v>
          </cell>
        </row>
        <row r="53">
          <cell r="A53">
            <v>35846</v>
          </cell>
        </row>
        <row r="54">
          <cell r="A54">
            <v>35847</v>
          </cell>
        </row>
        <row r="55">
          <cell r="A55">
            <v>35848</v>
          </cell>
        </row>
        <row r="56">
          <cell r="A56">
            <v>35849</v>
          </cell>
        </row>
        <row r="57">
          <cell r="A57">
            <v>35850</v>
          </cell>
        </row>
        <row r="58">
          <cell r="A58">
            <v>35851</v>
          </cell>
        </row>
        <row r="59">
          <cell r="A59">
            <v>35852</v>
          </cell>
        </row>
        <row r="60">
          <cell r="A60">
            <v>35853</v>
          </cell>
        </row>
        <row r="61">
          <cell r="A61">
            <v>35854</v>
          </cell>
        </row>
        <row r="62">
          <cell r="A62">
            <v>35855</v>
          </cell>
        </row>
        <row r="63">
          <cell r="A63">
            <v>35856</v>
          </cell>
        </row>
        <row r="64">
          <cell r="A64">
            <v>35857</v>
          </cell>
        </row>
        <row r="65">
          <cell r="A65">
            <v>35858</v>
          </cell>
        </row>
        <row r="66">
          <cell r="A66">
            <v>35859</v>
          </cell>
        </row>
        <row r="67">
          <cell r="A67">
            <v>35860</v>
          </cell>
        </row>
        <row r="68">
          <cell r="A68">
            <v>35861</v>
          </cell>
        </row>
        <row r="69">
          <cell r="A69">
            <v>35862</v>
          </cell>
        </row>
        <row r="70">
          <cell r="A70">
            <v>35863</v>
          </cell>
        </row>
        <row r="71">
          <cell r="A71">
            <v>35864</v>
          </cell>
        </row>
        <row r="72">
          <cell r="A72">
            <v>35865</v>
          </cell>
        </row>
        <row r="73">
          <cell r="A73">
            <v>35866</v>
          </cell>
        </row>
        <row r="74">
          <cell r="A74">
            <v>35867</v>
          </cell>
        </row>
      </sheetData>
      <sheetData sheetId="8"/>
      <sheetData sheetId="9"/>
      <sheetData sheetId="10"/>
      <sheetData sheetId="11">
        <row r="371">
          <cell r="D371">
            <v>16.351800000000001</v>
          </cell>
          <cell r="E371">
            <v>14.895366666666666</v>
          </cell>
          <cell r="F371">
            <v>13.862399999999999</v>
          </cell>
          <cell r="G371">
            <v>13.387133333333333</v>
          </cell>
          <cell r="H371">
            <v>13.1172</v>
          </cell>
          <cell r="I371">
            <v>13.043466666666667</v>
          </cell>
          <cell r="J371">
            <v>14.102933333333333</v>
          </cell>
          <cell r="K371">
            <v>15.544700000000001</v>
          </cell>
          <cell r="L371">
            <v>16.479633333333336</v>
          </cell>
          <cell r="M371">
            <v>17.549533333333333</v>
          </cell>
          <cell r="N371">
            <v>18.277733333333334</v>
          </cell>
          <cell r="O371">
            <v>18.679500000000001</v>
          </cell>
          <cell r="P371">
            <v>18.6647</v>
          </cell>
          <cell r="Q371">
            <v>18.117466666666669</v>
          </cell>
          <cell r="R371">
            <v>17.188433333333336</v>
          </cell>
          <cell r="S371">
            <v>17.246166666666667</v>
          </cell>
          <cell r="T371">
            <v>17.3628</v>
          </cell>
          <cell r="U371">
            <v>17.453133333333334</v>
          </cell>
          <cell r="V371">
            <v>17.1616</v>
          </cell>
          <cell r="W371">
            <v>16.997933333333336</v>
          </cell>
          <cell r="X371">
            <v>17.784666666666666</v>
          </cell>
          <cell r="Y371">
            <v>19.692933333333336</v>
          </cell>
          <cell r="Z371">
            <v>18.696733333333334</v>
          </cell>
          <cell r="AA371">
            <v>17.055933333333336</v>
          </cell>
        </row>
      </sheetData>
      <sheetData sheetId="12"/>
      <sheetData sheetId="13" refreshError="1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ores"/>
      <sheetName val="Pre.Dia"/>
      <sheetName val="Pre.GP"/>
      <sheetName val="Pre.SSCC"/>
      <sheetName val="Pre.Fin"/>
      <sheetName val="Prod."/>
      <sheetName val="I.Precios"/>
      <sheetName val="I.PxD"/>
      <sheetName val="I.PxD2"/>
      <sheetName val="I.G.deP."/>
      <sheetName val="Demand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B1:H56"/>
  <sheetViews>
    <sheetView showGridLines="0" showRowColHeaders="0" workbookViewId="0">
      <selection activeCell="E4" sqref="E4"/>
    </sheetView>
  </sheetViews>
  <sheetFormatPr baseColWidth="10" defaultColWidth="11.42578125" defaultRowHeight="12.75"/>
  <cols>
    <col min="1" max="1" width="0.140625" style="1" customWidth="1"/>
    <col min="2" max="2" width="2.7109375" style="1" customWidth="1"/>
    <col min="3" max="3" width="16.42578125" style="1" customWidth="1"/>
    <col min="4" max="4" width="4.7109375" style="1" customWidth="1"/>
    <col min="5" max="5" width="95.7109375" style="1" customWidth="1"/>
    <col min="6" max="16384" width="11.42578125" style="1"/>
  </cols>
  <sheetData>
    <row r="1" spans="2:8" ht="0.75" customHeight="1"/>
    <row r="2" spans="2:8" ht="21" customHeight="1">
      <c r="C2" s="147"/>
      <c r="D2" s="147"/>
      <c r="E2" s="148" t="s">
        <v>36</v>
      </c>
    </row>
    <row r="3" spans="2:8" ht="15" customHeight="1">
      <c r="C3" s="147"/>
      <c r="D3" s="147"/>
      <c r="E3" s="144" t="str">
        <f>'M1'!L3</f>
        <v>Febrero 2018</v>
      </c>
    </row>
    <row r="4" spans="2:8" s="2" customFormat="1" ht="20.25" customHeight="1">
      <c r="B4" s="3"/>
      <c r="C4" s="149" t="s">
        <v>35</v>
      </c>
    </row>
    <row r="5" spans="2:8" s="2" customFormat="1" ht="9" customHeight="1">
      <c r="B5" s="3"/>
      <c r="C5" s="4"/>
    </row>
    <row r="6" spans="2:8" s="2" customFormat="1" ht="3" customHeight="1">
      <c r="B6" s="3"/>
      <c r="C6" s="4"/>
    </row>
    <row r="7" spans="2:8" s="2" customFormat="1" ht="7.5" customHeight="1">
      <c r="B7" s="3"/>
      <c r="C7" s="150"/>
      <c r="D7" s="11"/>
      <c r="E7" s="11"/>
    </row>
    <row r="8" spans="2:8" s="2" customFormat="1" ht="12.6" customHeight="1">
      <c r="B8" s="3"/>
      <c r="C8" s="151"/>
      <c r="D8" s="152" t="s">
        <v>140</v>
      </c>
      <c r="E8" s="153" t="s">
        <v>48</v>
      </c>
      <c r="F8" s="154"/>
      <c r="G8" s="92"/>
    </row>
    <row r="9" spans="2:8" s="2" customFormat="1" ht="12.6" customHeight="1">
      <c r="B9" s="3"/>
      <c r="C9" s="151"/>
      <c r="D9" s="152" t="s">
        <v>140</v>
      </c>
      <c r="E9" s="153" t="s">
        <v>141</v>
      </c>
      <c r="F9" s="154"/>
      <c r="G9" s="92"/>
    </row>
    <row r="10" spans="2:8" s="2" customFormat="1" ht="12.6" customHeight="1">
      <c r="B10" s="3"/>
      <c r="C10" s="151"/>
      <c r="D10" s="152" t="s">
        <v>140</v>
      </c>
      <c r="E10" s="153" t="s">
        <v>142</v>
      </c>
      <c r="F10" s="154"/>
      <c r="H10" s="155"/>
    </row>
    <row r="11" spans="2:8" s="2" customFormat="1" ht="12.6" customHeight="1">
      <c r="B11" s="3"/>
      <c r="C11" s="151"/>
      <c r="D11" s="152" t="s">
        <v>140</v>
      </c>
      <c r="E11" s="153" t="s">
        <v>143</v>
      </c>
      <c r="F11" s="154"/>
      <c r="H11" s="155"/>
    </row>
    <row r="12" spans="2:8" s="2" customFormat="1" ht="12.6" customHeight="1">
      <c r="B12" s="3"/>
      <c r="C12" s="151"/>
      <c r="D12" s="152" t="s">
        <v>140</v>
      </c>
      <c r="E12" s="153" t="s">
        <v>32</v>
      </c>
      <c r="F12" s="154"/>
    </row>
    <row r="13" spans="2:8" s="2" customFormat="1" ht="12.6" customHeight="1">
      <c r="B13" s="3"/>
      <c r="C13" s="151"/>
      <c r="D13" s="152" t="s">
        <v>140</v>
      </c>
      <c r="E13" s="153" t="s">
        <v>144</v>
      </c>
      <c r="F13" s="154"/>
    </row>
    <row r="14" spans="2:8" s="2" customFormat="1" ht="12.6" customHeight="1">
      <c r="B14" s="3"/>
      <c r="C14" s="151"/>
      <c r="D14" s="152" t="s">
        <v>140</v>
      </c>
      <c r="E14" s="153" t="s">
        <v>61</v>
      </c>
      <c r="F14" s="154"/>
    </row>
    <row r="15" spans="2:8" s="2" customFormat="1" ht="12.6" customHeight="1">
      <c r="B15" s="3"/>
      <c r="C15" s="151"/>
      <c r="D15" s="152" t="s">
        <v>140</v>
      </c>
      <c r="E15" s="153" t="s">
        <v>43</v>
      </c>
      <c r="F15" s="154"/>
    </row>
    <row r="16" spans="2:8" s="2" customFormat="1" ht="12.6" customHeight="1">
      <c r="B16" s="3"/>
      <c r="C16" s="151"/>
      <c r="D16" s="152" t="s">
        <v>140</v>
      </c>
      <c r="E16" s="153" t="s">
        <v>14</v>
      </c>
      <c r="F16" s="154"/>
    </row>
    <row r="17" spans="2:6" s="2" customFormat="1" ht="12.6" customHeight="1">
      <c r="B17" s="3"/>
      <c r="C17" s="151"/>
      <c r="D17" s="152" t="s">
        <v>140</v>
      </c>
      <c r="E17" s="153" t="s">
        <v>87</v>
      </c>
      <c r="F17" s="154"/>
    </row>
    <row r="18" spans="2:6" s="2" customFormat="1" ht="12.6" customHeight="1">
      <c r="B18" s="3"/>
      <c r="C18" s="151"/>
      <c r="D18" s="152" t="s">
        <v>140</v>
      </c>
      <c r="E18" s="153" t="s">
        <v>3</v>
      </c>
      <c r="F18" s="154"/>
    </row>
    <row r="19" spans="2:6" s="2" customFormat="1" ht="12.6" customHeight="1">
      <c r="B19" s="3"/>
      <c r="C19" s="151"/>
      <c r="D19" s="152" t="s">
        <v>140</v>
      </c>
      <c r="E19" s="153" t="s">
        <v>88</v>
      </c>
      <c r="F19" s="154"/>
    </row>
    <row r="20" spans="2:6" s="2" customFormat="1" ht="12.6" customHeight="1">
      <c r="B20" s="3"/>
      <c r="C20" s="151"/>
      <c r="D20" s="152" t="s">
        <v>140</v>
      </c>
      <c r="E20" s="153" t="s">
        <v>28</v>
      </c>
      <c r="F20" s="154"/>
    </row>
    <row r="21" spans="2:6" s="2" customFormat="1" ht="12.6" customHeight="1">
      <c r="B21" s="3"/>
      <c r="C21" s="151"/>
      <c r="D21" s="156" t="s">
        <v>140</v>
      </c>
      <c r="E21" s="153" t="s">
        <v>27</v>
      </c>
      <c r="F21" s="154"/>
    </row>
    <row r="22" spans="2:6" s="2" customFormat="1" ht="8.25" customHeight="1">
      <c r="B22" s="3"/>
      <c r="C22" s="151"/>
      <c r="D22" s="156"/>
      <c r="E22" s="157"/>
      <c r="F22" s="154"/>
    </row>
    <row r="23" spans="2:6" ht="11.25" customHeight="1"/>
    <row r="24" spans="2:6">
      <c r="C24" s="158" t="s">
        <v>145</v>
      </c>
      <c r="E24" s="2"/>
    </row>
    <row r="27" spans="2:6">
      <c r="E27" s="159"/>
    </row>
    <row r="28" spans="2:6">
      <c r="E28" s="159"/>
    </row>
    <row r="29" spans="2:6">
      <c r="E29" s="159"/>
    </row>
    <row r="30" spans="2:6">
      <c r="E30" s="7"/>
    </row>
    <row r="31" spans="2:6">
      <c r="E31" s="160"/>
    </row>
    <row r="56" spans="2:2">
      <c r="B56" s="9"/>
    </row>
  </sheetData>
  <hyperlinks>
    <hyperlink ref="E8" location="'M1'!A1" display="Valores extremos y medio del precio del mercado diario"/>
    <hyperlink ref="E9" location="'M2'!A1" display="Mercado diario: participación de cada tecnología en el precio marginal."/>
    <hyperlink ref="E10" location="'M3'!A1" display="Evolución del componente del  precio medio final de la energía."/>
    <hyperlink ref="E11" location="'M4'!A1" display="Componentes del precio medio final de la energía."/>
    <hyperlink ref="E12" location="'M5'!A1" display="Repercusión de los servicios de ajuste del sistema en el precio final medio"/>
    <hyperlink ref="E13" location="'M6'!A1" display="Coste de los servicios de ajuste"/>
    <hyperlink ref="E14" location="'M7'!A1" display="Energía gestionada en los servicios de ajustes"/>
    <hyperlink ref="E15" location="'M8'!A1" display="Solución de restricciones técnicas (Fase I)"/>
    <hyperlink ref="E16" location="'M9'!A1" display="Banda de regulación secundaria"/>
    <hyperlink ref="E17" location="'M10'!A1" display="Regulación secundaria utilizada"/>
    <hyperlink ref="E18" location="'M11'!A1" display="Regulación terciaria"/>
    <hyperlink ref="E19" location="'M12'!A1" display="Gestión de desvíos"/>
    <hyperlink ref="E20" location="'M13'!A1" display="Restricciones técnicas en tiempo real"/>
    <hyperlink ref="E21" location="'M14'!A1" display="Reserva de potencia adicional a subir"/>
  </hyperlink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pageSetUpPr autoPageBreaks="0" fitToPage="1"/>
  </sheetPr>
  <dimension ref="A1:AK70"/>
  <sheetViews>
    <sheetView showGridLines="0" showRowColHeaders="0" zoomScaleNormal="100" workbookViewId="0">
      <selection activeCell="T19" sqref="T19"/>
    </sheetView>
  </sheetViews>
  <sheetFormatPr baseColWidth="10" defaultRowHeight="12.75"/>
  <cols>
    <col min="1" max="1" width="2.7109375" style="30" customWidth="1"/>
    <col min="2" max="2" width="21.7109375" style="30" customWidth="1"/>
    <col min="3" max="3" width="11.42578125" style="30" customWidth="1"/>
    <col min="4" max="8" width="11.42578125" style="30"/>
    <col min="9" max="9" width="11.5703125" style="30" bestFit="1" customWidth="1"/>
    <col min="10" max="13" width="11.42578125" style="30"/>
    <col min="14" max="14" width="15.85546875" style="30" customWidth="1"/>
    <col min="15" max="16384" width="11.42578125" style="30"/>
  </cols>
  <sheetData>
    <row r="1" spans="1:37">
      <c r="L1" s="19" t="s">
        <v>36</v>
      </c>
    </row>
    <row r="2" spans="1:37">
      <c r="L2" s="20" t="s">
        <v>186</v>
      </c>
    </row>
    <row r="4" spans="1:37">
      <c r="A4" s="33"/>
      <c r="B4" s="21" t="s">
        <v>35</v>
      </c>
      <c r="C4" s="33"/>
      <c r="O4" s="77" t="s">
        <v>9</v>
      </c>
      <c r="P4" s="77" t="s">
        <v>13</v>
      </c>
      <c r="Q4" s="77" t="s">
        <v>5</v>
      </c>
      <c r="R4" s="77" t="s">
        <v>6</v>
      </c>
      <c r="S4" s="77" t="s">
        <v>7</v>
      </c>
      <c r="T4" s="77" t="s">
        <v>8</v>
      </c>
      <c r="U4" s="77" t="s">
        <v>7</v>
      </c>
      <c r="V4" s="77" t="s">
        <v>9</v>
      </c>
      <c r="W4" s="77" t="s">
        <v>9</v>
      </c>
      <c r="X4" s="77" t="s">
        <v>8</v>
      </c>
      <c r="Y4" s="77" t="s">
        <v>10</v>
      </c>
      <c r="Z4" s="77" t="s">
        <v>11</v>
      </c>
      <c r="AA4" s="77" t="s">
        <v>12</v>
      </c>
    </row>
    <row r="5" spans="1:37" s="34" customFormat="1"/>
    <row r="6" spans="1:37" s="34" customFormat="1"/>
    <row r="7" spans="1:37" ht="12.75" customHeight="1">
      <c r="B7" s="198" t="s">
        <v>14</v>
      </c>
      <c r="F7" s="35"/>
      <c r="G7" s="35"/>
      <c r="H7" s="36"/>
      <c r="I7" s="36"/>
      <c r="J7" s="36"/>
      <c r="K7" s="36"/>
      <c r="L7" s="36"/>
      <c r="M7" s="36"/>
      <c r="AB7" s="36"/>
      <c r="AC7" s="36"/>
      <c r="AD7" s="36"/>
      <c r="AE7" s="36"/>
      <c r="AF7" s="36"/>
      <c r="AG7" s="36"/>
      <c r="AH7" s="36"/>
      <c r="AI7" s="36"/>
      <c r="AJ7" s="36"/>
      <c r="AK7" s="36"/>
    </row>
    <row r="8" spans="1:37">
      <c r="B8" s="198"/>
      <c r="F8" s="35"/>
      <c r="G8" s="35"/>
      <c r="H8" s="36"/>
      <c r="I8" s="36"/>
      <c r="J8" s="36"/>
      <c r="K8" s="36"/>
      <c r="L8" s="36"/>
      <c r="M8" s="36"/>
      <c r="AB8" s="36"/>
      <c r="AC8" s="36"/>
      <c r="AD8" s="36"/>
      <c r="AE8" s="36"/>
      <c r="AF8" s="36"/>
      <c r="AG8" s="36"/>
      <c r="AH8" s="36"/>
      <c r="AI8" s="36"/>
      <c r="AJ8" s="36"/>
      <c r="AK8" s="36"/>
    </row>
    <row r="9" spans="1:37">
      <c r="B9" s="52" t="s">
        <v>67</v>
      </c>
      <c r="F9" s="35"/>
      <c r="G9" s="35"/>
    </row>
    <row r="10" spans="1:37">
      <c r="B10" s="198"/>
      <c r="F10" s="35"/>
      <c r="G10" s="35"/>
    </row>
    <row r="11" spans="1:37" s="34" customFormat="1">
      <c r="B11" s="198"/>
      <c r="F11" s="35"/>
      <c r="G11" s="35"/>
    </row>
    <row r="12" spans="1:37">
      <c r="B12" s="198"/>
      <c r="F12" s="35"/>
      <c r="G12" s="35"/>
      <c r="H12" s="36"/>
      <c r="I12" s="36"/>
      <c r="J12" s="36"/>
      <c r="K12" s="36"/>
      <c r="L12" s="36"/>
      <c r="M12" s="36"/>
      <c r="AB12" s="36"/>
      <c r="AC12" s="36"/>
      <c r="AD12" s="36"/>
      <c r="AE12" s="36"/>
      <c r="AF12" s="36"/>
      <c r="AG12" s="36"/>
      <c r="AH12" s="36"/>
      <c r="AI12" s="36"/>
    </row>
    <row r="13" spans="1:37">
      <c r="F13" s="35"/>
      <c r="G13" s="35"/>
    </row>
    <row r="14" spans="1:37">
      <c r="F14" s="35"/>
      <c r="G14" s="35"/>
    </row>
    <row r="15" spans="1:37">
      <c r="F15" s="35"/>
      <c r="G15" s="35"/>
    </row>
    <row r="16" spans="1:37">
      <c r="F16" s="35"/>
      <c r="G16" s="35"/>
    </row>
    <row r="17" spans="6:7">
      <c r="F17" s="35"/>
      <c r="G17" s="35"/>
    </row>
    <row r="18" spans="6:7">
      <c r="F18" s="35"/>
      <c r="G18" s="35"/>
    </row>
    <row r="19" spans="6:7">
      <c r="F19" s="35"/>
      <c r="G19" s="35"/>
    </row>
    <row r="20" spans="6:7">
      <c r="F20" s="35"/>
      <c r="G20" s="35"/>
    </row>
    <row r="21" spans="6:7">
      <c r="F21" s="35"/>
      <c r="G21" s="35"/>
    </row>
    <row r="22" spans="6:7">
      <c r="F22" s="35"/>
      <c r="G22" s="35"/>
    </row>
    <row r="23" spans="6:7">
      <c r="F23" s="35"/>
      <c r="G23" s="35"/>
    </row>
    <row r="24" spans="6:7">
      <c r="F24" s="35"/>
      <c r="G24" s="35"/>
    </row>
    <row r="25" spans="6:7">
      <c r="F25" s="35"/>
      <c r="G25" s="35"/>
    </row>
    <row r="26" spans="6:7">
      <c r="F26" s="35"/>
      <c r="G26" s="35"/>
    </row>
    <row r="27" spans="6:7">
      <c r="F27" s="35"/>
      <c r="G27" s="35"/>
    </row>
    <row r="28" spans="6:7">
      <c r="F28" s="35"/>
      <c r="G28" s="35"/>
    </row>
    <row r="29" spans="6:7">
      <c r="F29" s="35"/>
      <c r="G29" s="35"/>
    </row>
    <row r="30" spans="6:7">
      <c r="F30" s="35"/>
      <c r="G30" s="35"/>
    </row>
    <row r="31" spans="6:7">
      <c r="F31" s="35"/>
      <c r="G31" s="35"/>
    </row>
    <row r="32" spans="6:7">
      <c r="F32" s="35"/>
      <c r="G32" s="35"/>
    </row>
    <row r="33" spans="1:7">
      <c r="F33" s="35"/>
      <c r="G33" s="35"/>
    </row>
    <row r="34" spans="1:7" ht="12.75" customHeight="1"/>
    <row r="38" spans="1:7" s="22" customFormat="1">
      <c r="A38" s="30"/>
      <c r="B38" s="30"/>
    </row>
    <row r="39" spans="1:7" s="22" customFormat="1">
      <c r="A39" s="30"/>
      <c r="B39" s="30"/>
    </row>
    <row r="40" spans="1:7" s="22" customFormat="1">
      <c r="A40" s="30"/>
      <c r="B40" s="30"/>
    </row>
    <row r="55" spans="10:15">
      <c r="J55" s="31"/>
      <c r="K55" s="38"/>
      <c r="L55" s="39"/>
      <c r="M55" s="39"/>
      <c r="N55" s="38"/>
    </row>
    <row r="56" spans="10:15">
      <c r="K56" s="31"/>
      <c r="L56" s="38"/>
      <c r="M56" s="39"/>
      <c r="N56" s="38"/>
      <c r="O56" s="38"/>
    </row>
    <row r="57" spans="10:15">
      <c r="K57" s="31"/>
      <c r="L57" s="38"/>
      <c r="M57" s="39"/>
      <c r="N57" s="38"/>
      <c r="O57" s="38"/>
    </row>
    <row r="58" spans="10:15">
      <c r="K58" s="31"/>
      <c r="L58" s="38"/>
      <c r="M58" s="39"/>
      <c r="N58" s="38"/>
      <c r="O58" s="38"/>
    </row>
    <row r="59" spans="10:15">
      <c r="K59" s="31"/>
      <c r="L59" s="38"/>
      <c r="M59" s="39"/>
      <c r="N59" s="38"/>
      <c r="O59" s="38"/>
    </row>
    <row r="60" spans="10:15">
      <c r="K60" s="31"/>
      <c r="L60" s="38"/>
      <c r="M60" s="39"/>
      <c r="N60" s="38"/>
      <c r="O60" s="38"/>
    </row>
    <row r="61" spans="10:15">
      <c r="K61" s="31"/>
      <c r="L61" s="38"/>
      <c r="M61" s="39"/>
      <c r="N61" s="38"/>
      <c r="O61" s="38"/>
    </row>
    <row r="62" spans="10:15">
      <c r="K62" s="31"/>
      <c r="L62" s="38"/>
      <c r="M62" s="39"/>
      <c r="N62" s="38"/>
      <c r="O62" s="38"/>
    </row>
    <row r="63" spans="10:15">
      <c r="K63" s="31"/>
      <c r="L63" s="38"/>
      <c r="M63" s="39"/>
      <c r="N63" s="38"/>
      <c r="O63" s="38"/>
    </row>
    <row r="64" spans="10:15">
      <c r="K64" s="31"/>
      <c r="L64" s="38"/>
      <c r="M64" s="39"/>
      <c r="N64" s="38"/>
      <c r="O64" s="38"/>
    </row>
    <row r="65" spans="1:15" s="22" customFormat="1">
      <c r="B65" s="30"/>
      <c r="C65" s="30"/>
      <c r="D65" s="30"/>
      <c r="E65" s="30"/>
      <c r="F65" s="30"/>
      <c r="G65" s="30"/>
      <c r="H65" s="30"/>
      <c r="I65" s="30"/>
      <c r="J65" s="30"/>
      <c r="K65" s="31"/>
      <c r="L65" s="38"/>
      <c r="M65" s="39"/>
      <c r="N65" s="38"/>
      <c r="O65" s="38"/>
    </row>
    <row r="66" spans="1:15" s="22" customFormat="1">
      <c r="B66" s="30"/>
      <c r="C66" s="30"/>
      <c r="D66" s="30"/>
      <c r="E66" s="30"/>
      <c r="F66" s="30"/>
      <c r="G66" s="30"/>
      <c r="H66" s="30"/>
      <c r="I66" s="30"/>
      <c r="J66" s="30"/>
      <c r="K66" s="30"/>
      <c r="L66" s="38"/>
      <c r="M66" s="40"/>
      <c r="N66" s="38"/>
      <c r="O66" s="38"/>
    </row>
    <row r="67" spans="1:15">
      <c r="A67" s="22"/>
      <c r="K67" s="32"/>
      <c r="M67" s="39"/>
      <c r="N67" s="38"/>
      <c r="O67" s="38"/>
    </row>
    <row r="68" spans="1:15">
      <c r="A68" s="22"/>
      <c r="B68" s="22"/>
      <c r="C68" s="22"/>
      <c r="D68" s="40"/>
      <c r="E68" s="40"/>
      <c r="F68" s="40"/>
      <c r="G68" s="40"/>
      <c r="H68" s="40"/>
      <c r="J68" s="37"/>
    </row>
    <row r="69" spans="1:15">
      <c r="J69" s="37"/>
    </row>
    <row r="70" spans="1:15">
      <c r="F70" s="35"/>
      <c r="G70" s="35"/>
      <c r="J70" s="37"/>
    </row>
  </sheetData>
  <mergeCells count="2">
    <mergeCell ref="B7:B8"/>
    <mergeCell ref="B10:B12"/>
  </mergeCells>
  <conditionalFormatting sqref="K67">
    <cfRule type="cellIs" dxfId="4" priority="1" operator="notBetween">
      <formula>0.001</formula>
      <formula>-0.001</formula>
    </cfRule>
  </conditionalFormatting>
  <printOptions horizontalCentered="1" verticalCentered="1"/>
  <pageMargins left="0.78740157480314965" right="0.78740157480314965" top="0.98425196850393704" bottom="0.98425196850393704" header="0" footer="0"/>
  <pageSetup paperSize="9" scale="55" orientation="landscape" horizontalDpi="355" verticalDpi="355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pageSetUpPr autoPageBreaks="0" fitToPage="1"/>
  </sheetPr>
  <dimension ref="A1:AK70"/>
  <sheetViews>
    <sheetView showGridLines="0" showRowColHeaders="0" zoomScaleNormal="100" workbookViewId="0">
      <selection activeCell="P26" sqref="P26"/>
    </sheetView>
  </sheetViews>
  <sheetFormatPr baseColWidth="10" defaultRowHeight="12.75"/>
  <cols>
    <col min="1" max="1" width="2.7109375" style="30" customWidth="1"/>
    <col min="2" max="2" width="21.7109375" style="30" customWidth="1"/>
    <col min="3" max="3" width="11.42578125" style="30" customWidth="1"/>
    <col min="4" max="8" width="11.42578125" style="30"/>
    <col min="9" max="9" width="11.5703125" style="30" bestFit="1" customWidth="1"/>
    <col min="10" max="13" width="11.42578125" style="30"/>
    <col min="14" max="14" width="15.85546875" style="30" customWidth="1"/>
    <col min="15" max="25" width="8.42578125" style="30" customWidth="1"/>
    <col min="26" max="26" width="8.85546875" style="30" customWidth="1"/>
    <col min="27" max="27" width="11.42578125" style="30" customWidth="1"/>
    <col min="28" max="16384" width="11.42578125" style="30"/>
  </cols>
  <sheetData>
    <row r="1" spans="1:37">
      <c r="L1" s="87" t="s">
        <v>36</v>
      </c>
    </row>
    <row r="2" spans="1:37">
      <c r="L2" s="88" t="s">
        <v>186</v>
      </c>
    </row>
    <row r="4" spans="1:37">
      <c r="A4" s="33"/>
      <c r="B4" s="21" t="s">
        <v>35</v>
      </c>
      <c r="C4" s="33"/>
      <c r="O4" s="77" t="s">
        <v>13</v>
      </c>
      <c r="P4" s="77" t="s">
        <v>5</v>
      </c>
      <c r="Q4" s="77" t="s">
        <v>6</v>
      </c>
      <c r="R4" s="77" t="s">
        <v>7</v>
      </c>
      <c r="S4" s="77" t="s">
        <v>8</v>
      </c>
      <c r="T4" s="77" t="s">
        <v>7</v>
      </c>
      <c r="U4" s="77" t="s">
        <v>9</v>
      </c>
      <c r="V4" s="77" t="s">
        <v>9</v>
      </c>
      <c r="W4" s="77" t="s">
        <v>8</v>
      </c>
      <c r="X4" s="77" t="s">
        <v>10</v>
      </c>
      <c r="Y4" s="77" t="s">
        <v>11</v>
      </c>
      <c r="Z4" s="77" t="s">
        <v>12</v>
      </c>
      <c r="AA4" s="77" t="s">
        <v>13</v>
      </c>
    </row>
    <row r="5" spans="1:37" s="34" customFormat="1"/>
    <row r="6" spans="1:37" s="34" customFormat="1"/>
    <row r="7" spans="1:37" ht="12.75" customHeight="1">
      <c r="B7" s="198" t="s">
        <v>87</v>
      </c>
      <c r="F7" s="35"/>
      <c r="G7" s="35"/>
      <c r="H7" s="36"/>
      <c r="I7" s="36"/>
      <c r="J7" s="36"/>
      <c r="K7" s="36"/>
      <c r="L7" s="36"/>
      <c r="M7" s="36"/>
      <c r="AB7" s="36"/>
      <c r="AC7" s="36"/>
      <c r="AD7" s="36"/>
      <c r="AE7" s="36"/>
      <c r="AF7" s="36"/>
      <c r="AG7" s="36"/>
      <c r="AH7" s="36"/>
      <c r="AI7" s="36"/>
      <c r="AJ7" s="36"/>
      <c r="AK7" s="36"/>
    </row>
    <row r="8" spans="1:37">
      <c r="B8" s="198"/>
      <c r="F8" s="35"/>
      <c r="G8" s="35"/>
      <c r="H8" s="36"/>
      <c r="I8" s="36"/>
      <c r="J8" s="36"/>
      <c r="K8" s="36"/>
      <c r="L8" s="36"/>
      <c r="M8" s="36"/>
      <c r="AB8" s="36"/>
      <c r="AC8" s="36"/>
      <c r="AD8" s="36"/>
      <c r="AE8" s="36"/>
      <c r="AF8" s="36"/>
      <c r="AG8" s="36"/>
      <c r="AH8" s="36"/>
      <c r="AI8" s="36"/>
      <c r="AJ8" s="36"/>
      <c r="AK8" s="36"/>
    </row>
    <row r="9" spans="1:37">
      <c r="B9" s="52" t="s">
        <v>86</v>
      </c>
      <c r="F9" s="35"/>
      <c r="G9" s="35"/>
    </row>
    <row r="10" spans="1:37">
      <c r="B10" s="198"/>
      <c r="F10" s="35"/>
      <c r="G10" s="35"/>
    </row>
    <row r="11" spans="1:37" s="34" customFormat="1">
      <c r="B11" s="198"/>
      <c r="F11" s="35"/>
      <c r="G11" s="35"/>
    </row>
    <row r="12" spans="1:37">
      <c r="B12" s="198"/>
      <c r="F12" s="35"/>
      <c r="G12" s="35"/>
      <c r="H12" s="36"/>
      <c r="I12" s="36"/>
      <c r="J12" s="36"/>
      <c r="K12" s="36"/>
      <c r="L12" s="36"/>
      <c r="M12" s="36"/>
      <c r="AB12" s="36"/>
      <c r="AC12" s="36"/>
      <c r="AD12" s="36"/>
      <c r="AE12" s="36"/>
      <c r="AF12" s="36"/>
      <c r="AG12" s="36"/>
      <c r="AH12" s="36"/>
      <c r="AI12" s="36"/>
    </row>
    <row r="13" spans="1:37">
      <c r="F13" s="35"/>
      <c r="G13" s="35"/>
    </row>
    <row r="14" spans="1:37">
      <c r="F14" s="35"/>
      <c r="G14" s="35"/>
    </row>
    <row r="15" spans="1:37">
      <c r="F15" s="35"/>
      <c r="G15" s="35"/>
    </row>
    <row r="16" spans="1:37">
      <c r="F16" s="35"/>
      <c r="G16" s="35"/>
    </row>
    <row r="17" spans="6:14">
      <c r="F17" s="35"/>
      <c r="G17" s="35"/>
    </row>
    <row r="18" spans="6:14">
      <c r="F18" s="35"/>
      <c r="G18" s="35"/>
    </row>
    <row r="19" spans="6:14">
      <c r="F19" s="35"/>
      <c r="G19" s="35"/>
    </row>
    <row r="20" spans="6:14" ht="15">
      <c r="F20" s="35"/>
      <c r="G20" s="35"/>
      <c r="N20" s="82"/>
    </row>
    <row r="21" spans="6:14">
      <c r="F21" s="35"/>
      <c r="G21" s="35"/>
      <c r="N21" s="81"/>
    </row>
    <row r="22" spans="6:14">
      <c r="F22" s="35"/>
      <c r="G22" s="35"/>
    </row>
    <row r="23" spans="6:14">
      <c r="F23" s="35"/>
      <c r="G23" s="35"/>
    </row>
    <row r="24" spans="6:14">
      <c r="F24" s="35"/>
      <c r="G24" s="35"/>
    </row>
    <row r="25" spans="6:14">
      <c r="F25" s="35"/>
      <c r="G25" s="35"/>
    </row>
    <row r="26" spans="6:14">
      <c r="F26" s="35"/>
      <c r="G26" s="35"/>
    </row>
    <row r="27" spans="6:14">
      <c r="F27" s="35"/>
      <c r="G27" s="35"/>
    </row>
    <row r="28" spans="6:14">
      <c r="F28" s="35"/>
      <c r="G28" s="35"/>
    </row>
    <row r="29" spans="6:14">
      <c r="F29" s="35"/>
      <c r="G29" s="35"/>
    </row>
    <row r="30" spans="6:14">
      <c r="F30" s="35"/>
      <c r="G30" s="35"/>
    </row>
    <row r="31" spans="6:14">
      <c r="F31" s="35"/>
      <c r="G31" s="35"/>
    </row>
    <row r="32" spans="6:14">
      <c r="F32" s="35"/>
      <c r="G32" s="35"/>
    </row>
    <row r="33" spans="1:7">
      <c r="F33" s="35"/>
      <c r="G33" s="35"/>
    </row>
    <row r="34" spans="1:7" ht="12.75" customHeight="1"/>
    <row r="38" spans="1:7" s="22" customFormat="1">
      <c r="A38" s="30"/>
      <c r="B38" s="30"/>
    </row>
    <row r="39" spans="1:7" s="22" customFormat="1">
      <c r="A39" s="30"/>
      <c r="B39" s="30"/>
    </row>
    <row r="40" spans="1:7" s="22" customFormat="1">
      <c r="A40" s="30"/>
      <c r="B40" s="30"/>
    </row>
    <row r="55" spans="10:15">
      <c r="J55" s="31"/>
      <c r="K55" s="38"/>
      <c r="L55" s="39"/>
      <c r="M55" s="39"/>
      <c r="N55" s="38"/>
    </row>
    <row r="56" spans="10:15">
      <c r="K56" s="31"/>
      <c r="L56" s="38"/>
      <c r="M56" s="39"/>
      <c r="N56" s="38"/>
      <c r="O56" s="38"/>
    </row>
    <row r="57" spans="10:15">
      <c r="K57" s="31"/>
      <c r="L57" s="38"/>
      <c r="M57" s="39"/>
      <c r="N57" s="38"/>
      <c r="O57" s="38"/>
    </row>
    <row r="58" spans="10:15">
      <c r="K58" s="31"/>
      <c r="L58" s="38"/>
      <c r="M58" s="39"/>
      <c r="N58" s="38"/>
      <c r="O58" s="38"/>
    </row>
    <row r="59" spans="10:15">
      <c r="K59" s="31"/>
      <c r="L59" s="38"/>
      <c r="M59" s="39"/>
      <c r="N59" s="38"/>
      <c r="O59" s="38"/>
    </row>
    <row r="60" spans="10:15">
      <c r="K60" s="31"/>
      <c r="L60" s="38"/>
      <c r="M60" s="39"/>
      <c r="N60" s="38"/>
      <c r="O60" s="38"/>
    </row>
    <row r="61" spans="10:15">
      <c r="K61" s="31"/>
      <c r="L61" s="38"/>
      <c r="M61" s="39"/>
      <c r="N61" s="38"/>
      <c r="O61" s="38"/>
    </row>
    <row r="62" spans="10:15">
      <c r="K62" s="31"/>
      <c r="L62" s="38"/>
      <c r="M62" s="39"/>
      <c r="N62" s="38"/>
      <c r="O62" s="38"/>
    </row>
    <row r="63" spans="10:15">
      <c r="K63" s="31"/>
      <c r="L63" s="38"/>
      <c r="M63" s="39"/>
      <c r="N63" s="38"/>
      <c r="O63" s="38"/>
    </row>
    <row r="64" spans="10:15">
      <c r="K64" s="31"/>
      <c r="L64" s="38"/>
      <c r="M64" s="39"/>
      <c r="N64" s="38"/>
      <c r="O64" s="38"/>
    </row>
    <row r="65" spans="1:15" s="22" customFormat="1">
      <c r="B65" s="30"/>
      <c r="C65" s="30"/>
      <c r="D65" s="30"/>
      <c r="E65" s="30"/>
      <c r="F65" s="30"/>
      <c r="G65" s="30"/>
      <c r="H65" s="30"/>
      <c r="I65" s="30"/>
      <c r="J65" s="30"/>
      <c r="K65" s="31"/>
      <c r="L65" s="38"/>
      <c r="M65" s="39"/>
      <c r="N65" s="38"/>
      <c r="O65" s="38"/>
    </row>
    <row r="66" spans="1:15" s="22" customFormat="1">
      <c r="B66" s="30"/>
      <c r="C66" s="30"/>
      <c r="D66" s="30"/>
      <c r="E66" s="30"/>
      <c r="F66" s="30"/>
      <c r="G66" s="30"/>
      <c r="H66" s="30"/>
      <c r="I66" s="30"/>
      <c r="J66" s="30"/>
      <c r="K66" s="30"/>
      <c r="L66" s="38"/>
      <c r="M66" s="40"/>
      <c r="N66" s="38"/>
      <c r="O66" s="38"/>
    </row>
    <row r="67" spans="1:15">
      <c r="A67" s="22"/>
      <c r="K67" s="32"/>
      <c r="M67" s="39"/>
      <c r="N67" s="38"/>
      <c r="O67" s="38"/>
    </row>
    <row r="68" spans="1:15">
      <c r="A68" s="22"/>
      <c r="B68" s="22"/>
      <c r="C68" s="22"/>
      <c r="D68" s="40"/>
      <c r="E68" s="40"/>
      <c r="F68" s="40"/>
      <c r="G68" s="40"/>
      <c r="H68" s="40"/>
      <c r="J68" s="37"/>
    </row>
    <row r="69" spans="1:15">
      <c r="J69" s="37"/>
    </row>
    <row r="70" spans="1:15">
      <c r="F70" s="35"/>
      <c r="G70" s="35"/>
      <c r="J70" s="37"/>
    </row>
  </sheetData>
  <mergeCells count="2">
    <mergeCell ref="B7:B8"/>
    <mergeCell ref="B10:B12"/>
  </mergeCells>
  <conditionalFormatting sqref="K67">
    <cfRule type="cellIs" dxfId="5" priority="1" operator="notBetween">
      <formula>0.001</formula>
      <formula>-0.001</formula>
    </cfRule>
  </conditionalFormatting>
  <printOptions horizontalCentered="1" verticalCentered="1"/>
  <pageMargins left="0.78740157480314965" right="0.78740157480314965" top="0.98425196850393704" bottom="0.98425196850393704" header="0" footer="0"/>
  <pageSetup paperSize="9" scale="55" orientation="landscape" horizontalDpi="355" verticalDpi="355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pageSetUpPr autoPageBreaks="0" fitToPage="1"/>
  </sheetPr>
  <dimension ref="A1:AL70"/>
  <sheetViews>
    <sheetView showGridLines="0" showRowColHeaders="0" zoomScaleNormal="100" workbookViewId="0">
      <selection activeCell="Q24" sqref="Q24"/>
    </sheetView>
  </sheetViews>
  <sheetFormatPr baseColWidth="10" defaultRowHeight="12.75"/>
  <cols>
    <col min="1" max="1" width="2.7109375" style="30" customWidth="1"/>
    <col min="2" max="2" width="23.7109375" style="30" customWidth="1"/>
    <col min="3" max="3" width="11.42578125" style="30" customWidth="1"/>
    <col min="4" max="8" width="11.42578125" style="30"/>
    <col min="9" max="9" width="11.5703125" style="30" bestFit="1" customWidth="1"/>
    <col min="10" max="16384" width="11.42578125" style="30"/>
  </cols>
  <sheetData>
    <row r="1" spans="1:38">
      <c r="L1" s="87" t="s">
        <v>36</v>
      </c>
    </row>
    <row r="2" spans="1:38">
      <c r="L2" s="88" t="s">
        <v>186</v>
      </c>
    </row>
    <row r="4" spans="1:38">
      <c r="A4" s="33"/>
      <c r="B4" s="21" t="s">
        <v>35</v>
      </c>
      <c r="C4" s="33"/>
      <c r="P4" s="77" t="s">
        <v>9</v>
      </c>
      <c r="Q4" s="77" t="s">
        <v>8</v>
      </c>
      <c r="R4" s="77" t="s">
        <v>10</v>
      </c>
      <c r="S4" s="77" t="s">
        <v>11</v>
      </c>
      <c r="T4" s="77" t="s">
        <v>12</v>
      </c>
      <c r="U4" s="77" t="s">
        <v>13</v>
      </c>
      <c r="V4" s="77" t="s">
        <v>5</v>
      </c>
      <c r="W4" s="77" t="s">
        <v>6</v>
      </c>
      <c r="X4" s="77" t="s">
        <v>7</v>
      </c>
      <c r="Y4" s="77" t="s">
        <v>8</v>
      </c>
      <c r="Z4" s="77" t="s">
        <v>7</v>
      </c>
      <c r="AA4" s="77" t="s">
        <v>9</v>
      </c>
      <c r="AB4" s="77" t="s">
        <v>9</v>
      </c>
    </row>
    <row r="5" spans="1:38" s="34" customFormat="1"/>
    <row r="6" spans="1:38" s="34" customFormat="1"/>
    <row r="7" spans="1:38" ht="12.75" customHeight="1">
      <c r="B7" s="52" t="s">
        <v>3</v>
      </c>
      <c r="F7" s="35"/>
      <c r="G7" s="35"/>
      <c r="H7" s="36"/>
      <c r="I7" s="36"/>
      <c r="J7" s="36"/>
      <c r="K7" s="36"/>
      <c r="L7" s="36"/>
      <c r="M7" s="36"/>
      <c r="AC7" s="36"/>
      <c r="AD7" s="36"/>
      <c r="AE7" s="36"/>
      <c r="AF7" s="36"/>
      <c r="AG7" s="36"/>
      <c r="AH7" s="36"/>
      <c r="AI7" s="36"/>
      <c r="AJ7" s="36"/>
      <c r="AK7" s="36"/>
      <c r="AL7" s="36"/>
    </row>
    <row r="8" spans="1:38">
      <c r="B8" s="52" t="s">
        <v>86</v>
      </c>
      <c r="F8" s="35"/>
      <c r="G8" s="35"/>
      <c r="H8" s="36"/>
      <c r="I8" s="36"/>
      <c r="J8" s="36"/>
      <c r="K8" s="36"/>
      <c r="L8" s="36"/>
      <c r="M8" s="36"/>
      <c r="AC8" s="36"/>
      <c r="AD8" s="36"/>
      <c r="AE8" s="36"/>
      <c r="AF8" s="36"/>
      <c r="AG8" s="36"/>
      <c r="AH8" s="36"/>
      <c r="AI8" s="36"/>
      <c r="AJ8" s="36"/>
      <c r="AK8" s="36"/>
      <c r="AL8" s="36"/>
    </row>
    <row r="9" spans="1:38" ht="12.75" customHeight="1">
      <c r="B9" s="52"/>
      <c r="F9" s="35"/>
      <c r="G9" s="35"/>
    </row>
    <row r="10" spans="1:38" ht="12.75" customHeight="1">
      <c r="B10" s="198"/>
      <c r="F10" s="35"/>
      <c r="G10" s="35"/>
    </row>
    <row r="11" spans="1:38" s="34" customFormat="1" ht="12.75" customHeight="1">
      <c r="B11" s="198"/>
      <c r="F11" s="35"/>
      <c r="G11" s="35"/>
    </row>
    <row r="12" spans="1:38" ht="12.75" customHeight="1">
      <c r="B12" s="198"/>
      <c r="F12" s="35"/>
      <c r="G12" s="35"/>
      <c r="H12" s="36"/>
      <c r="I12" s="36"/>
      <c r="J12" s="36"/>
      <c r="K12" s="36"/>
      <c r="L12" s="36"/>
      <c r="M12" s="36"/>
      <c r="AC12" s="36"/>
      <c r="AD12" s="36"/>
      <c r="AE12" s="36"/>
      <c r="AF12" s="36"/>
      <c r="AG12" s="36"/>
      <c r="AH12" s="36"/>
      <c r="AI12" s="36"/>
      <c r="AJ12" s="36"/>
    </row>
    <row r="13" spans="1:38" ht="12.75" customHeight="1">
      <c r="F13" s="35"/>
      <c r="G13" s="35"/>
    </row>
    <row r="14" spans="1:38" ht="12.75" customHeight="1">
      <c r="F14" s="35"/>
      <c r="G14" s="35"/>
    </row>
    <row r="15" spans="1:38" ht="12.75" customHeight="1">
      <c r="F15" s="35"/>
      <c r="G15" s="35"/>
    </row>
    <row r="16" spans="1:38" ht="12.75" customHeight="1">
      <c r="F16" s="35"/>
      <c r="G16" s="35"/>
    </row>
    <row r="17" spans="6:7" ht="12.75" customHeight="1">
      <c r="F17" s="35"/>
      <c r="G17" s="35"/>
    </row>
    <row r="18" spans="6:7" ht="12.75" customHeight="1">
      <c r="F18" s="35"/>
      <c r="G18" s="35"/>
    </row>
    <row r="19" spans="6:7" ht="12.75" customHeight="1">
      <c r="F19" s="35"/>
      <c r="G19" s="35"/>
    </row>
    <row r="20" spans="6:7" ht="12.75" customHeight="1">
      <c r="F20" s="35"/>
      <c r="G20" s="35"/>
    </row>
    <row r="21" spans="6:7" ht="12.75" customHeight="1">
      <c r="F21" s="35"/>
      <c r="G21" s="35"/>
    </row>
    <row r="22" spans="6:7" ht="12.75" customHeight="1">
      <c r="F22" s="35"/>
      <c r="G22" s="35"/>
    </row>
    <row r="23" spans="6:7" ht="12.75" customHeight="1">
      <c r="F23" s="35"/>
      <c r="G23" s="35"/>
    </row>
    <row r="24" spans="6:7" ht="12.75" customHeight="1">
      <c r="F24" s="35"/>
      <c r="G24" s="35"/>
    </row>
    <row r="25" spans="6:7">
      <c r="F25" s="35"/>
      <c r="G25" s="35"/>
    </row>
    <row r="26" spans="6:7" ht="12.75" customHeight="1">
      <c r="F26" s="35"/>
      <c r="G26" s="35"/>
    </row>
    <row r="27" spans="6:7" ht="12.75" customHeight="1">
      <c r="F27" s="35"/>
      <c r="G27" s="35"/>
    </row>
    <row r="28" spans="6:7" ht="12.75" customHeight="1">
      <c r="F28" s="35"/>
      <c r="G28" s="35"/>
    </row>
    <row r="29" spans="6:7" ht="12.75" customHeight="1">
      <c r="F29" s="35"/>
      <c r="G29" s="35"/>
    </row>
    <row r="30" spans="6:7" ht="12.75" customHeight="1">
      <c r="F30" s="35"/>
      <c r="G30" s="35"/>
    </row>
    <row r="31" spans="6:7" ht="12.75" customHeight="1">
      <c r="F31" s="35"/>
      <c r="G31" s="35"/>
    </row>
    <row r="32" spans="6:7" ht="12.75" customHeight="1">
      <c r="F32" s="35"/>
      <c r="G32" s="35"/>
    </row>
    <row r="33" spans="1:7" ht="12.75" customHeight="1">
      <c r="F33" s="35"/>
      <c r="G33" s="35"/>
    </row>
    <row r="34" spans="1:7" ht="12.75" customHeight="1"/>
    <row r="35" spans="1:7" ht="12.75" customHeight="1"/>
    <row r="36" spans="1:7" ht="12.75" customHeight="1"/>
    <row r="37" spans="1:7" ht="12.75" customHeight="1"/>
    <row r="38" spans="1:7" s="22" customFormat="1" ht="12.75" customHeight="1">
      <c r="A38" s="30"/>
      <c r="B38" s="30"/>
    </row>
    <row r="39" spans="1:7" s="22" customFormat="1" ht="12.75" customHeight="1">
      <c r="A39" s="30"/>
      <c r="B39" s="30"/>
    </row>
    <row r="40" spans="1:7" s="22" customFormat="1" ht="12.75" customHeight="1">
      <c r="A40" s="30"/>
      <c r="B40" s="30"/>
    </row>
    <row r="41" spans="1:7" ht="12.75" customHeight="1"/>
    <row r="55" spans="10:16">
      <c r="J55" s="31"/>
      <c r="K55" s="38"/>
      <c r="L55" s="39"/>
      <c r="M55" s="39"/>
      <c r="N55" s="38"/>
      <c r="O55" s="38"/>
    </row>
    <row r="56" spans="10:16">
      <c r="K56" s="31"/>
      <c r="L56" s="38"/>
      <c r="M56" s="39"/>
      <c r="N56" s="39"/>
      <c r="O56" s="38"/>
      <c r="P56" s="38"/>
    </row>
    <row r="57" spans="10:16">
      <c r="K57" s="31"/>
      <c r="L57" s="38"/>
      <c r="M57" s="39"/>
      <c r="N57" s="39"/>
      <c r="O57" s="38"/>
      <c r="P57" s="38"/>
    </row>
    <row r="58" spans="10:16">
      <c r="K58" s="31"/>
      <c r="L58" s="38"/>
      <c r="M58" s="39"/>
      <c r="N58" s="39"/>
      <c r="O58" s="38"/>
      <c r="P58" s="38"/>
    </row>
    <row r="59" spans="10:16">
      <c r="K59" s="31"/>
      <c r="L59" s="38"/>
      <c r="M59" s="39"/>
      <c r="N59" s="39"/>
      <c r="O59" s="38"/>
      <c r="P59" s="38"/>
    </row>
    <row r="60" spans="10:16">
      <c r="K60" s="31"/>
      <c r="L60" s="38"/>
      <c r="M60" s="39"/>
      <c r="N60" s="39"/>
      <c r="O60" s="38"/>
      <c r="P60" s="38"/>
    </row>
    <row r="61" spans="10:16">
      <c r="K61" s="31"/>
      <c r="L61" s="38"/>
      <c r="M61" s="39"/>
      <c r="N61" s="39"/>
      <c r="O61" s="38"/>
      <c r="P61" s="38"/>
    </row>
    <row r="62" spans="10:16">
      <c r="K62" s="31"/>
      <c r="L62" s="38"/>
      <c r="M62" s="39"/>
      <c r="N62" s="39"/>
      <c r="O62" s="38"/>
      <c r="P62" s="38"/>
    </row>
    <row r="63" spans="10:16">
      <c r="K63" s="31"/>
      <c r="L63" s="38"/>
      <c r="M63" s="39"/>
      <c r="N63" s="39"/>
      <c r="O63" s="38"/>
      <c r="P63" s="38"/>
    </row>
    <row r="64" spans="10:16">
      <c r="K64" s="31"/>
      <c r="L64" s="38"/>
      <c r="M64" s="39"/>
      <c r="N64" s="39"/>
      <c r="O64" s="38"/>
      <c r="P64" s="38"/>
    </row>
    <row r="65" spans="1:16" s="22" customFormat="1">
      <c r="B65" s="30"/>
      <c r="C65" s="30"/>
      <c r="D65" s="30"/>
      <c r="E65" s="30"/>
      <c r="F65" s="30"/>
      <c r="G65" s="30"/>
      <c r="H65" s="30"/>
      <c r="I65" s="30"/>
      <c r="J65" s="30"/>
      <c r="K65" s="31"/>
      <c r="L65" s="38"/>
      <c r="M65" s="39"/>
      <c r="N65" s="40"/>
      <c r="O65" s="38"/>
      <c r="P65" s="38"/>
    </row>
    <row r="66" spans="1:16" s="22" customFormat="1">
      <c r="B66" s="30"/>
      <c r="C66" s="30"/>
      <c r="D66" s="30"/>
      <c r="E66" s="30"/>
      <c r="F66" s="30"/>
      <c r="G66" s="30"/>
      <c r="H66" s="30"/>
      <c r="I66" s="30"/>
      <c r="J66" s="30"/>
      <c r="K66" s="30"/>
      <c r="L66" s="38"/>
      <c r="M66" s="40"/>
      <c r="N66" s="40"/>
      <c r="O66" s="38"/>
      <c r="P66" s="38"/>
    </row>
    <row r="67" spans="1:16">
      <c r="A67" s="22"/>
      <c r="K67" s="32"/>
      <c r="M67" s="39"/>
      <c r="N67" s="39"/>
      <c r="O67" s="38"/>
      <c r="P67" s="38"/>
    </row>
    <row r="68" spans="1:16">
      <c r="A68" s="22"/>
      <c r="B68" s="22"/>
      <c r="C68" s="22"/>
      <c r="D68" s="40"/>
      <c r="E68" s="40"/>
      <c r="F68" s="40"/>
      <c r="G68" s="40"/>
      <c r="H68" s="40"/>
      <c r="J68" s="37"/>
    </row>
    <row r="69" spans="1:16">
      <c r="J69" s="37"/>
    </row>
    <row r="70" spans="1:16">
      <c r="F70" s="35"/>
      <c r="G70" s="35"/>
      <c r="J70" s="37"/>
    </row>
  </sheetData>
  <mergeCells count="1">
    <mergeCell ref="B10:B12"/>
  </mergeCells>
  <conditionalFormatting sqref="K67">
    <cfRule type="cellIs" dxfId="3" priority="1" operator="notBetween">
      <formula>0.001</formula>
      <formula>-0.001</formula>
    </cfRule>
  </conditionalFormatting>
  <printOptions horizontalCentered="1" verticalCentered="1"/>
  <pageMargins left="0.78740157480314965" right="0.78740157480314965" top="0.98425196850393704" bottom="0.98425196850393704" header="0" footer="0"/>
  <pageSetup paperSize="9" scale="55" orientation="landscape" horizontalDpi="355" verticalDpi="355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pageSetUpPr autoPageBreaks="0" fitToPage="1"/>
  </sheetPr>
  <dimension ref="A1:AL70"/>
  <sheetViews>
    <sheetView showGridLines="0" showRowColHeaders="0" zoomScaleNormal="100" workbookViewId="0">
      <selection activeCell="Q32" sqref="Q32"/>
    </sheetView>
  </sheetViews>
  <sheetFormatPr baseColWidth="10" defaultRowHeight="12.75"/>
  <cols>
    <col min="1" max="1" width="2.7109375" style="30" customWidth="1"/>
    <col min="2" max="2" width="23.7109375" style="30" customWidth="1"/>
    <col min="3" max="3" width="11.42578125" style="30" customWidth="1"/>
    <col min="4" max="8" width="11.42578125" style="30"/>
    <col min="9" max="9" width="11.5703125" style="30" bestFit="1" customWidth="1"/>
    <col min="10" max="16384" width="11.42578125" style="30"/>
  </cols>
  <sheetData>
    <row r="1" spans="1:38">
      <c r="L1" s="87" t="s">
        <v>36</v>
      </c>
    </row>
    <row r="2" spans="1:38">
      <c r="L2" s="88" t="s">
        <v>186</v>
      </c>
    </row>
    <row r="4" spans="1:38">
      <c r="A4" s="33"/>
      <c r="B4" s="21" t="s">
        <v>35</v>
      </c>
      <c r="C4" s="33"/>
      <c r="P4" s="77" t="s">
        <v>9</v>
      </c>
      <c r="Q4" s="77" t="s">
        <v>8</v>
      </c>
      <c r="R4" s="77" t="s">
        <v>10</v>
      </c>
      <c r="S4" s="77" t="s">
        <v>11</v>
      </c>
      <c r="T4" s="77" t="s">
        <v>12</v>
      </c>
      <c r="U4" s="77" t="s">
        <v>13</v>
      </c>
      <c r="V4" s="77" t="s">
        <v>5</v>
      </c>
      <c r="W4" s="77" t="s">
        <v>6</v>
      </c>
      <c r="X4" s="77" t="s">
        <v>7</v>
      </c>
      <c r="Y4" s="77" t="s">
        <v>8</v>
      </c>
      <c r="Z4" s="77" t="s">
        <v>7</v>
      </c>
      <c r="AA4" s="77" t="s">
        <v>9</v>
      </c>
      <c r="AB4" s="77" t="s">
        <v>9</v>
      </c>
    </row>
    <row r="5" spans="1:38" s="34" customFormat="1"/>
    <row r="6" spans="1:38" s="34" customFormat="1"/>
    <row r="7" spans="1:38" ht="12.75" customHeight="1">
      <c r="B7" s="52" t="s">
        <v>88</v>
      </c>
      <c r="F7" s="35"/>
      <c r="G7" s="35"/>
      <c r="H7" s="36"/>
      <c r="I7" s="36"/>
      <c r="J7" s="36"/>
      <c r="K7" s="36"/>
      <c r="L7" s="36"/>
      <c r="M7" s="36"/>
      <c r="AC7" s="36"/>
      <c r="AD7" s="36"/>
      <c r="AE7" s="36"/>
      <c r="AF7" s="36"/>
      <c r="AG7" s="36"/>
      <c r="AH7" s="36"/>
      <c r="AI7" s="36"/>
      <c r="AJ7" s="36"/>
      <c r="AK7" s="36"/>
      <c r="AL7" s="36"/>
    </row>
    <row r="8" spans="1:38">
      <c r="B8" s="52" t="s">
        <v>86</v>
      </c>
      <c r="F8" s="35"/>
      <c r="G8" s="35"/>
      <c r="H8" s="36"/>
      <c r="I8" s="36"/>
      <c r="J8" s="36"/>
      <c r="K8" s="36"/>
      <c r="L8" s="36"/>
      <c r="M8" s="36"/>
      <c r="AC8" s="36"/>
      <c r="AD8" s="36"/>
      <c r="AE8" s="36"/>
      <c r="AF8" s="36"/>
      <c r="AG8" s="36"/>
      <c r="AH8" s="36"/>
      <c r="AI8" s="36"/>
      <c r="AJ8" s="36"/>
      <c r="AK8" s="36"/>
      <c r="AL8" s="36"/>
    </row>
    <row r="9" spans="1:38" ht="12.75" customHeight="1">
      <c r="B9" s="52"/>
      <c r="F9" s="35"/>
      <c r="G9" s="35"/>
    </row>
    <row r="10" spans="1:38" ht="12.75" customHeight="1">
      <c r="B10" s="198"/>
      <c r="F10" s="35"/>
      <c r="G10" s="35"/>
    </row>
    <row r="11" spans="1:38" s="34" customFormat="1" ht="12.75" customHeight="1">
      <c r="B11" s="198"/>
      <c r="F11" s="35"/>
      <c r="G11" s="35"/>
    </row>
    <row r="12" spans="1:38" ht="12.75" customHeight="1">
      <c r="B12" s="198"/>
      <c r="F12" s="35"/>
      <c r="G12" s="35"/>
      <c r="H12" s="36"/>
      <c r="I12" s="36"/>
      <c r="J12" s="36"/>
      <c r="K12" s="36"/>
      <c r="L12" s="36"/>
      <c r="M12" s="36"/>
      <c r="AC12" s="36"/>
      <c r="AD12" s="36"/>
      <c r="AE12" s="36"/>
      <c r="AF12" s="36"/>
      <c r="AG12" s="36"/>
      <c r="AH12" s="36"/>
      <c r="AI12" s="36"/>
      <c r="AJ12" s="36"/>
    </row>
    <row r="13" spans="1:38" ht="12.75" customHeight="1">
      <c r="F13" s="35"/>
      <c r="G13" s="35"/>
    </row>
    <row r="14" spans="1:38" ht="12.75" customHeight="1">
      <c r="F14" s="35"/>
      <c r="G14" s="35"/>
    </row>
    <row r="15" spans="1:38" ht="12.75" customHeight="1">
      <c r="F15" s="35"/>
      <c r="G15" s="35"/>
    </row>
    <row r="16" spans="1:38" ht="12.75" customHeight="1">
      <c r="F16" s="35"/>
      <c r="G16" s="35"/>
    </row>
    <row r="17" spans="6:7" ht="12.75" customHeight="1">
      <c r="F17" s="35"/>
      <c r="G17" s="35"/>
    </row>
    <row r="18" spans="6:7" ht="12.75" customHeight="1">
      <c r="F18" s="35"/>
      <c r="G18" s="35"/>
    </row>
    <row r="19" spans="6:7" ht="12.75" customHeight="1">
      <c r="F19" s="35"/>
      <c r="G19" s="35"/>
    </row>
    <row r="20" spans="6:7" ht="12.75" customHeight="1">
      <c r="F20" s="35"/>
      <c r="G20" s="35"/>
    </row>
    <row r="21" spans="6:7" ht="12.75" customHeight="1">
      <c r="F21" s="35"/>
      <c r="G21" s="35"/>
    </row>
    <row r="22" spans="6:7" ht="12.75" customHeight="1">
      <c r="F22" s="35"/>
      <c r="G22" s="35"/>
    </row>
    <row r="23" spans="6:7" ht="12.75" customHeight="1">
      <c r="F23" s="35"/>
      <c r="G23" s="35"/>
    </row>
    <row r="24" spans="6:7" ht="12.75" customHeight="1">
      <c r="F24" s="35"/>
      <c r="G24" s="35"/>
    </row>
    <row r="25" spans="6:7">
      <c r="F25" s="35"/>
      <c r="G25" s="35"/>
    </row>
    <row r="26" spans="6:7" ht="12.75" customHeight="1">
      <c r="F26" s="35"/>
      <c r="G26" s="35"/>
    </row>
    <row r="27" spans="6:7" ht="12.75" customHeight="1">
      <c r="F27" s="35"/>
      <c r="G27" s="35"/>
    </row>
    <row r="28" spans="6:7" ht="12.75" customHeight="1">
      <c r="F28" s="35"/>
      <c r="G28" s="35"/>
    </row>
    <row r="29" spans="6:7" ht="12.75" customHeight="1">
      <c r="F29" s="35"/>
      <c r="G29" s="35"/>
    </row>
    <row r="30" spans="6:7" ht="12.75" customHeight="1">
      <c r="F30" s="35"/>
      <c r="G30" s="35"/>
    </row>
    <row r="31" spans="6:7" ht="12.75" customHeight="1">
      <c r="F31" s="35"/>
      <c r="G31" s="35"/>
    </row>
    <row r="32" spans="6:7" ht="12.75" customHeight="1">
      <c r="F32" s="35"/>
      <c r="G32" s="35"/>
    </row>
    <row r="33" spans="1:28" ht="12.75" customHeight="1">
      <c r="F33" s="35"/>
      <c r="G33" s="35"/>
    </row>
    <row r="34" spans="1:28" ht="12.75" customHeight="1"/>
    <row r="35" spans="1:28" ht="15">
      <c r="N35" s="78"/>
      <c r="O35" s="78"/>
      <c r="P35" s="79"/>
      <c r="Q35" s="79"/>
      <c r="R35" s="79"/>
      <c r="S35" s="79"/>
      <c r="T35" s="79"/>
      <c r="U35" s="79"/>
      <c r="V35" s="79"/>
      <c r="W35" s="79"/>
      <c r="X35" s="79"/>
      <c r="Y35" s="79"/>
      <c r="Z35" s="79"/>
      <c r="AA35" s="79"/>
      <c r="AB35" s="79"/>
    </row>
    <row r="36" spans="1:28" ht="12.75" customHeight="1">
      <c r="N36" s="78"/>
    </row>
    <row r="37" spans="1:28" ht="15">
      <c r="N37" s="78"/>
      <c r="Z37" s="78"/>
      <c r="AA37" s="78"/>
      <c r="AB37" s="89"/>
    </row>
    <row r="38" spans="1:28" s="22" customFormat="1" ht="15">
      <c r="A38" s="30"/>
      <c r="B38" s="30"/>
      <c r="N38" s="78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83"/>
      <c r="AA38" s="83"/>
      <c r="AB38" s="84"/>
    </row>
    <row r="39" spans="1:28" s="22" customFormat="1" ht="15">
      <c r="A39" s="30"/>
      <c r="B39" s="30"/>
      <c r="N39" s="78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83"/>
      <c r="AA39" s="83"/>
      <c r="AB39" s="84"/>
    </row>
    <row r="40" spans="1:28" s="22" customFormat="1" ht="15">
      <c r="A40" s="30"/>
      <c r="B40" s="30"/>
      <c r="N40" s="78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78"/>
      <c r="AA40" s="78"/>
      <c r="AB40" s="84"/>
    </row>
    <row r="41" spans="1:28" ht="15">
      <c r="N41" s="78"/>
      <c r="Z41" s="83"/>
      <c r="AA41" s="83"/>
      <c r="AB41" s="84"/>
    </row>
    <row r="42" spans="1:28" ht="15">
      <c r="N42" s="78"/>
      <c r="Z42" s="83"/>
      <c r="AA42" s="83"/>
      <c r="AB42" s="84"/>
    </row>
    <row r="43" spans="1:28" ht="15">
      <c r="N43" s="78"/>
    </row>
    <row r="47" spans="1:28">
      <c r="O47" s="38"/>
    </row>
    <row r="48" spans="1:28">
      <c r="O48" s="38"/>
      <c r="P48" s="38"/>
    </row>
    <row r="49" spans="10:28">
      <c r="O49" s="38"/>
      <c r="P49" s="38"/>
    </row>
    <row r="50" spans="10:28">
      <c r="O50" s="38"/>
      <c r="P50" s="38"/>
    </row>
    <row r="51" spans="10:28">
      <c r="O51" s="38"/>
      <c r="P51" s="38"/>
    </row>
    <row r="52" spans="10:28">
      <c r="O52" s="38"/>
      <c r="P52" s="38"/>
    </row>
    <row r="53" spans="10:28">
      <c r="O53" s="38"/>
      <c r="P53" s="38"/>
    </row>
    <row r="54" spans="10:28">
      <c r="O54" s="38"/>
      <c r="P54" s="38"/>
    </row>
    <row r="55" spans="10:28">
      <c r="J55" s="31"/>
      <c r="K55" s="38"/>
      <c r="L55" s="39"/>
      <c r="M55" s="39"/>
      <c r="N55" s="38"/>
      <c r="O55" s="38"/>
      <c r="P55" s="38"/>
    </row>
    <row r="56" spans="10:28">
      <c r="K56" s="31"/>
      <c r="L56" s="38"/>
      <c r="M56" s="39"/>
      <c r="N56" s="39"/>
      <c r="O56" s="38"/>
      <c r="P56" s="38"/>
    </row>
    <row r="57" spans="10:28">
      <c r="K57" s="31"/>
      <c r="L57" s="38"/>
      <c r="M57" s="39"/>
      <c r="N57" s="39"/>
      <c r="O57" s="38"/>
      <c r="P57" s="38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</row>
    <row r="58" spans="10:28">
      <c r="K58" s="31"/>
      <c r="L58" s="38"/>
      <c r="M58" s="39"/>
      <c r="N58" s="39"/>
      <c r="O58" s="38"/>
      <c r="P58" s="38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</row>
    <row r="59" spans="10:28">
      <c r="K59" s="31"/>
      <c r="L59" s="38"/>
      <c r="M59" s="39"/>
      <c r="N59" s="39"/>
      <c r="O59" s="38"/>
      <c r="P59" s="38"/>
    </row>
    <row r="60" spans="10:28">
      <c r="K60" s="31"/>
      <c r="L60" s="38"/>
      <c r="M60" s="39"/>
      <c r="N60" s="39"/>
    </row>
    <row r="61" spans="10:28">
      <c r="K61" s="31"/>
      <c r="L61" s="38"/>
      <c r="M61" s="39"/>
      <c r="N61" s="39"/>
    </row>
    <row r="62" spans="10:28">
      <c r="K62" s="31"/>
      <c r="L62" s="38"/>
      <c r="M62" s="39"/>
      <c r="N62" s="39"/>
    </row>
    <row r="63" spans="10:28">
      <c r="K63" s="31"/>
      <c r="L63" s="38"/>
      <c r="M63" s="39"/>
      <c r="N63" s="39"/>
    </row>
    <row r="64" spans="10:28">
      <c r="K64" s="31"/>
      <c r="L64" s="38"/>
      <c r="M64" s="39"/>
      <c r="N64" s="39"/>
    </row>
    <row r="65" spans="1:28" s="22" customFormat="1">
      <c r="B65" s="30"/>
      <c r="C65" s="30"/>
      <c r="D65" s="30"/>
      <c r="E65" s="30"/>
      <c r="F65" s="30"/>
      <c r="G65" s="30"/>
      <c r="H65" s="30"/>
      <c r="I65" s="30"/>
      <c r="J65" s="30"/>
      <c r="K65" s="31"/>
      <c r="L65" s="38"/>
      <c r="M65" s="39"/>
      <c r="N65" s="40"/>
      <c r="O65" s="30"/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</row>
    <row r="66" spans="1:28" s="22" customFormat="1">
      <c r="B66" s="30"/>
      <c r="C66" s="30"/>
      <c r="D66" s="30"/>
      <c r="E66" s="30"/>
      <c r="F66" s="30"/>
      <c r="G66" s="30"/>
      <c r="H66" s="30"/>
      <c r="I66" s="30"/>
      <c r="J66" s="30"/>
      <c r="K66" s="30"/>
      <c r="L66" s="38"/>
      <c r="M66" s="40"/>
      <c r="N66" s="40"/>
      <c r="O66" s="30"/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</row>
    <row r="67" spans="1:28">
      <c r="A67" s="22"/>
      <c r="K67" s="32"/>
      <c r="M67" s="39"/>
      <c r="N67" s="39"/>
    </row>
    <row r="68" spans="1:28">
      <c r="A68" s="22"/>
      <c r="B68" s="22"/>
      <c r="C68" s="22"/>
      <c r="D68" s="40"/>
      <c r="E68" s="40"/>
      <c r="F68" s="40"/>
      <c r="G68" s="40"/>
      <c r="H68" s="40"/>
      <c r="J68" s="37"/>
    </row>
    <row r="69" spans="1:28">
      <c r="J69" s="37"/>
    </row>
    <row r="70" spans="1:28">
      <c r="F70" s="35"/>
      <c r="G70" s="35"/>
      <c r="J70" s="37"/>
    </row>
  </sheetData>
  <mergeCells count="1">
    <mergeCell ref="B10:B12"/>
  </mergeCells>
  <conditionalFormatting sqref="K67">
    <cfRule type="cellIs" dxfId="2" priority="1" operator="notBetween">
      <formula>0.001</formula>
      <formula>-0.001</formula>
    </cfRule>
  </conditionalFormatting>
  <printOptions horizontalCentered="1" verticalCentered="1"/>
  <pageMargins left="0.78740157480314965" right="0.78740157480314965" top="0.98425196850393704" bottom="0.98425196850393704" header="0" footer="0"/>
  <pageSetup paperSize="9" scale="55" orientation="landscape" horizontalDpi="355" verticalDpi="355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>
    <pageSetUpPr autoPageBreaks="0" fitToPage="1"/>
  </sheetPr>
  <dimension ref="A1:AL70"/>
  <sheetViews>
    <sheetView showGridLines="0" showRowColHeaders="0" zoomScaleNormal="100" workbookViewId="0">
      <selection activeCell="O21" sqref="O21"/>
    </sheetView>
  </sheetViews>
  <sheetFormatPr baseColWidth="10" defaultRowHeight="12.75"/>
  <cols>
    <col min="1" max="1" width="2.7109375" style="30" customWidth="1"/>
    <col min="2" max="2" width="21.42578125" style="30" customWidth="1"/>
    <col min="3" max="3" width="11.42578125" style="30" customWidth="1"/>
    <col min="4" max="8" width="11.42578125" style="30"/>
    <col min="9" max="9" width="11.5703125" style="30" bestFit="1" customWidth="1"/>
    <col min="10" max="13" width="11.42578125" style="30"/>
    <col min="14" max="14" width="15.7109375" style="30" customWidth="1"/>
    <col min="15" max="16384" width="11.42578125" style="30"/>
  </cols>
  <sheetData>
    <row r="1" spans="1:38">
      <c r="L1" s="87" t="s">
        <v>36</v>
      </c>
    </row>
    <row r="2" spans="1:38">
      <c r="L2" s="88" t="s">
        <v>186</v>
      </c>
    </row>
    <row r="4" spans="1:38">
      <c r="A4" s="33"/>
      <c r="B4" s="21" t="s">
        <v>35</v>
      </c>
      <c r="C4" s="33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  <c r="AA4" s="77"/>
    </row>
    <row r="5" spans="1:38" s="34" customFormat="1"/>
    <row r="6" spans="1:38" s="34" customFormat="1"/>
    <row r="7" spans="1:38" ht="12.75" customHeight="1">
      <c r="B7" s="198" t="s">
        <v>28</v>
      </c>
      <c r="F7" s="35"/>
      <c r="G7" s="35"/>
      <c r="H7" s="36"/>
      <c r="I7" s="36"/>
      <c r="J7" s="36"/>
      <c r="K7" s="36"/>
      <c r="L7" s="36"/>
      <c r="M7" s="36"/>
      <c r="AC7" s="36"/>
      <c r="AD7" s="36"/>
      <c r="AE7" s="36"/>
      <c r="AF7" s="36"/>
      <c r="AG7" s="36"/>
      <c r="AH7" s="36"/>
      <c r="AI7" s="36"/>
      <c r="AJ7" s="36"/>
      <c r="AK7" s="36"/>
      <c r="AL7" s="36"/>
    </row>
    <row r="8" spans="1:38">
      <c r="B8" s="198"/>
      <c r="F8" s="35"/>
      <c r="G8" s="35"/>
      <c r="H8" s="36"/>
      <c r="I8" s="36"/>
      <c r="J8" s="36"/>
      <c r="K8" s="36"/>
      <c r="L8" s="36"/>
      <c r="M8" s="36"/>
      <c r="AC8" s="36"/>
      <c r="AD8" s="36"/>
      <c r="AE8" s="36"/>
      <c r="AF8" s="36"/>
      <c r="AG8" s="36"/>
      <c r="AH8" s="36"/>
      <c r="AI8" s="36"/>
      <c r="AJ8" s="36"/>
      <c r="AK8" s="36"/>
      <c r="AL8" s="36"/>
    </row>
    <row r="9" spans="1:38" ht="12.75" customHeight="1">
      <c r="B9" s="52" t="s">
        <v>86</v>
      </c>
      <c r="F9" s="35"/>
      <c r="G9" s="35"/>
    </row>
    <row r="10" spans="1:38" ht="12.75" customHeight="1">
      <c r="B10" s="198"/>
      <c r="F10" s="35"/>
      <c r="G10" s="35"/>
    </row>
    <row r="11" spans="1:38" s="34" customFormat="1" ht="12.75" customHeight="1">
      <c r="B11" s="198"/>
      <c r="F11" s="35"/>
      <c r="G11" s="35"/>
    </row>
    <row r="12" spans="1:38" ht="12.75" customHeight="1">
      <c r="B12" s="198"/>
      <c r="F12" s="35"/>
      <c r="G12" s="35"/>
      <c r="H12" s="36"/>
      <c r="I12" s="36"/>
      <c r="J12" s="36"/>
      <c r="K12" s="36"/>
      <c r="L12" s="36"/>
      <c r="M12" s="36"/>
      <c r="AC12" s="36"/>
      <c r="AD12" s="36"/>
      <c r="AE12" s="36"/>
      <c r="AF12" s="36"/>
      <c r="AG12" s="36"/>
      <c r="AH12" s="36"/>
      <c r="AI12" s="36"/>
      <c r="AJ12" s="36"/>
    </row>
    <row r="13" spans="1:38" ht="12.75" customHeight="1">
      <c r="F13" s="35"/>
      <c r="G13" s="35"/>
    </row>
    <row r="14" spans="1:38" ht="12.75" customHeight="1">
      <c r="F14" s="35"/>
      <c r="G14" s="35"/>
    </row>
    <row r="15" spans="1:38" ht="12.75" customHeight="1">
      <c r="F15" s="35"/>
      <c r="G15" s="35"/>
    </row>
    <row r="16" spans="1:38" ht="12.75" customHeight="1">
      <c r="F16" s="35"/>
      <c r="G16" s="35"/>
    </row>
    <row r="17" spans="6:7" ht="12.75" customHeight="1">
      <c r="F17" s="35"/>
      <c r="G17" s="35"/>
    </row>
    <row r="18" spans="6:7" ht="12.75" customHeight="1">
      <c r="F18" s="35"/>
      <c r="G18" s="35"/>
    </row>
    <row r="19" spans="6:7" ht="12.75" customHeight="1">
      <c r="F19" s="35"/>
      <c r="G19" s="35"/>
    </row>
    <row r="20" spans="6:7" ht="12.75" customHeight="1">
      <c r="F20" s="35"/>
      <c r="G20" s="35"/>
    </row>
    <row r="21" spans="6:7" ht="12.75" customHeight="1">
      <c r="F21" s="35"/>
      <c r="G21" s="35"/>
    </row>
    <row r="22" spans="6:7" ht="12.75" customHeight="1">
      <c r="F22" s="35"/>
      <c r="G22" s="35"/>
    </row>
    <row r="23" spans="6:7" ht="12.75" customHeight="1">
      <c r="F23" s="35"/>
      <c r="G23" s="35"/>
    </row>
    <row r="24" spans="6:7" ht="12.75" customHeight="1">
      <c r="F24" s="35"/>
      <c r="G24" s="35"/>
    </row>
    <row r="25" spans="6:7">
      <c r="F25" s="35"/>
      <c r="G25" s="35"/>
    </row>
    <row r="26" spans="6:7" ht="12.75" customHeight="1">
      <c r="F26" s="35"/>
      <c r="G26" s="35"/>
    </row>
    <row r="27" spans="6:7" ht="12.75" customHeight="1">
      <c r="F27" s="35"/>
      <c r="G27" s="35"/>
    </row>
    <row r="28" spans="6:7" ht="12.75" customHeight="1">
      <c r="F28" s="35"/>
      <c r="G28" s="35"/>
    </row>
    <row r="29" spans="6:7" ht="12.75" customHeight="1">
      <c r="F29" s="35"/>
      <c r="G29" s="35"/>
    </row>
    <row r="30" spans="6:7" ht="12.75" customHeight="1">
      <c r="F30" s="35"/>
      <c r="G30" s="35"/>
    </row>
    <row r="31" spans="6:7" ht="12.75" customHeight="1">
      <c r="F31" s="35"/>
      <c r="G31" s="35"/>
    </row>
    <row r="32" spans="6:7" ht="12.75" customHeight="1">
      <c r="F32" s="35"/>
      <c r="G32" s="35"/>
    </row>
    <row r="33" spans="1:28" ht="12.75" customHeight="1">
      <c r="F33" s="35"/>
      <c r="G33" s="35"/>
    </row>
    <row r="34" spans="1:28" ht="12.75" customHeight="1"/>
    <row r="35" spans="1:28" ht="12.75" customHeight="1"/>
    <row r="36" spans="1:28" ht="12.75" customHeight="1"/>
    <row r="37" spans="1:28" ht="12.75" customHeight="1"/>
    <row r="38" spans="1:28" s="22" customFormat="1" ht="12.75" customHeight="1">
      <c r="A38" s="30"/>
      <c r="B38" s="30"/>
      <c r="M38" s="30"/>
    </row>
    <row r="39" spans="1:28" s="22" customFormat="1" ht="12.75" customHeight="1">
      <c r="A39" s="30"/>
      <c r="B39" s="30"/>
      <c r="M39" s="30"/>
    </row>
    <row r="40" spans="1:28" s="22" customFormat="1" ht="12.75" customHeight="1">
      <c r="A40" s="30"/>
      <c r="B40" s="30"/>
      <c r="M40" s="30"/>
    </row>
    <row r="41" spans="1:28" ht="12.75" customHeight="1"/>
    <row r="48" spans="1:28" ht="15">
      <c r="Z48" s="78"/>
      <c r="AA48" s="78"/>
      <c r="AB48" s="84"/>
    </row>
    <row r="49" spans="10:28" ht="15">
      <c r="Z49" s="83"/>
      <c r="AA49" s="83"/>
      <c r="AB49" s="84"/>
    </row>
    <row r="50" spans="10:28" ht="15">
      <c r="Z50" s="83"/>
      <c r="AA50" s="83"/>
      <c r="AB50" s="84"/>
    </row>
    <row r="55" spans="10:28">
      <c r="J55" s="31"/>
      <c r="K55" s="38"/>
      <c r="L55" s="39"/>
      <c r="M55" s="39"/>
      <c r="N55" s="38"/>
      <c r="O55" s="38"/>
    </row>
    <row r="56" spans="10:28">
      <c r="K56" s="31"/>
      <c r="L56" s="38"/>
      <c r="M56" s="39"/>
      <c r="N56" s="39"/>
      <c r="O56" s="38"/>
      <c r="P56" s="38"/>
    </row>
    <row r="57" spans="10:28">
      <c r="K57" s="31"/>
      <c r="L57" s="38"/>
      <c r="M57" s="39"/>
      <c r="N57" s="39"/>
      <c r="O57" s="38"/>
      <c r="P57" s="38"/>
    </row>
    <row r="58" spans="10:28">
      <c r="K58" s="31"/>
      <c r="L58" s="38"/>
      <c r="M58" s="39"/>
      <c r="N58" s="39"/>
      <c r="O58" s="38"/>
      <c r="P58" s="38"/>
    </row>
    <row r="59" spans="10:28">
      <c r="K59" s="31"/>
      <c r="L59" s="38"/>
      <c r="M59" s="39"/>
      <c r="N59" s="39"/>
      <c r="O59" s="38"/>
      <c r="P59" s="38"/>
    </row>
    <row r="60" spans="10:28">
      <c r="K60" s="31"/>
      <c r="L60" s="38"/>
      <c r="M60" s="39"/>
      <c r="N60" s="39"/>
      <c r="O60" s="38"/>
      <c r="P60" s="38"/>
    </row>
    <row r="61" spans="10:28">
      <c r="K61" s="31"/>
      <c r="L61" s="38"/>
      <c r="M61" s="39"/>
      <c r="N61" s="39"/>
      <c r="O61" s="38"/>
      <c r="P61" s="38"/>
    </row>
    <row r="62" spans="10:28">
      <c r="K62" s="31"/>
      <c r="L62" s="38"/>
      <c r="M62" s="39"/>
      <c r="N62" s="39"/>
      <c r="O62" s="38"/>
      <c r="P62" s="38"/>
    </row>
    <row r="63" spans="10:28">
      <c r="K63" s="31"/>
      <c r="L63" s="38"/>
      <c r="M63" s="39"/>
      <c r="N63" s="39"/>
      <c r="O63" s="38"/>
      <c r="P63" s="38"/>
    </row>
    <row r="64" spans="10:28">
      <c r="K64" s="31"/>
      <c r="L64" s="38"/>
      <c r="M64" s="39"/>
      <c r="N64" s="39"/>
      <c r="O64" s="38"/>
      <c r="P64" s="38"/>
    </row>
    <row r="65" spans="1:16" s="22" customFormat="1">
      <c r="B65" s="30"/>
      <c r="C65" s="30"/>
      <c r="D65" s="30"/>
      <c r="E65" s="30"/>
      <c r="F65" s="30"/>
      <c r="G65" s="30"/>
      <c r="H65" s="30"/>
      <c r="I65" s="30"/>
      <c r="J65" s="30"/>
      <c r="K65" s="31"/>
      <c r="L65" s="38"/>
      <c r="M65" s="39"/>
      <c r="N65" s="40"/>
      <c r="O65" s="38"/>
      <c r="P65" s="38"/>
    </row>
    <row r="66" spans="1:16" s="22" customFormat="1">
      <c r="B66" s="30"/>
      <c r="C66" s="30"/>
      <c r="D66" s="30"/>
      <c r="E66" s="30"/>
      <c r="F66" s="30"/>
      <c r="G66" s="30"/>
      <c r="H66" s="30"/>
      <c r="I66" s="30"/>
      <c r="J66" s="30"/>
      <c r="K66" s="30"/>
      <c r="L66" s="38"/>
      <c r="M66" s="40"/>
      <c r="N66" s="40"/>
      <c r="O66" s="38"/>
      <c r="P66" s="38"/>
    </row>
    <row r="67" spans="1:16">
      <c r="A67" s="22"/>
      <c r="K67" s="32"/>
      <c r="M67" s="39"/>
      <c r="N67" s="39"/>
      <c r="O67" s="38"/>
      <c r="P67" s="38"/>
    </row>
    <row r="68" spans="1:16">
      <c r="A68" s="22"/>
      <c r="B68" s="22"/>
      <c r="C68" s="22"/>
      <c r="D68" s="40"/>
      <c r="E68" s="40"/>
      <c r="F68" s="40"/>
      <c r="G68" s="40"/>
      <c r="H68" s="40"/>
      <c r="J68" s="37"/>
    </row>
    <row r="69" spans="1:16">
      <c r="J69" s="37"/>
    </row>
    <row r="70" spans="1:16">
      <c r="F70" s="35"/>
      <c r="G70" s="35"/>
      <c r="J70" s="37"/>
    </row>
  </sheetData>
  <mergeCells count="2">
    <mergeCell ref="B10:B12"/>
    <mergeCell ref="B7:B8"/>
  </mergeCells>
  <conditionalFormatting sqref="K67">
    <cfRule type="cellIs" dxfId="1" priority="1" operator="notBetween">
      <formula>0.001</formula>
      <formula>-0.001</formula>
    </cfRule>
  </conditionalFormatting>
  <printOptions horizontalCentered="1" verticalCentered="1"/>
  <pageMargins left="0.78740157480314965" right="0.78740157480314965" top="0.98425196850393704" bottom="0.98425196850393704" header="0" footer="0"/>
  <pageSetup paperSize="9" scale="55" orientation="landscape" horizontalDpi="355" verticalDpi="355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>
    <pageSetUpPr autoPageBreaks="0" fitToPage="1"/>
  </sheetPr>
  <dimension ref="A1:AK70"/>
  <sheetViews>
    <sheetView showGridLines="0" showRowColHeaders="0" zoomScaleNormal="100" workbookViewId="0">
      <selection activeCell="Q28" sqref="Q28"/>
    </sheetView>
  </sheetViews>
  <sheetFormatPr baseColWidth="10" defaultRowHeight="12.75"/>
  <cols>
    <col min="1" max="1" width="2.7109375" style="30" customWidth="1"/>
    <col min="2" max="2" width="22.140625" style="30" customWidth="1"/>
    <col min="3" max="3" width="11.42578125" style="30" customWidth="1"/>
    <col min="4" max="8" width="11.42578125" style="30"/>
    <col min="9" max="9" width="11.5703125" style="30" bestFit="1" customWidth="1"/>
    <col min="10" max="16384" width="11.42578125" style="30"/>
  </cols>
  <sheetData>
    <row r="1" spans="1:37">
      <c r="L1" s="87" t="s">
        <v>36</v>
      </c>
    </row>
    <row r="2" spans="1:37">
      <c r="L2" s="88" t="s">
        <v>186</v>
      </c>
    </row>
    <row r="4" spans="1:37">
      <c r="A4" s="33"/>
      <c r="B4" s="21" t="s">
        <v>35</v>
      </c>
      <c r="C4" s="33"/>
      <c r="O4" s="77" t="s">
        <v>6</v>
      </c>
      <c r="P4" s="77" t="s">
        <v>7</v>
      </c>
      <c r="Q4" s="77" t="s">
        <v>8</v>
      </c>
      <c r="R4" s="77" t="s">
        <v>7</v>
      </c>
      <c r="S4" s="77" t="s">
        <v>9</v>
      </c>
      <c r="T4" s="77" t="s">
        <v>9</v>
      </c>
      <c r="U4" s="77" t="s">
        <v>8</v>
      </c>
      <c r="V4" s="77" t="s">
        <v>10</v>
      </c>
      <c r="W4" s="77" t="s">
        <v>11</v>
      </c>
      <c r="X4" s="77" t="s">
        <v>12</v>
      </c>
      <c r="Y4" s="77" t="s">
        <v>13</v>
      </c>
      <c r="Z4" s="77" t="s">
        <v>5</v>
      </c>
      <c r="AA4" s="77" t="s">
        <v>6</v>
      </c>
    </row>
    <row r="5" spans="1:37" s="34" customFormat="1"/>
    <row r="6" spans="1:37" s="34" customFormat="1"/>
    <row r="7" spans="1:37" ht="12.75" customHeight="1">
      <c r="B7" s="198" t="s">
        <v>27</v>
      </c>
      <c r="F7" s="35"/>
      <c r="G7" s="35"/>
      <c r="H7" s="36"/>
      <c r="I7" s="36"/>
      <c r="J7" s="36"/>
      <c r="K7" s="36"/>
      <c r="L7" s="36"/>
      <c r="M7" s="36"/>
      <c r="AB7" s="36"/>
      <c r="AC7" s="36"/>
      <c r="AD7" s="36"/>
      <c r="AE7" s="36"/>
      <c r="AF7" s="36"/>
      <c r="AG7" s="36"/>
      <c r="AH7" s="36"/>
      <c r="AI7" s="36"/>
      <c r="AJ7" s="36"/>
      <c r="AK7" s="36"/>
    </row>
    <row r="8" spans="1:37">
      <c r="B8" s="198"/>
      <c r="F8" s="35"/>
      <c r="G8" s="35"/>
      <c r="H8" s="36"/>
      <c r="I8" s="36"/>
      <c r="J8" s="36"/>
      <c r="K8" s="36"/>
      <c r="L8" s="36"/>
      <c r="M8" s="36"/>
      <c r="AB8" s="36"/>
      <c r="AC8" s="36"/>
      <c r="AD8" s="36"/>
      <c r="AE8" s="36"/>
      <c r="AF8" s="36"/>
      <c r="AG8" s="36"/>
      <c r="AH8" s="36"/>
      <c r="AI8" s="36"/>
      <c r="AJ8" s="36"/>
      <c r="AK8" s="36"/>
    </row>
    <row r="9" spans="1:37">
      <c r="B9" s="52" t="s">
        <v>67</v>
      </c>
      <c r="F9" s="35"/>
      <c r="G9" s="35"/>
    </row>
    <row r="10" spans="1:37">
      <c r="B10" s="198"/>
      <c r="F10" s="35"/>
      <c r="G10" s="35"/>
    </row>
    <row r="11" spans="1:37" s="34" customFormat="1">
      <c r="B11" s="198"/>
      <c r="F11" s="35"/>
      <c r="G11" s="35"/>
    </row>
    <row r="12" spans="1:37">
      <c r="B12" s="198"/>
      <c r="F12" s="35"/>
      <c r="G12" s="35"/>
      <c r="H12" s="36"/>
      <c r="I12" s="36"/>
      <c r="J12" s="36"/>
      <c r="K12" s="36"/>
      <c r="L12" s="36"/>
      <c r="M12" s="36"/>
      <c r="AB12" s="36"/>
      <c r="AC12" s="36"/>
      <c r="AD12" s="36"/>
      <c r="AE12" s="36"/>
      <c r="AF12" s="36"/>
      <c r="AG12" s="36"/>
      <c r="AH12" s="36"/>
      <c r="AI12" s="36"/>
    </row>
    <row r="13" spans="1:37">
      <c r="F13" s="35"/>
      <c r="G13" s="35"/>
    </row>
    <row r="14" spans="1:37">
      <c r="F14" s="35"/>
      <c r="G14" s="35"/>
    </row>
    <row r="15" spans="1:37">
      <c r="F15" s="35"/>
      <c r="G15" s="35"/>
    </row>
    <row r="16" spans="1:37">
      <c r="F16" s="35"/>
      <c r="G16" s="35"/>
    </row>
    <row r="17" spans="6:27">
      <c r="F17" s="35"/>
      <c r="G17" s="35"/>
    </row>
    <row r="18" spans="6:27">
      <c r="F18" s="35"/>
      <c r="G18" s="35"/>
    </row>
    <row r="19" spans="6:27">
      <c r="F19" s="35"/>
      <c r="G19" s="35"/>
    </row>
    <row r="20" spans="6:27">
      <c r="F20" s="35"/>
      <c r="G20" s="35"/>
    </row>
    <row r="21" spans="6:27">
      <c r="F21" s="35"/>
      <c r="G21" s="35"/>
    </row>
    <row r="22" spans="6:27">
      <c r="F22" s="35"/>
      <c r="G22" s="35"/>
    </row>
    <row r="23" spans="6:27">
      <c r="F23" s="35"/>
      <c r="G23" s="35"/>
    </row>
    <row r="24" spans="6:27">
      <c r="F24" s="35"/>
      <c r="G24" s="35"/>
    </row>
    <row r="25" spans="6:27">
      <c r="F25" s="35"/>
      <c r="G25" s="35"/>
      <c r="O25" s="76"/>
      <c r="P25" s="76"/>
      <c r="Q25" s="76"/>
      <c r="R25" s="76"/>
      <c r="S25" s="76"/>
      <c r="T25" s="76"/>
      <c r="U25" s="76"/>
      <c r="V25" s="76"/>
      <c r="W25" s="76"/>
      <c r="X25" s="76"/>
      <c r="Y25" s="76"/>
      <c r="Z25" s="76"/>
      <c r="AA25" s="76"/>
    </row>
    <row r="26" spans="6:27">
      <c r="F26" s="35"/>
      <c r="G26" s="35"/>
    </row>
    <row r="27" spans="6:27">
      <c r="F27" s="35"/>
      <c r="G27" s="35"/>
    </row>
    <row r="28" spans="6:27">
      <c r="F28" s="35"/>
      <c r="G28" s="35"/>
      <c r="P28" s="80"/>
    </row>
    <row r="29" spans="6:27">
      <c r="F29" s="35"/>
      <c r="G29" s="35"/>
      <c r="P29" s="80"/>
    </row>
    <row r="30" spans="6:27">
      <c r="F30" s="35"/>
      <c r="G30" s="35"/>
      <c r="P30" s="80"/>
    </row>
    <row r="31" spans="6:27">
      <c r="F31" s="35"/>
      <c r="G31" s="35"/>
      <c r="P31" s="80"/>
    </row>
    <row r="32" spans="6:27">
      <c r="F32" s="35"/>
      <c r="G32" s="35"/>
      <c r="P32" s="80"/>
    </row>
    <row r="33" spans="1:7">
      <c r="F33" s="35"/>
      <c r="G33" s="35"/>
    </row>
    <row r="34" spans="1:7" ht="12.75" customHeight="1"/>
    <row r="38" spans="1:7" s="22" customFormat="1">
      <c r="A38" s="30"/>
      <c r="B38" s="30"/>
    </row>
    <row r="39" spans="1:7" s="22" customFormat="1">
      <c r="A39" s="30"/>
      <c r="B39" s="30"/>
    </row>
    <row r="40" spans="1:7" s="22" customFormat="1">
      <c r="A40" s="30"/>
      <c r="B40" s="30"/>
    </row>
    <row r="55" spans="10:15">
      <c r="J55" s="31"/>
      <c r="K55" s="38"/>
      <c r="L55" s="39"/>
      <c r="M55" s="39"/>
      <c r="N55" s="38"/>
    </row>
    <row r="56" spans="10:15">
      <c r="K56" s="31"/>
      <c r="L56" s="38"/>
      <c r="M56" s="39"/>
      <c r="N56" s="38"/>
      <c r="O56" s="38"/>
    </row>
    <row r="57" spans="10:15">
      <c r="K57" s="31"/>
      <c r="L57" s="38"/>
      <c r="M57" s="39"/>
      <c r="N57" s="38"/>
      <c r="O57" s="38"/>
    </row>
    <row r="58" spans="10:15">
      <c r="K58" s="31"/>
      <c r="L58" s="38"/>
      <c r="M58" s="39"/>
      <c r="N58" s="38"/>
      <c r="O58" s="38"/>
    </row>
    <row r="59" spans="10:15">
      <c r="K59" s="31"/>
      <c r="L59" s="38"/>
      <c r="M59" s="39"/>
      <c r="N59" s="38"/>
      <c r="O59" s="38"/>
    </row>
    <row r="60" spans="10:15">
      <c r="K60" s="31"/>
      <c r="L60" s="38"/>
      <c r="M60" s="39"/>
      <c r="N60" s="38"/>
      <c r="O60" s="38"/>
    </row>
    <row r="61" spans="10:15">
      <c r="K61" s="31"/>
      <c r="L61" s="38"/>
      <c r="M61" s="39"/>
      <c r="N61" s="38"/>
      <c r="O61" s="38"/>
    </row>
    <row r="62" spans="10:15">
      <c r="K62" s="31"/>
      <c r="L62" s="38"/>
      <c r="M62" s="39"/>
      <c r="N62" s="38"/>
      <c r="O62" s="38"/>
    </row>
    <row r="63" spans="10:15">
      <c r="K63" s="31"/>
      <c r="L63" s="38"/>
      <c r="M63" s="39"/>
      <c r="N63" s="38"/>
      <c r="O63" s="38"/>
    </row>
    <row r="64" spans="10:15">
      <c r="K64" s="31"/>
      <c r="L64" s="38"/>
      <c r="M64" s="39"/>
      <c r="N64" s="38"/>
      <c r="O64" s="38"/>
    </row>
    <row r="65" spans="1:15" s="22" customFormat="1">
      <c r="B65" s="30"/>
      <c r="C65" s="30"/>
      <c r="D65" s="30"/>
      <c r="E65" s="30"/>
      <c r="F65" s="30"/>
      <c r="G65" s="30"/>
      <c r="H65" s="30"/>
      <c r="I65" s="30"/>
      <c r="J65" s="30"/>
      <c r="K65" s="31"/>
      <c r="L65" s="38"/>
      <c r="M65" s="39"/>
      <c r="N65" s="38"/>
      <c r="O65" s="38"/>
    </row>
    <row r="66" spans="1:15" s="22" customFormat="1">
      <c r="B66" s="30"/>
      <c r="C66" s="30"/>
      <c r="D66" s="30"/>
      <c r="E66" s="30"/>
      <c r="F66" s="30"/>
      <c r="G66" s="30"/>
      <c r="H66" s="30"/>
      <c r="I66" s="30"/>
      <c r="J66" s="30"/>
      <c r="K66" s="30"/>
      <c r="L66" s="38"/>
      <c r="M66" s="40"/>
      <c r="N66" s="38"/>
      <c r="O66" s="38"/>
    </row>
    <row r="67" spans="1:15">
      <c r="A67" s="22"/>
      <c r="K67" s="32"/>
      <c r="M67" s="39"/>
      <c r="N67" s="38"/>
      <c r="O67" s="38"/>
    </row>
    <row r="68" spans="1:15">
      <c r="A68" s="22"/>
      <c r="B68" s="22"/>
      <c r="C68" s="22"/>
      <c r="D68" s="40"/>
      <c r="E68" s="40"/>
      <c r="F68" s="40"/>
      <c r="G68" s="40"/>
      <c r="H68" s="40"/>
      <c r="J68" s="37"/>
    </row>
    <row r="69" spans="1:15">
      <c r="J69" s="37"/>
    </row>
    <row r="70" spans="1:15">
      <c r="F70" s="35"/>
      <c r="G70" s="35"/>
      <c r="J70" s="37"/>
    </row>
  </sheetData>
  <mergeCells count="2">
    <mergeCell ref="B7:B8"/>
    <mergeCell ref="B10:B12"/>
  </mergeCells>
  <conditionalFormatting sqref="K67">
    <cfRule type="cellIs" dxfId="0" priority="1" operator="notBetween">
      <formula>0.001</formula>
      <formula>-0.001</formula>
    </cfRule>
  </conditionalFormatting>
  <printOptions horizontalCentered="1" verticalCentered="1"/>
  <pageMargins left="0.78740157480314965" right="0.78740157480314965" top="0.98425196850393704" bottom="0.98425196850393704" header="0" footer="0"/>
  <pageSetup paperSize="9" scale="55" orientation="landscape" horizontalDpi="355" verticalDpi="355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/>
  <dimension ref="A2:AF165"/>
  <sheetViews>
    <sheetView showGridLines="0" showRowColHeaders="0" topLeftCell="A59" zoomScale="115" zoomScaleNormal="115" workbookViewId="0">
      <selection activeCell="G93" sqref="G93"/>
    </sheetView>
  </sheetViews>
  <sheetFormatPr baseColWidth="10" defaultRowHeight="12.75"/>
  <cols>
    <col min="1" max="1" width="2.85546875" style="107" customWidth="1"/>
    <col min="2" max="2" width="27.5703125" style="107" customWidth="1"/>
    <col min="3" max="16" width="11.42578125" style="107"/>
    <col min="17" max="17" width="15" style="107" customWidth="1"/>
    <col min="18" max="16384" width="11.42578125" style="107"/>
  </cols>
  <sheetData>
    <row r="2" spans="1:5">
      <c r="B2" s="170" t="s">
        <v>132</v>
      </c>
      <c r="C2" s="171"/>
      <c r="D2" s="171"/>
      <c r="E2" s="171"/>
    </row>
    <row r="3" spans="1:5">
      <c r="B3" s="101" t="s">
        <v>42</v>
      </c>
      <c r="C3" s="101" t="s">
        <v>45</v>
      </c>
      <c r="D3" s="101"/>
      <c r="E3" s="101" t="s">
        <v>15</v>
      </c>
    </row>
    <row r="4" spans="1:5">
      <c r="A4" s="176"/>
      <c r="B4" s="101"/>
      <c r="C4" s="101" t="s">
        <v>46</v>
      </c>
      <c r="D4" s="101" t="s">
        <v>47</v>
      </c>
      <c r="E4" s="101"/>
    </row>
    <row r="5" spans="1:5">
      <c r="A5" s="176">
        <v>1</v>
      </c>
      <c r="B5" s="101" t="s">
        <v>156</v>
      </c>
      <c r="C5" s="101">
        <v>60.77</v>
      </c>
      <c r="D5" s="101">
        <v>44.68</v>
      </c>
      <c r="E5" s="163">
        <v>54.5890053245</v>
      </c>
    </row>
    <row r="6" spans="1:5">
      <c r="A6" s="176">
        <v>2</v>
      </c>
      <c r="B6" s="101" t="s">
        <v>157</v>
      </c>
      <c r="C6" s="101">
        <v>60.61</v>
      </c>
      <c r="D6" s="101">
        <v>39.25</v>
      </c>
      <c r="E6" s="163">
        <v>51.405144972599999</v>
      </c>
    </row>
    <row r="7" spans="1:5">
      <c r="A7" s="176">
        <v>3</v>
      </c>
      <c r="B7" s="101" t="s">
        <v>158</v>
      </c>
      <c r="C7" s="101">
        <v>58.99</v>
      </c>
      <c r="D7" s="101">
        <v>43.39</v>
      </c>
      <c r="E7" s="163">
        <v>49.411185327799998</v>
      </c>
    </row>
    <row r="8" spans="1:5">
      <c r="A8" s="176">
        <v>4</v>
      </c>
      <c r="B8" s="101" t="s">
        <v>159</v>
      </c>
      <c r="C8" s="101">
        <v>62.1</v>
      </c>
      <c r="D8" s="101">
        <v>43.4</v>
      </c>
      <c r="E8" s="163">
        <v>53.614454537599997</v>
      </c>
    </row>
    <row r="9" spans="1:5">
      <c r="A9" s="176">
        <v>5</v>
      </c>
      <c r="B9" s="101" t="s">
        <v>160</v>
      </c>
      <c r="C9" s="101">
        <v>62.62</v>
      </c>
      <c r="D9" s="101">
        <v>44.35</v>
      </c>
      <c r="E9" s="163">
        <v>56.431082598700002</v>
      </c>
    </row>
    <row r="10" spans="1:5">
      <c r="A10" s="176">
        <v>6</v>
      </c>
      <c r="B10" s="101" t="s">
        <v>161</v>
      </c>
      <c r="C10" s="101">
        <v>62.51</v>
      </c>
      <c r="D10" s="101">
        <v>42.05</v>
      </c>
      <c r="E10" s="163">
        <v>54.6901173077</v>
      </c>
    </row>
    <row r="11" spans="1:5">
      <c r="A11" s="176">
        <v>7</v>
      </c>
      <c r="B11" s="101" t="s">
        <v>162</v>
      </c>
      <c r="C11" s="101">
        <v>66.349999999999994</v>
      </c>
      <c r="D11" s="101">
        <v>42.37</v>
      </c>
      <c r="E11" s="163">
        <v>57.299317029299999</v>
      </c>
    </row>
    <row r="12" spans="1:5">
      <c r="A12" s="176">
        <v>8</v>
      </c>
      <c r="B12" s="101" t="s">
        <v>163</v>
      </c>
      <c r="C12" s="101">
        <v>71.19</v>
      </c>
      <c r="D12" s="101">
        <v>50.16</v>
      </c>
      <c r="E12" s="163">
        <v>63.960593768999999</v>
      </c>
    </row>
    <row r="13" spans="1:5">
      <c r="A13" s="176">
        <v>9</v>
      </c>
      <c r="B13" s="101" t="s">
        <v>164</v>
      </c>
      <c r="C13" s="101">
        <v>69.19</v>
      </c>
      <c r="D13" s="101">
        <v>50.5</v>
      </c>
      <c r="E13" s="163">
        <v>61.562814762899997</v>
      </c>
    </row>
    <row r="14" spans="1:5">
      <c r="A14" s="176">
        <v>10</v>
      </c>
      <c r="B14" s="101" t="s">
        <v>165</v>
      </c>
      <c r="C14" s="101">
        <v>66.42</v>
      </c>
      <c r="D14" s="101">
        <v>43.21</v>
      </c>
      <c r="E14" s="163">
        <v>51.675688049800002</v>
      </c>
    </row>
    <row r="15" spans="1:5">
      <c r="A15" s="176">
        <v>11</v>
      </c>
      <c r="B15" s="101" t="s">
        <v>166</v>
      </c>
      <c r="C15" s="101">
        <v>63.86</v>
      </c>
      <c r="D15" s="101">
        <v>43.07</v>
      </c>
      <c r="E15" s="163">
        <v>49.605264336499999</v>
      </c>
    </row>
    <row r="16" spans="1:5">
      <c r="A16" s="176">
        <v>12</v>
      </c>
      <c r="B16" s="101" t="s">
        <v>167</v>
      </c>
      <c r="C16" s="101">
        <v>65.010000000000005</v>
      </c>
      <c r="D16" s="101">
        <v>40.26</v>
      </c>
      <c r="E16" s="163">
        <v>56.849717045399998</v>
      </c>
    </row>
    <row r="17" spans="1:5">
      <c r="A17" s="176">
        <v>13</v>
      </c>
      <c r="B17" s="101" t="s">
        <v>168</v>
      </c>
      <c r="C17" s="101">
        <v>61.92</v>
      </c>
      <c r="D17" s="101">
        <v>41.71</v>
      </c>
      <c r="E17" s="163">
        <v>52.421643383099997</v>
      </c>
    </row>
    <row r="18" spans="1:5">
      <c r="A18" s="176">
        <v>14</v>
      </c>
      <c r="B18" s="101" t="s">
        <v>169</v>
      </c>
      <c r="C18" s="101">
        <v>61.87</v>
      </c>
      <c r="D18" s="101">
        <v>35.75</v>
      </c>
      <c r="E18" s="163">
        <v>48.986470431599997</v>
      </c>
    </row>
    <row r="19" spans="1:5">
      <c r="A19" s="176">
        <v>15</v>
      </c>
      <c r="B19" s="101" t="s">
        <v>170</v>
      </c>
      <c r="C19" s="101">
        <v>65.03</v>
      </c>
      <c r="D19" s="101">
        <v>39.6</v>
      </c>
      <c r="E19" s="163">
        <v>55.730769109299999</v>
      </c>
    </row>
    <row r="20" spans="1:5">
      <c r="A20" s="176">
        <v>16</v>
      </c>
      <c r="B20" s="101" t="s">
        <v>171</v>
      </c>
      <c r="C20" s="101">
        <v>62.61</v>
      </c>
      <c r="D20" s="101">
        <v>51.14</v>
      </c>
      <c r="E20" s="163">
        <v>60.301410834199999</v>
      </c>
    </row>
    <row r="21" spans="1:5">
      <c r="A21" s="176">
        <v>17</v>
      </c>
      <c r="B21" s="101" t="s">
        <v>172</v>
      </c>
      <c r="C21" s="101">
        <v>61.57</v>
      </c>
      <c r="D21" s="101">
        <v>43.07</v>
      </c>
      <c r="E21" s="163">
        <v>51.0127373085</v>
      </c>
    </row>
    <row r="22" spans="1:5">
      <c r="A22" s="176">
        <v>18</v>
      </c>
      <c r="B22" s="101" t="s">
        <v>173</v>
      </c>
      <c r="C22" s="101">
        <v>62.19</v>
      </c>
      <c r="D22" s="101">
        <v>42.99</v>
      </c>
      <c r="E22" s="163">
        <v>51.7435606003</v>
      </c>
    </row>
    <row r="23" spans="1:5">
      <c r="A23" s="176">
        <v>19</v>
      </c>
      <c r="B23" s="101" t="s">
        <v>174</v>
      </c>
      <c r="C23" s="101">
        <v>62.28</v>
      </c>
      <c r="D23" s="101">
        <v>45.4</v>
      </c>
      <c r="E23" s="163">
        <v>57.532881670099997</v>
      </c>
    </row>
    <row r="24" spans="1:5">
      <c r="A24" s="176">
        <v>20</v>
      </c>
      <c r="B24" s="101" t="s">
        <v>175</v>
      </c>
      <c r="C24" s="101">
        <v>61.92</v>
      </c>
      <c r="D24" s="101">
        <v>42.21</v>
      </c>
      <c r="E24" s="163">
        <v>52.928359449699997</v>
      </c>
    </row>
    <row r="25" spans="1:5">
      <c r="A25" s="176">
        <v>21</v>
      </c>
      <c r="B25" s="101" t="s">
        <v>176</v>
      </c>
      <c r="C25" s="101">
        <v>60.69</v>
      </c>
      <c r="D25" s="101">
        <v>37.33</v>
      </c>
      <c r="E25" s="163">
        <v>50.281427338299999</v>
      </c>
    </row>
    <row r="26" spans="1:5">
      <c r="A26" s="176">
        <v>22</v>
      </c>
      <c r="B26" s="101" t="s">
        <v>177</v>
      </c>
      <c r="C26" s="101">
        <v>61.61</v>
      </c>
      <c r="D26" s="101">
        <v>42.7</v>
      </c>
      <c r="E26" s="163">
        <v>54.120802049799998</v>
      </c>
    </row>
    <row r="27" spans="1:5">
      <c r="A27" s="176">
        <v>23</v>
      </c>
      <c r="B27" s="101" t="s">
        <v>178</v>
      </c>
      <c r="C27" s="101">
        <v>63.85</v>
      </c>
      <c r="D27" s="101">
        <v>44.79</v>
      </c>
      <c r="E27" s="163">
        <v>58.502961421499997</v>
      </c>
    </row>
    <row r="28" spans="1:5">
      <c r="A28" s="176">
        <v>24</v>
      </c>
      <c r="B28" s="101" t="s">
        <v>179</v>
      </c>
      <c r="C28" s="101">
        <v>62.94</v>
      </c>
      <c r="D28" s="101">
        <v>53.58</v>
      </c>
      <c r="E28" s="163">
        <v>59.720686565900003</v>
      </c>
    </row>
    <row r="29" spans="1:5">
      <c r="A29" s="176">
        <v>25</v>
      </c>
      <c r="B29" s="101" t="s">
        <v>180</v>
      </c>
      <c r="C29" s="101">
        <v>62.94</v>
      </c>
      <c r="D29" s="101">
        <v>51.26</v>
      </c>
      <c r="E29" s="163">
        <v>58.307280520399999</v>
      </c>
    </row>
    <row r="30" spans="1:5">
      <c r="A30" s="176">
        <v>26</v>
      </c>
      <c r="B30" s="101" t="s">
        <v>181</v>
      </c>
      <c r="C30" s="101">
        <v>70.760000000000005</v>
      </c>
      <c r="D30" s="101">
        <v>44.07</v>
      </c>
      <c r="E30" s="163">
        <v>60.058936385800003</v>
      </c>
    </row>
    <row r="31" spans="1:5">
      <c r="A31" s="176">
        <v>27</v>
      </c>
      <c r="B31" s="101" t="s">
        <v>182</v>
      </c>
      <c r="C31" s="101">
        <v>74.150000000000006</v>
      </c>
      <c r="D31" s="101">
        <v>49.44</v>
      </c>
      <c r="E31" s="163">
        <v>65.098297320499995</v>
      </c>
    </row>
    <row r="32" spans="1:5">
      <c r="A32" s="176">
        <v>28</v>
      </c>
      <c r="B32" s="101" t="s">
        <v>183</v>
      </c>
      <c r="C32" s="101">
        <v>62.88</v>
      </c>
      <c r="D32" s="101">
        <v>47.51</v>
      </c>
      <c r="E32" s="163">
        <v>58.095541717099998</v>
      </c>
    </row>
    <row r="33" spans="1:10">
      <c r="A33" s="176"/>
      <c r="B33" s="101" t="s">
        <v>184</v>
      </c>
      <c r="C33" s="101" t="s">
        <v>185</v>
      </c>
      <c r="D33" s="101" t="s">
        <v>185</v>
      </c>
      <c r="E33" s="163">
        <v>55.743546795199997</v>
      </c>
    </row>
    <row r="34" spans="1:10">
      <c r="A34" s="176"/>
      <c r="B34" s="101"/>
      <c r="C34" s="101"/>
      <c r="D34" s="101"/>
      <c r="E34" s="163"/>
    </row>
    <row r="35" spans="1:10">
      <c r="A35" s="176"/>
      <c r="B35" s="101"/>
      <c r="C35" s="101"/>
      <c r="D35" s="101"/>
      <c r="E35" s="163"/>
    </row>
    <row r="36" spans="1:10">
      <c r="A36" s="176"/>
      <c r="B36" s="101"/>
      <c r="C36" s="101"/>
      <c r="D36" s="101"/>
      <c r="E36" s="163"/>
    </row>
    <row r="37" spans="1:10">
      <c r="A37" s="176"/>
      <c r="B37" s="101"/>
      <c r="C37" s="101"/>
      <c r="D37" s="101"/>
      <c r="E37" s="163"/>
    </row>
    <row r="38" spans="1:10">
      <c r="A38" s="176"/>
      <c r="B38" s="101"/>
      <c r="C38" s="101"/>
      <c r="D38" s="101"/>
      <c r="E38" s="163"/>
    </row>
    <row r="39" spans="1:10">
      <c r="A39" s="176"/>
      <c r="B39" s="101"/>
      <c r="C39" s="101"/>
      <c r="D39" s="101" t="s">
        <v>146</v>
      </c>
      <c r="E39" s="163">
        <v>54.88</v>
      </c>
      <c r="F39" s="185">
        <v>51.74</v>
      </c>
      <c r="G39" s="186">
        <f>(E39/F39-1)</f>
        <v>6.0688055662930118E-2</v>
      </c>
    </row>
    <row r="40" spans="1:10">
      <c r="B40" s="101"/>
      <c r="C40" s="101"/>
      <c r="D40" s="101"/>
      <c r="E40" s="101"/>
    </row>
    <row r="41" spans="1:10">
      <c r="B41" s="124"/>
    </row>
    <row r="42" spans="1:10">
      <c r="A42" s="176"/>
      <c r="B42" s="165" t="s">
        <v>133</v>
      </c>
    </row>
    <row r="43" spans="1:10">
      <c r="A43" s="176"/>
      <c r="B43" s="16"/>
      <c r="C43" s="201" t="s">
        <v>22</v>
      </c>
      <c r="D43" s="201" t="s">
        <v>49</v>
      </c>
      <c r="E43" s="201" t="s">
        <v>50</v>
      </c>
      <c r="F43" s="201" t="s">
        <v>51</v>
      </c>
      <c r="G43" s="201" t="s">
        <v>26</v>
      </c>
      <c r="H43" s="201" t="s">
        <v>52</v>
      </c>
      <c r="I43" s="201" t="s">
        <v>53</v>
      </c>
      <c r="J43" s="201" t="s">
        <v>54</v>
      </c>
    </row>
    <row r="44" spans="1:10">
      <c r="A44" s="176"/>
      <c r="B44" s="17"/>
      <c r="C44" s="202"/>
      <c r="D44" s="202"/>
      <c r="E44" s="202"/>
      <c r="F44" s="202"/>
      <c r="G44" s="202"/>
      <c r="H44" s="202"/>
      <c r="I44" s="202"/>
      <c r="J44" s="202"/>
    </row>
    <row r="45" spans="1:10">
      <c r="A45" s="176" t="s">
        <v>6</v>
      </c>
      <c r="B45" s="18" t="s">
        <v>187</v>
      </c>
      <c r="C45" s="54">
        <v>33.382936507936506</v>
      </c>
      <c r="D45" s="54">
        <v>13.640873015873014</v>
      </c>
      <c r="E45" s="54">
        <v>0</v>
      </c>
      <c r="F45" s="54">
        <v>0.29761904761904762</v>
      </c>
      <c r="G45" s="54">
        <v>6.820436507936507</v>
      </c>
      <c r="H45" s="54">
        <v>23.883928571428573</v>
      </c>
      <c r="I45" s="55">
        <v>0</v>
      </c>
      <c r="J45" s="59">
        <v>21.974206349206348</v>
      </c>
    </row>
    <row r="46" spans="1:10">
      <c r="A46" s="176" t="s">
        <v>7</v>
      </c>
      <c r="B46" s="18" t="s">
        <v>188</v>
      </c>
      <c r="C46" s="54">
        <v>43.965903992821893</v>
      </c>
      <c r="D46" s="54">
        <v>14.984297891431133</v>
      </c>
      <c r="E46" s="54">
        <v>0</v>
      </c>
      <c r="F46" s="54">
        <v>0.13458950201884254</v>
      </c>
      <c r="G46" s="54">
        <v>6.303275011215792</v>
      </c>
      <c r="H46" s="54">
        <v>12.943023777478688</v>
      </c>
      <c r="I46" s="55">
        <v>0</v>
      </c>
      <c r="J46" s="59">
        <v>21.668909825033648</v>
      </c>
    </row>
    <row r="47" spans="1:10">
      <c r="A47" s="176" t="s">
        <v>8</v>
      </c>
      <c r="B47" s="18" t="s">
        <v>189</v>
      </c>
      <c r="C47" s="54">
        <v>40.798611111111114</v>
      </c>
      <c r="D47" s="54">
        <v>13.738425925925924</v>
      </c>
      <c r="E47" s="54">
        <v>0</v>
      </c>
      <c r="F47" s="54">
        <v>0</v>
      </c>
      <c r="G47" s="54">
        <v>4.583333333333333</v>
      </c>
      <c r="H47" s="54">
        <v>16.93287037037037</v>
      </c>
      <c r="I47" s="55">
        <v>0</v>
      </c>
      <c r="J47" s="59">
        <v>23.94675925925926</v>
      </c>
    </row>
    <row r="48" spans="1:10">
      <c r="A48" s="176" t="s">
        <v>7</v>
      </c>
      <c r="B48" s="18" t="s">
        <v>190</v>
      </c>
      <c r="C48" s="54">
        <v>40.143369175627242</v>
      </c>
      <c r="D48" s="54">
        <v>11.559139784946236</v>
      </c>
      <c r="E48" s="54">
        <v>0</v>
      </c>
      <c r="F48" s="54">
        <v>0</v>
      </c>
      <c r="G48" s="54">
        <v>12.186379928315411</v>
      </c>
      <c r="H48" s="54">
        <v>20.228494623655912</v>
      </c>
      <c r="I48" s="55">
        <v>0</v>
      </c>
      <c r="J48" s="59">
        <v>15.882616487455195</v>
      </c>
    </row>
    <row r="49" spans="1:13">
      <c r="A49" s="176" t="s">
        <v>9</v>
      </c>
      <c r="B49" s="18" t="s">
        <v>191</v>
      </c>
      <c r="C49" s="54">
        <v>46.087962962962969</v>
      </c>
      <c r="D49" s="54">
        <v>3.981481481481481</v>
      </c>
      <c r="E49" s="54">
        <v>0</v>
      </c>
      <c r="F49" s="54">
        <v>0</v>
      </c>
      <c r="G49" s="54">
        <v>13.032407407407407</v>
      </c>
      <c r="H49" s="54">
        <v>25.462962962962965</v>
      </c>
      <c r="I49" s="55">
        <v>0</v>
      </c>
      <c r="J49" s="59">
        <v>11.435185185185185</v>
      </c>
    </row>
    <row r="50" spans="1:13">
      <c r="A50" s="176" t="s">
        <v>9</v>
      </c>
      <c r="B50" s="18" t="s">
        <v>192</v>
      </c>
      <c r="C50" s="54">
        <v>37.298387096774199</v>
      </c>
      <c r="D50" s="54">
        <v>4.7827060931899634</v>
      </c>
      <c r="E50" s="54">
        <v>0</v>
      </c>
      <c r="F50" s="54">
        <v>0.13440860215053765</v>
      </c>
      <c r="G50" s="54">
        <v>17.6747311827957</v>
      </c>
      <c r="H50" s="54">
        <v>28.59543010752688</v>
      </c>
      <c r="I50" s="55">
        <v>0</v>
      </c>
      <c r="J50" s="59">
        <v>11.514336917562725</v>
      </c>
    </row>
    <row r="51" spans="1:13">
      <c r="A51" s="176" t="s">
        <v>8</v>
      </c>
      <c r="B51" s="18" t="s">
        <v>193</v>
      </c>
      <c r="C51" s="54">
        <v>36.04390681003585</v>
      </c>
      <c r="D51" s="54">
        <v>10.360663082437277</v>
      </c>
      <c r="E51" s="54">
        <v>0</v>
      </c>
      <c r="F51" s="54">
        <v>0</v>
      </c>
      <c r="G51" s="54">
        <v>17.517921146953402</v>
      </c>
      <c r="H51" s="54">
        <v>17.708333333333336</v>
      </c>
      <c r="I51" s="55">
        <v>0</v>
      </c>
      <c r="J51" s="59">
        <v>18.369175627240143</v>
      </c>
    </row>
    <row r="52" spans="1:13">
      <c r="A52" s="176" t="s">
        <v>10</v>
      </c>
      <c r="B52" s="18" t="s">
        <v>194</v>
      </c>
      <c r="C52" s="54">
        <v>38.946759259259267</v>
      </c>
      <c r="D52" s="54">
        <v>7.4074074074074066</v>
      </c>
      <c r="E52" s="54">
        <v>0</v>
      </c>
      <c r="F52" s="54">
        <v>0</v>
      </c>
      <c r="G52" s="54">
        <v>19.201388888888893</v>
      </c>
      <c r="H52" s="54">
        <v>17.187499999999996</v>
      </c>
      <c r="I52" s="55">
        <v>0</v>
      </c>
      <c r="J52" s="59">
        <v>17.256944444444443</v>
      </c>
    </row>
    <row r="53" spans="1:13">
      <c r="A53" s="176" t="s">
        <v>11</v>
      </c>
      <c r="B53" s="18" t="s">
        <v>195</v>
      </c>
      <c r="C53" s="54">
        <v>39.807347670250891</v>
      </c>
      <c r="D53" s="54">
        <v>6.25</v>
      </c>
      <c r="E53" s="54">
        <v>0</v>
      </c>
      <c r="F53" s="54">
        <v>0</v>
      </c>
      <c r="G53" s="54">
        <v>10.483870967741936</v>
      </c>
      <c r="H53" s="54">
        <v>25.963261648745522</v>
      </c>
      <c r="I53" s="55">
        <v>0</v>
      </c>
      <c r="J53" s="59">
        <v>17.495519713261647</v>
      </c>
    </row>
    <row r="54" spans="1:13">
      <c r="A54" s="176" t="s">
        <v>12</v>
      </c>
      <c r="B54" s="18" t="s">
        <v>196</v>
      </c>
      <c r="C54" s="54">
        <v>33.518518518518519</v>
      </c>
      <c r="D54" s="54">
        <v>10.11574074074074</v>
      </c>
      <c r="E54" s="54">
        <v>0</v>
      </c>
      <c r="F54" s="54">
        <v>0</v>
      </c>
      <c r="G54" s="54">
        <v>17.546296296296298</v>
      </c>
      <c r="H54" s="54">
        <v>26.087962962962962</v>
      </c>
      <c r="I54" s="55">
        <v>0</v>
      </c>
      <c r="J54" s="59">
        <v>12.731481481481485</v>
      </c>
    </row>
    <row r="55" spans="1:13">
      <c r="A55" s="176" t="s">
        <v>13</v>
      </c>
      <c r="B55" s="18" t="s">
        <v>197</v>
      </c>
      <c r="C55" s="54">
        <v>37.141577060931901</v>
      </c>
      <c r="D55" s="54">
        <v>8.736559139784946</v>
      </c>
      <c r="E55" s="54">
        <v>0</v>
      </c>
      <c r="F55" s="54">
        <v>0</v>
      </c>
      <c r="G55" s="54">
        <v>15.770609318996415</v>
      </c>
      <c r="H55" s="54">
        <v>19.153225806451612</v>
      </c>
      <c r="I55" s="55">
        <v>0</v>
      </c>
      <c r="J55" s="59">
        <v>19.198028673835125</v>
      </c>
    </row>
    <row r="56" spans="1:13">
      <c r="A56" s="176" t="s">
        <v>5</v>
      </c>
      <c r="B56" s="18" t="s">
        <v>198</v>
      </c>
      <c r="C56" s="54">
        <v>34.65501792114695</v>
      </c>
      <c r="D56" s="54">
        <v>14.448924731182796</v>
      </c>
      <c r="E56" s="54">
        <v>0</v>
      </c>
      <c r="F56" s="54">
        <v>0</v>
      </c>
      <c r="G56" s="54">
        <v>11.312724014336919</v>
      </c>
      <c r="H56" s="54">
        <v>18.637992831541222</v>
      </c>
      <c r="I56" s="55">
        <v>0</v>
      </c>
      <c r="J56" s="59">
        <v>20.945340501792113</v>
      </c>
    </row>
    <row r="57" spans="1:13">
      <c r="A57" s="176" t="s">
        <v>6</v>
      </c>
      <c r="B57" s="56" t="s">
        <v>199</v>
      </c>
      <c r="C57" s="57">
        <v>48.387896825396837</v>
      </c>
      <c r="D57" s="57">
        <v>4.8363095238095237</v>
      </c>
      <c r="E57" s="57">
        <v>0</v>
      </c>
      <c r="F57" s="57">
        <v>0</v>
      </c>
      <c r="G57" s="57">
        <v>7.9613095238095237</v>
      </c>
      <c r="H57" s="57">
        <v>25.992063492063487</v>
      </c>
      <c r="I57" s="58">
        <v>0</v>
      </c>
      <c r="J57" s="60">
        <v>12.822420634920634</v>
      </c>
    </row>
    <row r="59" spans="1:13">
      <c r="B59" s="165" t="s">
        <v>134</v>
      </c>
    </row>
    <row r="60" spans="1:13">
      <c r="B60" s="16"/>
      <c r="C60" s="203" t="s">
        <v>1</v>
      </c>
      <c r="D60" s="203" t="s">
        <v>2</v>
      </c>
      <c r="E60" s="203" t="s">
        <v>245</v>
      </c>
      <c r="F60" s="203" t="s">
        <v>19</v>
      </c>
      <c r="G60" s="203" t="s">
        <v>20</v>
      </c>
      <c r="H60" s="203" t="s">
        <v>29</v>
      </c>
      <c r="I60" s="203" t="s">
        <v>30</v>
      </c>
      <c r="J60" s="203" t="s">
        <v>34</v>
      </c>
      <c r="K60" s="125"/>
      <c r="L60" s="125"/>
    </row>
    <row r="61" spans="1:13">
      <c r="B61" s="17"/>
      <c r="C61" s="204"/>
      <c r="D61" s="204"/>
      <c r="E61" s="204"/>
      <c r="F61" s="204"/>
      <c r="G61" s="204"/>
      <c r="H61" s="204"/>
      <c r="I61" s="204"/>
      <c r="J61" s="204"/>
      <c r="K61" s="125"/>
      <c r="L61" s="125"/>
    </row>
    <row r="62" spans="1:13">
      <c r="B62" s="18" t="str">
        <f>MID('Data 1'!R83,6,3)&amp; "-" &amp;MID('Data 1'!R83,3,2)</f>
        <v>Feb-17</v>
      </c>
      <c r="C62" s="164">
        <f>VLOOKUP("Mercado Diario",'Data 1'!Q86:AE102,2,FALSE)</f>
        <v>53.04</v>
      </c>
      <c r="D62" s="164">
        <f>VLOOKUP("Mercado Intradiario",'Data 1'!Q86:AE102,2,FALSE)</f>
        <v>0.01</v>
      </c>
      <c r="E62" s="164">
        <f t="shared" ref="E62:E74" si="0">SUM(C62:D62)</f>
        <v>53.05</v>
      </c>
      <c r="F62" s="164">
        <f>'Data 1'!C89</f>
        <v>2.8400000000000003</v>
      </c>
      <c r="G62" s="164">
        <f>VLOOKUP("Pago capacidad",'Data 1'!Q86:AE102,2,FALSE)</f>
        <v>3.17</v>
      </c>
      <c r="H62" s="164">
        <f>VLOOKUP("Servicio interrumpibilidad",'Data 1'!Q86:AE102,2,FALSE)</f>
        <v>2.17</v>
      </c>
      <c r="I62" s="164">
        <f t="shared" ref="I62:I74" si="1">SUM(E62:H62)</f>
        <v>61.230000000000004</v>
      </c>
      <c r="J62" s="85">
        <f>VLOOKUP("Energía final MWh",'Data 1'!Q84:AE102,2,FALSE)/1000</f>
        <v>19942.324665</v>
      </c>
      <c r="K62" s="187">
        <f>E62+F62+G62+H62-VLOOKUP("Coste medio final (€/MWh)",'Data 1'!Q86:AE102,2,FALSE)</f>
        <v>0</v>
      </c>
      <c r="L62" s="63"/>
      <c r="M62" s="188"/>
    </row>
    <row r="63" spans="1:13">
      <c r="B63" s="18" t="str">
        <f>MID('Data 1'!S83,6,3)&amp; "-" &amp;MID('Data 1'!S83,3,2)</f>
        <v>Mar-17</v>
      </c>
      <c r="C63" s="164">
        <f>VLOOKUP("Mercado Diario",'Data 1'!Q86:AE102,3,FALSE)</f>
        <v>43.93</v>
      </c>
      <c r="D63" s="164">
        <f>VLOOKUP("Mercado Intradiario",'Data 1'!Q86:AE102,3,FALSE)</f>
        <v>0.01</v>
      </c>
      <c r="E63" s="164">
        <f t="shared" si="0"/>
        <v>43.94</v>
      </c>
      <c r="F63" s="164">
        <f>'Data 1'!D89</f>
        <v>3.13</v>
      </c>
      <c r="G63" s="164">
        <f>VLOOKUP("Pago capacidad",'Data 1'!Q86:AE102,3,FALSE)</f>
        <v>2.52</v>
      </c>
      <c r="H63" s="164">
        <f>VLOOKUP("Servicio interrumpibilidad",'Data 1'!Q86:AE102,3,FALSE)</f>
        <v>2.06</v>
      </c>
      <c r="I63" s="164">
        <f t="shared" si="1"/>
        <v>51.650000000000006</v>
      </c>
      <c r="J63" s="85">
        <f>VLOOKUP("Energía final MWh",'Data 1'!Q84:AE102,3,FALSE)/1000</f>
        <v>21063.493094999998</v>
      </c>
      <c r="K63" s="187">
        <f>E63+F63+G63+H63-VLOOKUP("Coste medio final (€/MWh)",'Data 1'!Q86:AE102,3,FALSE)</f>
        <v>0</v>
      </c>
      <c r="L63" s="63" t="str">
        <f>MID('Data 1'!S83,6,LEN('Data 1'!S83))&amp; " " &amp;MID('Data 1'!S83,1,4)</f>
        <v>Marzo 2017</v>
      </c>
      <c r="M63" s="188"/>
    </row>
    <row r="64" spans="1:13">
      <c r="B64" s="18" t="str">
        <f>MID('Data 1'!T83,6,3)&amp; "-" &amp;MID('Data 1'!T83,3,2)</f>
        <v>Abr-17</v>
      </c>
      <c r="C64" s="164">
        <f>VLOOKUP("Mercado Diario",'Data 1'!Q86:AE102,4,FALSE)</f>
        <v>44.2</v>
      </c>
      <c r="D64" s="164">
        <f>VLOOKUP("Mercado Intradiario",'Data 1'!Q86:AE102,4,FALSE)</f>
        <v>0</v>
      </c>
      <c r="E64" s="164">
        <f t="shared" si="0"/>
        <v>44.2</v>
      </c>
      <c r="F64" s="164">
        <f>'Data 1'!E89</f>
        <v>3.2699999999999996</v>
      </c>
      <c r="G64" s="164">
        <f>VLOOKUP("Pago capacidad",'Data 1'!Q86:AE102,4,FALSE)</f>
        <v>2.38</v>
      </c>
      <c r="H64" s="164">
        <f>VLOOKUP("Servicio interrumpibilidad",'Data 1'!Q86:AE102,4,FALSE)</f>
        <v>2.2799999999999998</v>
      </c>
      <c r="I64" s="164">
        <f t="shared" si="1"/>
        <v>52.13</v>
      </c>
      <c r="J64" s="85">
        <f>VLOOKUP("Energía final MWh",'Data 1'!Q84:AE102,4,FALSE)/1000</f>
        <v>18914.128116</v>
      </c>
      <c r="K64" s="187">
        <f>E64+F64+G64+H64-VLOOKUP("Coste medio final (€/MWh)",'Data 1'!Q86:AE102,4,FALSE)</f>
        <v>0</v>
      </c>
      <c r="L64" s="63"/>
      <c r="M64" s="188"/>
    </row>
    <row r="65" spans="2:32">
      <c r="B65" s="18" t="str">
        <f>MID('Data 1'!U83,6,3)&amp; "-" &amp;MID('Data 1'!U83,3,2)</f>
        <v>May-17</v>
      </c>
      <c r="C65" s="164">
        <f>VLOOKUP("Mercado Diario",'Data 1'!Q86:AE102,5,FALSE)</f>
        <v>47.6</v>
      </c>
      <c r="D65" s="164">
        <f>VLOOKUP("Mercado Intradiario",'Data 1'!Q86:AE102,5,FALSE)</f>
        <v>0</v>
      </c>
      <c r="E65" s="164">
        <f t="shared" si="0"/>
        <v>47.6</v>
      </c>
      <c r="F65" s="164">
        <f>'Data 1'!F89</f>
        <v>2.13</v>
      </c>
      <c r="G65" s="164">
        <f>VLOOKUP("Pago capacidad",'Data 1'!Q86:AE102,5,FALSE)</f>
        <v>2.37</v>
      </c>
      <c r="H65" s="164">
        <f>VLOOKUP("Servicio interrumpibilidad",'Data 1'!Q86:AE102,5,FALSE)</f>
        <v>2.15</v>
      </c>
      <c r="I65" s="164">
        <f t="shared" si="1"/>
        <v>54.25</v>
      </c>
      <c r="J65" s="85">
        <f>VLOOKUP("Energía final MWh",'Data 1'!Q84:AE102,5,FALSE)/1000</f>
        <v>20167.80575</v>
      </c>
      <c r="K65" s="187">
        <f>E65+F65+G65+H65-VLOOKUP("Coste medio final (€/MWh)",'Data 1'!Q86:AE102,5,FALSE)</f>
        <v>0</v>
      </c>
      <c r="L65" s="63"/>
      <c r="M65" s="188"/>
    </row>
    <row r="66" spans="2:32">
      <c r="B66" s="18" t="str">
        <f>MID('Data 1'!V83,6,3)&amp; "-" &amp;MID('Data 1'!V83,3,2)</f>
        <v>Jun-17</v>
      </c>
      <c r="C66" s="164">
        <f>VLOOKUP("Mercado Diario",'Data 1'!Q86:AE102,6,FALSE)</f>
        <v>50.77</v>
      </c>
      <c r="D66" s="164">
        <f>VLOOKUP("Mercado Intradiario",'Data 1'!Q86:AE102,6,FALSE)</f>
        <v>0</v>
      </c>
      <c r="E66" s="164">
        <f t="shared" si="0"/>
        <v>50.77</v>
      </c>
      <c r="F66" s="164">
        <f>'Data 1'!G89</f>
        <v>1.2499999999999998</v>
      </c>
      <c r="G66" s="164">
        <f>VLOOKUP("Pago capacidad",'Data 1'!Q86:AE102,6,FALSE)</f>
        <v>2.91</v>
      </c>
      <c r="H66" s="164">
        <f>VLOOKUP("Servicio interrumpibilidad",'Data 1'!Q86:AE102,6,FALSE)</f>
        <v>2</v>
      </c>
      <c r="I66" s="164">
        <f t="shared" si="1"/>
        <v>56.930000000000007</v>
      </c>
      <c r="J66" s="85">
        <f>VLOOKUP("Energía final MWh",'Data 1'!Q84:AE102,6,FALSE)/1000</f>
        <v>21663.518438000003</v>
      </c>
      <c r="K66" s="187">
        <f>E66+F66+G66+H66-VLOOKUP("Coste medio final (€/MWh)",'Data 1'!Q86:AE102,6,FALSE)</f>
        <v>0</v>
      </c>
      <c r="L66" s="63"/>
      <c r="M66" s="188"/>
    </row>
    <row r="67" spans="2:32">
      <c r="B67" s="18" t="str">
        <f>MID('Data 1'!W83,6,3)&amp; "-" &amp;MID('Data 1'!W83,3,2)</f>
        <v>Jul-17</v>
      </c>
      <c r="C67" s="164">
        <f>VLOOKUP("Mercado Diario",'Data 1'!Q86:AE102,7,FALSE)</f>
        <v>49.14</v>
      </c>
      <c r="D67" s="164">
        <f>VLOOKUP("Mercado Intradiario",'Data 1'!Q86:AE102,7,FALSE)</f>
        <v>-0.01</v>
      </c>
      <c r="E67" s="164">
        <f t="shared" si="0"/>
        <v>49.13</v>
      </c>
      <c r="F67" s="164">
        <f>'Data 1'!H89</f>
        <v>1.6499999999999997</v>
      </c>
      <c r="G67" s="164">
        <f>VLOOKUP("Pago capacidad",'Data 1'!Q86:AE102,7,FALSE)</f>
        <v>3.22</v>
      </c>
      <c r="H67" s="164">
        <f>VLOOKUP("Servicio interrumpibilidad",'Data 1'!Q86:AE102,7,FALSE)</f>
        <v>1.93</v>
      </c>
      <c r="I67" s="164">
        <f t="shared" si="1"/>
        <v>55.93</v>
      </c>
      <c r="J67" s="85">
        <f>VLOOKUP("Energía final MWh",'Data 1'!Q84:AE102,7,FALSE)/1000</f>
        <v>22392.858405999999</v>
      </c>
      <c r="K67" s="187">
        <f>E67+F67+G67+H67-VLOOKUP("Coste medio final (€/MWh)",'Data 1'!Q86:AE102,7,FALSE)</f>
        <v>0</v>
      </c>
      <c r="L67" s="63"/>
      <c r="M67" s="188"/>
    </row>
    <row r="68" spans="2:32">
      <c r="B68" s="18" t="str">
        <f>MID('Data 1'!X83,6,3)&amp; "-" &amp;MID('Data 1'!X83,3,2)</f>
        <v>Ago-17</v>
      </c>
      <c r="C68" s="164">
        <f>VLOOKUP("Mercado Diario",'Data 1'!Q86:AE102,8,FALSE)</f>
        <v>48.04</v>
      </c>
      <c r="D68" s="164">
        <f>VLOOKUP("Mercado Intradiario",'Data 1'!Q86:AE102,8,FALSE)</f>
        <v>-0.01</v>
      </c>
      <c r="E68" s="164">
        <f t="shared" si="0"/>
        <v>48.03</v>
      </c>
      <c r="F68" s="164">
        <f>'Data 1'!I89</f>
        <v>2.4900000000000007</v>
      </c>
      <c r="G68" s="164">
        <f>VLOOKUP("Pago capacidad",'Data 1'!Q86:AE102,8,FALSE)</f>
        <v>2.16</v>
      </c>
      <c r="H68" s="164">
        <f>VLOOKUP("Servicio interrumpibilidad",'Data 1'!Q86:AE102,8,FALSE)</f>
        <v>1.99</v>
      </c>
      <c r="I68" s="164">
        <f t="shared" si="1"/>
        <v>54.670000000000009</v>
      </c>
      <c r="J68" s="85">
        <f>VLOOKUP("Energía final MWh",'Data 1'!Q84:AE102,8,FALSE)/1000</f>
        <v>21750.224324999999</v>
      </c>
      <c r="K68" s="187">
        <f>E68+F68+G68+H68-VLOOKUP("Coste medio final (€/MWh)",'Data 1'!Q86:AE102,8,FALSE)</f>
        <v>0</v>
      </c>
      <c r="L68" s="63"/>
      <c r="M68" s="188"/>
    </row>
    <row r="69" spans="2:32">
      <c r="B69" s="18" t="str">
        <f>MID('Data 1'!Y83,6,3)&amp; "-" &amp;MID('Data 1'!Y83,3,2)</f>
        <v>Sep-17</v>
      </c>
      <c r="C69" s="164">
        <f>VLOOKUP("Mercado Diario",'Data 1'!Q86:AE102,9,FALSE)</f>
        <v>49.55</v>
      </c>
      <c r="D69" s="164">
        <f>VLOOKUP("Mercado Intradiario",'Data 1'!Q86:AE102,9,FALSE)</f>
        <v>-0.03</v>
      </c>
      <c r="E69" s="164">
        <f t="shared" si="0"/>
        <v>49.519999999999996</v>
      </c>
      <c r="F69" s="164">
        <f>'Data 1'!J89</f>
        <v>2.2000000000000006</v>
      </c>
      <c r="G69" s="164">
        <f>VLOOKUP("Pago capacidad",'Data 1'!Q86:AE102,9,FALSE)</f>
        <v>2.41</v>
      </c>
      <c r="H69" s="164">
        <f>VLOOKUP("Servicio interrumpibilidad",'Data 1'!Q86:AE102,9,FALSE)</f>
        <v>2.14</v>
      </c>
      <c r="I69" s="164">
        <f t="shared" si="1"/>
        <v>56.269999999999996</v>
      </c>
      <c r="J69" s="85">
        <f>VLOOKUP("Energía final MWh",'Data 1'!Q84:AE102,9,FALSE)/1000</f>
        <v>20122.245394000001</v>
      </c>
      <c r="K69" s="187">
        <f>E69+F69+G69+H69-VLOOKUP("Coste medio final (€/MWh)",'Data 1'!Q86:AE102,9,FALSE)</f>
        <v>0</v>
      </c>
      <c r="L69" s="63"/>
      <c r="M69" s="188"/>
    </row>
    <row r="70" spans="2:32">
      <c r="B70" s="18" t="str">
        <f>MID('Data 1'!Z83,6,3)&amp; "-" &amp;MID('Data 1'!Z83,3,2)</f>
        <v>Oct-17</v>
      </c>
      <c r="C70" s="164">
        <f>VLOOKUP("Mercado Diario",'Data 1'!Q86:AE102,10,FALSE)</f>
        <v>57.62</v>
      </c>
      <c r="D70" s="164">
        <f>VLOOKUP("Mercado Intradiario",'Data 1'!Q86:AE102,10,FALSE)</f>
        <v>-0.03</v>
      </c>
      <c r="E70" s="164">
        <f t="shared" si="0"/>
        <v>57.589999999999996</v>
      </c>
      <c r="F70" s="164">
        <f>'Data 1'!K89</f>
        <v>2.78</v>
      </c>
      <c r="G70" s="164">
        <f>VLOOKUP("Pago capacidad",'Data 1'!Q86:AE102,10,FALSE)</f>
        <v>2.34</v>
      </c>
      <c r="H70" s="164">
        <f>VLOOKUP("Servicio interrumpibilidad",'Data 1'!Q86:AE102,10,FALSE)</f>
        <v>2.16</v>
      </c>
      <c r="I70" s="164">
        <f t="shared" si="1"/>
        <v>64.86999999999999</v>
      </c>
      <c r="J70" s="85">
        <f>VLOOKUP("Energía final MWh",'Data 1'!Q84:AE102,10,FALSE)/1000</f>
        <v>20087.682897999999</v>
      </c>
      <c r="K70" s="187">
        <f>E70+F70+G70+H70-VLOOKUP("Coste medio final (€/MWh)",'Data 1'!Q86:AE102,10,FALSE)</f>
        <v>0</v>
      </c>
      <c r="L70" s="63"/>
      <c r="M70" s="188"/>
    </row>
    <row r="71" spans="2:32">
      <c r="B71" s="18" t="str">
        <f>MID('Data 1'!AA83,6,3)&amp; "-" &amp;MID('Data 1'!AA83,3,2)</f>
        <v>Nov-17</v>
      </c>
      <c r="C71" s="164">
        <f>VLOOKUP("Mercado Diario",'Data 1'!Q86:AE102,11,FALSE)</f>
        <v>60.52</v>
      </c>
      <c r="D71" s="164">
        <f>VLOOKUP("Mercado Intradiario",'Data 1'!Q86:AE102,11,FALSE)</f>
        <v>0.02</v>
      </c>
      <c r="E71" s="164">
        <f t="shared" si="0"/>
        <v>60.540000000000006</v>
      </c>
      <c r="F71" s="164">
        <f>'Data 1'!L89</f>
        <v>1.66</v>
      </c>
      <c r="G71" s="164">
        <f>VLOOKUP("Pago capacidad",'Data 1'!Q86:AE102,11,FALSE)</f>
        <v>2.58</v>
      </c>
      <c r="H71" s="164">
        <f>VLOOKUP("Servicio interrumpibilidad",'Data 1'!Q86:AE102,11,FALSE)</f>
        <v>2.08</v>
      </c>
      <c r="I71" s="164">
        <f t="shared" si="1"/>
        <v>66.86</v>
      </c>
      <c r="J71" s="85">
        <f>VLOOKUP("Energía final MWh",'Data 1'!Q84:AE102,11,FALSE)/1000</f>
        <v>20810.624578999999</v>
      </c>
      <c r="K71" s="187">
        <f>E71+F71+G71+H71-VLOOKUP("Coste medio final (€/MWh)",'Data 1'!Q86:AE102,11,FALSE)</f>
        <v>0</v>
      </c>
      <c r="L71" s="63"/>
      <c r="M71" s="188"/>
    </row>
    <row r="72" spans="2:32">
      <c r="B72" s="18" t="str">
        <f>MID('Data 1'!AB83,6,3)&amp; "-" &amp;MID('Data 1'!AB83,3,2)</f>
        <v>Dic-17</v>
      </c>
      <c r="C72" s="164">
        <f>VLOOKUP("Mercado Diario",'Data 1'!Q86:AE102,12,FALSE)</f>
        <v>60.16</v>
      </c>
      <c r="D72" s="164">
        <f>VLOOKUP("Mercado Intradiario",'Data 1'!Q86:AE102,12,FALSE)</f>
        <v>0</v>
      </c>
      <c r="E72" s="164">
        <f t="shared" si="0"/>
        <v>60.16</v>
      </c>
      <c r="F72" s="164">
        <f>'Data 1'!M89</f>
        <v>2.2399999999999998</v>
      </c>
      <c r="G72" s="164">
        <f>VLOOKUP("Pago capacidad",'Data 1'!Q86:AE102,12,FALSE)</f>
        <v>3.15</v>
      </c>
      <c r="H72" s="164">
        <f>VLOOKUP("Servicio interrumpibilidad",'Data 1'!Q86:AE102,12,FALSE)</f>
        <v>1.96</v>
      </c>
      <c r="I72" s="164">
        <f t="shared" si="1"/>
        <v>67.509999999999991</v>
      </c>
      <c r="J72" s="85">
        <f>VLOOKUP("Energía final MWh",'Data 1'!Q84:AE102,12,FALSE)/1000</f>
        <v>22106.317327000001</v>
      </c>
      <c r="K72" s="187">
        <f>E72+F72+G72+H72-VLOOKUP("Coste medio final (€/MWh)",'Data 1'!Q86:AE102,12,FALSE)</f>
        <v>0</v>
      </c>
      <c r="L72" s="63"/>
      <c r="M72" s="188"/>
    </row>
    <row r="73" spans="2:32">
      <c r="B73" s="18" t="str">
        <f>MID('Data 1'!AC83,6,3)&amp; "-" &amp;MID('Data 1'!AC83,3,2)</f>
        <v>Ene-18</v>
      </c>
      <c r="C73" s="164">
        <f>VLOOKUP("Mercado Diario",'Data 1'!Q86:AE102,13,FALSE)</f>
        <v>51.78</v>
      </c>
      <c r="D73" s="164">
        <f>VLOOKUP("Mercado Intradiario",'Data 1'!Q86:AE102,13,FALSE)</f>
        <v>-0.01</v>
      </c>
      <c r="E73" s="164">
        <f t="shared" si="0"/>
        <v>51.77</v>
      </c>
      <c r="F73" s="164">
        <f>'Data 1'!N89</f>
        <v>1.9500000000000004</v>
      </c>
      <c r="G73" s="164">
        <f>VLOOKUP("Pago capacidad",'Data 1'!Q86:AE102,13,FALSE)</f>
        <v>3.3</v>
      </c>
      <c r="H73" s="164">
        <f>VLOOKUP("Servicio interrumpibilidad",'Data 1'!Q86:AE102,13,FALSE)</f>
        <v>1.38</v>
      </c>
      <c r="I73" s="164">
        <f t="shared" si="1"/>
        <v>58.400000000000006</v>
      </c>
      <c r="J73" s="85">
        <f>VLOOKUP("Energía final MWh",'Data 1'!Q84:AE102,13,FALSE)/1000</f>
        <v>22520.789851000001</v>
      </c>
      <c r="K73" s="187">
        <f>E73+F73+G73+H73-VLOOKUP("Coste medio final (€/MWh)",'Data 1'!Q86:AE102,13,FALSE)</f>
        <v>0</v>
      </c>
      <c r="L73" s="188"/>
      <c r="M73" s="188"/>
    </row>
    <row r="74" spans="2:32">
      <c r="B74" s="56" t="str">
        <f>MID('Data 1'!AD83,6,3)&amp; "-" &amp;MID('Data 1'!AD83,3,2)</f>
        <v>Feb-18</v>
      </c>
      <c r="C74" s="179">
        <f>VLOOKUP("Mercado Diario",'Data 1'!Q86:AE102,14,FALSE)</f>
        <v>55.77</v>
      </c>
      <c r="D74" s="179">
        <f>VLOOKUP("Mercado Intradiario",'Data 1'!Q86:AE102,14,FALSE)</f>
        <v>-0.01</v>
      </c>
      <c r="E74" s="179">
        <f t="shared" si="0"/>
        <v>55.760000000000005</v>
      </c>
      <c r="F74" s="179">
        <f>'Data 1'!O89</f>
        <v>1.5699999999999998</v>
      </c>
      <c r="G74" s="179">
        <f>VLOOKUP("Pago capacidad",'Data 1'!Q86:AE102,14,FALSE)</f>
        <v>3.25</v>
      </c>
      <c r="H74" s="179">
        <f>VLOOKUP("Servicio interrumpibilidad",'Data 1'!Q86:AE102,14,FALSE)</f>
        <v>1.46</v>
      </c>
      <c r="I74" s="179">
        <f t="shared" si="1"/>
        <v>62.040000000000006</v>
      </c>
      <c r="J74" s="180">
        <f>VLOOKUP("Energía final MWh",'Data 1'!Q84:AE102,14,FALSE)/1000</f>
        <v>21222.583081999997</v>
      </c>
      <c r="K74" s="187">
        <f>E74+F74+G74+H74-VLOOKUP("Coste medio final (€/MWh)",'Data 1'!Q86:AE102,14,FALSE)</f>
        <v>0</v>
      </c>
      <c r="L74" s="189">
        <f>(I74/I73-1)*100</f>
        <v>6.2328767123287721</v>
      </c>
      <c r="M74" s="189">
        <f>(I74/I62-1)*100</f>
        <v>1.3228809407153319</v>
      </c>
    </row>
    <row r="75" spans="2:32">
      <c r="B75" s="125"/>
      <c r="C75" s="125"/>
      <c r="L75" s="125"/>
    </row>
    <row r="76" spans="2:32">
      <c r="B76" s="165" t="s">
        <v>55</v>
      </c>
    </row>
    <row r="77" spans="2:32" ht="45">
      <c r="B77" s="105"/>
      <c r="C77" s="105" t="s">
        <v>1</v>
      </c>
      <c r="D77" s="105" t="s">
        <v>2</v>
      </c>
      <c r="E77" s="105" t="s">
        <v>56</v>
      </c>
      <c r="F77" s="105" t="s">
        <v>38</v>
      </c>
      <c r="G77" s="105" t="s">
        <v>39</v>
      </c>
      <c r="H77" s="105" t="s">
        <v>19</v>
      </c>
      <c r="I77" s="105" t="s">
        <v>37</v>
      </c>
      <c r="J77" s="105" t="s">
        <v>24</v>
      </c>
      <c r="K77" s="105" t="s">
        <v>44</v>
      </c>
      <c r="L77" s="105" t="s">
        <v>0</v>
      </c>
    </row>
    <row r="78" spans="2:32">
      <c r="B78" s="102" t="s">
        <v>40</v>
      </c>
      <c r="C78" s="162">
        <f>VLOOKUP("Mercado Diario",'Data 1'!Q86:AE102,14,FALSE)</f>
        <v>55.77</v>
      </c>
      <c r="D78" s="162">
        <f>VLOOKUP("Mercado Intradiario",'Data 1'!Q86:AE102,14,FALSE)</f>
        <v>-0.01</v>
      </c>
      <c r="E78" s="162">
        <f>SUM(C78:D78)</f>
        <v>55.760000000000005</v>
      </c>
      <c r="F78" s="162">
        <f>VLOOKUP("Pago capacidad",'Data 1'!Q86:AE102,14,FALSE)</f>
        <v>3.25</v>
      </c>
      <c r="G78" s="162">
        <f>VLOOKUP("Servicio interrumpibilidad",'Data 1'!Q86:AE102,14,FALSE)</f>
        <v>1.46</v>
      </c>
      <c r="H78" s="162">
        <f>SUM(I78,J78:K78)</f>
        <v>1.57</v>
      </c>
      <c r="I78" s="162">
        <f>VLOOKUP("Restricciones PBF",'Data 1'!Q86:AE102,14,FALSE)</f>
        <v>0.88</v>
      </c>
      <c r="J78" s="162">
        <f>VLOOKUP("Banda secundaria",'Data 1'!Q86:AE102,14,FALSE)</f>
        <v>0.49</v>
      </c>
      <c r="K78" s="162">
        <f>'Data 1'!O83+'Data 1'!O86+'Data 1'!O87+'Data 1'!O88+O84</f>
        <v>0.20000000000000004</v>
      </c>
      <c r="L78" s="162">
        <f>'Data 1'!AD102</f>
        <v>62.04</v>
      </c>
      <c r="M78" s="187">
        <f>L78-SUM(E78:H78)</f>
        <v>0</v>
      </c>
    </row>
    <row r="80" spans="2:32">
      <c r="B80" s="106" t="s">
        <v>21</v>
      </c>
      <c r="C80" s="126"/>
      <c r="D80" s="126"/>
      <c r="E80" s="126"/>
      <c r="F80" s="127"/>
      <c r="G80" s="127"/>
      <c r="H80" s="127"/>
      <c r="I80" s="127"/>
      <c r="J80" s="127"/>
      <c r="K80" s="127"/>
      <c r="L80" s="127"/>
      <c r="M80" s="127"/>
      <c r="N80" s="127"/>
      <c r="O80" s="127"/>
      <c r="P80" s="125"/>
      <c r="Q80" s="125"/>
      <c r="R80" s="125" t="s">
        <v>6</v>
      </c>
      <c r="S80" s="125" t="s">
        <v>7</v>
      </c>
      <c r="T80" s="125" t="s">
        <v>8</v>
      </c>
      <c r="U80" s="125" t="s">
        <v>7</v>
      </c>
      <c r="V80" s="125" t="s">
        <v>9</v>
      </c>
      <c r="W80" s="125" t="s">
        <v>9</v>
      </c>
      <c r="X80" s="125" t="s">
        <v>8</v>
      </c>
      <c r="Y80" s="125" t="s">
        <v>10</v>
      </c>
      <c r="Z80" s="125" t="s">
        <v>11</v>
      </c>
      <c r="AA80" s="125" t="s">
        <v>12</v>
      </c>
      <c r="AB80" s="125" t="s">
        <v>13</v>
      </c>
      <c r="AC80" s="125" t="s">
        <v>5</v>
      </c>
      <c r="AD80" s="125" t="s">
        <v>6</v>
      </c>
      <c r="AE80" s="125"/>
      <c r="AF80" s="125"/>
    </row>
    <row r="81" spans="2:32">
      <c r="B81" s="108"/>
      <c r="C81" s="128" t="str">
        <f t="shared" ref="C81:O81" si="2">MID(R83,6,1)</f>
        <v>F</v>
      </c>
      <c r="D81" s="128" t="str">
        <f t="shared" si="2"/>
        <v>M</v>
      </c>
      <c r="E81" s="128" t="str">
        <f t="shared" si="2"/>
        <v>A</v>
      </c>
      <c r="F81" s="128" t="str">
        <f t="shared" si="2"/>
        <v>M</v>
      </c>
      <c r="G81" s="128" t="str">
        <f t="shared" si="2"/>
        <v>J</v>
      </c>
      <c r="H81" s="128" t="str">
        <f t="shared" si="2"/>
        <v>J</v>
      </c>
      <c r="I81" s="128" t="str">
        <f t="shared" si="2"/>
        <v>A</v>
      </c>
      <c r="J81" s="128" t="str">
        <f t="shared" si="2"/>
        <v>S</v>
      </c>
      <c r="K81" s="128" t="str">
        <f t="shared" si="2"/>
        <v>O</v>
      </c>
      <c r="L81" s="128" t="str">
        <f t="shared" si="2"/>
        <v>N</v>
      </c>
      <c r="M81" s="128" t="str">
        <f t="shared" si="2"/>
        <v>D</v>
      </c>
      <c r="N81" s="128" t="str">
        <f t="shared" si="2"/>
        <v>E</v>
      </c>
      <c r="O81" s="128" t="str">
        <f t="shared" si="2"/>
        <v>F</v>
      </c>
      <c r="P81" s="125"/>
      <c r="Q81" s="109" t="s">
        <v>31</v>
      </c>
      <c r="R81" s="109" t="s">
        <v>99</v>
      </c>
      <c r="S81" s="109" t="s">
        <v>99</v>
      </c>
      <c r="T81" s="109" t="s">
        <v>99</v>
      </c>
      <c r="U81" s="109" t="s">
        <v>99</v>
      </c>
      <c r="V81" s="109" t="s">
        <v>99</v>
      </c>
      <c r="W81" s="109" t="s">
        <v>99</v>
      </c>
      <c r="X81" s="109" t="s">
        <v>99</v>
      </c>
      <c r="Y81" s="109" t="s">
        <v>99</v>
      </c>
      <c r="Z81" s="109" t="s">
        <v>99</v>
      </c>
      <c r="AA81" s="109" t="s">
        <v>99</v>
      </c>
      <c r="AB81" s="109" t="s">
        <v>99</v>
      </c>
      <c r="AC81" s="109" t="s">
        <v>99</v>
      </c>
      <c r="AD81" s="109" t="s">
        <v>99</v>
      </c>
      <c r="AE81" s="129"/>
      <c r="AF81" s="125"/>
    </row>
    <row r="82" spans="2:32">
      <c r="B82" s="109" t="s">
        <v>23</v>
      </c>
      <c r="C82" s="130">
        <f>VLOOKUP("Restricciones PBF",$Q$86:$AE$102,2,FALSE)</f>
        <v>1.82</v>
      </c>
      <c r="D82" s="130">
        <f>VLOOKUP("Restricciones PBF",$Q$86:$AE$102,3,FALSE)</f>
        <v>2.2200000000000002</v>
      </c>
      <c r="E82" s="130">
        <f>VLOOKUP("Restricciones PBF",$Q$86:$AE$102,4,FALSE)</f>
        <v>2.4</v>
      </c>
      <c r="F82" s="130">
        <f>VLOOKUP("Restricciones PBF",$Q$86:$AE$102,5,FALSE)</f>
        <v>1.45</v>
      </c>
      <c r="G82" s="130">
        <f>VLOOKUP("Restricciones PBF",$Q$86:$AE$102,6,FALSE)</f>
        <v>0.69</v>
      </c>
      <c r="H82" s="130">
        <f>VLOOKUP("Restricciones PBF",$Q$86:$AE$102,7,FALSE)</f>
        <v>1.1399999999999999</v>
      </c>
      <c r="I82" s="130">
        <f>VLOOKUP("Restricciones PBF",$Q$86:$AE$102,8,FALSE)</f>
        <v>1.86</v>
      </c>
      <c r="J82" s="130">
        <f>VLOOKUP("Restricciones PBF",$Q$86:$AE$102,9,FALSE)</f>
        <v>1.55</v>
      </c>
      <c r="K82" s="130">
        <f>VLOOKUP("Restricciones PBF",$Q$86:$AE$102,10,FALSE)</f>
        <v>1.1399999999999999</v>
      </c>
      <c r="L82" s="130">
        <f>VLOOKUP("Restricciones PBF",$Q$86:$AE$102,11,FALSE)</f>
        <v>0.76</v>
      </c>
      <c r="M82" s="130">
        <f>VLOOKUP("Restricciones PBF",$Q$86:$AE$102,12,FALSE)</f>
        <v>1.06</v>
      </c>
      <c r="N82" s="130">
        <f>VLOOKUP("Restricciones PBF",$Q$86:$AE$102,13,FALSE)</f>
        <v>1.07</v>
      </c>
      <c r="O82" s="130">
        <f>VLOOKUP("Restricciones PBF",$Q$86:$AE$102,14,FALSE)</f>
        <v>0.88</v>
      </c>
      <c r="P82" s="125"/>
      <c r="Q82" s="109" t="s">
        <v>100</v>
      </c>
      <c r="R82" s="109">
        <v>201702</v>
      </c>
      <c r="S82" s="109">
        <v>201703</v>
      </c>
      <c r="T82" s="109">
        <v>201704</v>
      </c>
      <c r="U82" s="109">
        <v>201705</v>
      </c>
      <c r="V82" s="109">
        <v>201706</v>
      </c>
      <c r="W82" s="109">
        <v>201707</v>
      </c>
      <c r="X82" s="109">
        <v>201708</v>
      </c>
      <c r="Y82" s="109">
        <v>201709</v>
      </c>
      <c r="Z82" s="109">
        <v>201710</v>
      </c>
      <c r="AA82" s="109">
        <v>201711</v>
      </c>
      <c r="AB82" s="109">
        <v>201712</v>
      </c>
      <c r="AC82" s="109">
        <v>201801</v>
      </c>
      <c r="AD82" s="109">
        <v>201802</v>
      </c>
      <c r="AE82" s="129"/>
      <c r="AF82" s="125"/>
    </row>
    <row r="83" spans="2:32">
      <c r="B83" s="109" t="s">
        <v>28</v>
      </c>
      <c r="C83" s="130">
        <f>VLOOKUP("Restricciones TR",$Q$86:$AE$102,2,FALSE)</f>
        <v>0.24</v>
      </c>
      <c r="D83" s="130">
        <f>VLOOKUP("Restricciones TR",$Q$86:$AE$102,3,FALSE)</f>
        <v>0.14000000000000001</v>
      </c>
      <c r="E83" s="130">
        <f>VLOOKUP("Restricciones TR",$Q$86:$AE$102,4,FALSE)</f>
        <v>0.09</v>
      </c>
      <c r="F83" s="130">
        <f>VLOOKUP("Restricciones TR",$Q$86:$AE$102,5,FALSE)</f>
        <v>0.03</v>
      </c>
      <c r="G83" s="130">
        <f>VLOOKUP("Restricciones TR",$Q$86:$AE$102,6,FALSE)</f>
        <v>0.02</v>
      </c>
      <c r="H83" s="130">
        <f>VLOOKUP("Restricciones TR",$Q$86:$AE$102,7,FALSE)</f>
        <v>0.05</v>
      </c>
      <c r="I83" s="130">
        <f>VLOOKUP("Restricciones TR",$Q$86:$AE$102,8,FALSE)</f>
        <v>0.05</v>
      </c>
      <c r="J83" s="130">
        <f>VLOOKUP("Restricciones TR",$Q$86:$AE$102,9,FALSE)</f>
        <v>0.05</v>
      </c>
      <c r="K83" s="130">
        <f>VLOOKUP("Restricciones TR",$Q$86:$AE$102,10,FALSE)</f>
        <v>0.12</v>
      </c>
      <c r="L83" s="130">
        <f>VLOOKUP("Restricciones TR",$Q$86:$AE$102,11,FALSE)</f>
        <v>0.08</v>
      </c>
      <c r="M83" s="130">
        <f>VLOOKUP("Restricciones TR",$Q$86:$AE$102,12,FALSE)</f>
        <v>0.05</v>
      </c>
      <c r="N83" s="130">
        <f>VLOOKUP("Restricciones TR",$Q$86:$AE$102,13,FALSE)</f>
        <v>0.05</v>
      </c>
      <c r="O83" s="130">
        <f>VLOOKUP("Restricciones TR",$Q$86:$AE$102,14,FALSE)</f>
        <v>0.05</v>
      </c>
      <c r="P83" s="125"/>
      <c r="Q83" s="109" t="s">
        <v>101</v>
      </c>
      <c r="R83" s="109" t="s">
        <v>200</v>
      </c>
      <c r="S83" s="109" t="s">
        <v>201</v>
      </c>
      <c r="T83" s="109" t="s">
        <v>202</v>
      </c>
      <c r="U83" s="109" t="s">
        <v>203</v>
      </c>
      <c r="V83" s="109" t="s">
        <v>204</v>
      </c>
      <c r="W83" s="109" t="s">
        <v>205</v>
      </c>
      <c r="X83" s="109" t="s">
        <v>206</v>
      </c>
      <c r="Y83" s="109" t="s">
        <v>207</v>
      </c>
      <c r="Z83" s="109" t="s">
        <v>208</v>
      </c>
      <c r="AA83" s="109" t="s">
        <v>209</v>
      </c>
      <c r="AB83" s="109" t="s">
        <v>210</v>
      </c>
      <c r="AC83" s="109" t="s">
        <v>211</v>
      </c>
      <c r="AD83" s="109" t="s">
        <v>212</v>
      </c>
      <c r="AE83" s="129"/>
      <c r="AF83" s="125"/>
    </row>
    <row r="84" spans="2:32">
      <c r="B84" s="109" t="s">
        <v>27</v>
      </c>
      <c r="C84" s="130">
        <f>VLOOKUP("Reserva subir",$Q$86:$AE$102,2,FALSE)</f>
        <v>0.02</v>
      </c>
      <c r="D84" s="130">
        <f>VLOOKUP("Reserva subir",$Q$86:$AE$102,3,FALSE)</f>
        <v>7.0000000000000007E-2</v>
      </c>
      <c r="E84" s="130">
        <f>VLOOKUP("Reserva subir",$Q$86:$AE$102,4,FALSE)</f>
        <v>0.01</v>
      </c>
      <c r="F84" s="130">
        <f>VLOOKUP("Reserva subir",$Q$86:$AE$102,5,FALSE)</f>
        <v>0</v>
      </c>
      <c r="G84" s="130">
        <f>VLOOKUP("Reserva subir",$Q$86:$AE$102,6,FALSE)</f>
        <v>0.01</v>
      </c>
      <c r="H84" s="130">
        <f>VLOOKUP("Reserva subir",$Q$86:$AE$102,7,FALSE)</f>
        <v>0</v>
      </c>
      <c r="I84" s="130">
        <f>VLOOKUP("Reserva subir",$Q$86:$AE$102,8,FALSE)</f>
        <v>0.02</v>
      </c>
      <c r="J84" s="130">
        <f>VLOOKUP("Reserva subir",$Q$86:$AE$102,9,FALSE)</f>
        <v>0.03</v>
      </c>
      <c r="K84" s="130">
        <f>VLOOKUP("Reserva subir",$Q$86:$AE$102,10,FALSE)</f>
        <v>0.66</v>
      </c>
      <c r="L84" s="130">
        <f>VLOOKUP("Reserva subir",$Q$86:$AE$102,11,FALSE)</f>
        <v>0.17</v>
      </c>
      <c r="M84" s="130">
        <f>VLOOKUP("Reserva subir",$Q$86:$AE$102,12,FALSE)</f>
        <v>0.03</v>
      </c>
      <c r="N84" s="130">
        <f>VLOOKUP("Reserva subir",$Q$86:$AE$102,13,FALSE)</f>
        <v>0.02</v>
      </c>
      <c r="O84" s="130">
        <f>VLOOKUP("Reserva subir",$Q$86:$AE$102,14,FALSE)</f>
        <v>0.06</v>
      </c>
      <c r="P84" s="125"/>
      <c r="Q84" s="109" t="s">
        <v>102</v>
      </c>
      <c r="R84" s="130"/>
      <c r="S84" s="130"/>
      <c r="T84" s="130"/>
      <c r="U84" s="130"/>
      <c r="V84" s="130"/>
      <c r="W84" s="130"/>
      <c r="X84" s="130"/>
      <c r="Y84" s="130"/>
      <c r="Z84" s="130"/>
      <c r="AA84" s="130"/>
      <c r="AB84" s="130"/>
      <c r="AC84" s="130"/>
      <c r="AD84" s="130"/>
      <c r="AE84" s="131"/>
      <c r="AF84" s="125"/>
    </row>
    <row r="85" spans="2:32">
      <c r="B85" s="109" t="s">
        <v>14</v>
      </c>
      <c r="C85" s="130">
        <f>VLOOKUP("Banda Secundaria",$Q$86:$AE$102,2,FALSE)</f>
        <v>0.65</v>
      </c>
      <c r="D85" s="130">
        <f>VLOOKUP("Banda Secundaria",$Q$86:$AE$102,3,FALSE)</f>
        <v>0.52</v>
      </c>
      <c r="E85" s="130">
        <f>VLOOKUP("Banda Secundaria",$Q$86:$AE$102,4,FALSE)</f>
        <v>0.69</v>
      </c>
      <c r="F85" s="130">
        <f>VLOOKUP("Banda Secundaria",$Q$86:$AE$102,5,FALSE)</f>
        <v>0.65</v>
      </c>
      <c r="G85" s="130">
        <f>VLOOKUP("Banda Secundaria",$Q$86:$AE$102,6,FALSE)</f>
        <v>0.5</v>
      </c>
      <c r="H85" s="130">
        <f>VLOOKUP("Banda Secundaria",$Q$86:$AE$102,7,FALSE)</f>
        <v>0.43</v>
      </c>
      <c r="I85" s="130">
        <f>VLOOKUP("Banda Secundaria",$Q$86:$AE$102,8,FALSE)</f>
        <v>0.46</v>
      </c>
      <c r="J85" s="130">
        <f>VLOOKUP("Banda Secundaria",$Q$86:$AE$102,9,FALSE)</f>
        <v>0.47</v>
      </c>
      <c r="K85" s="130">
        <f>VLOOKUP("Banda Secundaria",$Q$86:$AE$102,10,FALSE)</f>
        <v>0.82</v>
      </c>
      <c r="L85" s="130">
        <f>VLOOKUP("Banda Secundaria",$Q$86:$AE$102,11,FALSE)</f>
        <v>0.61</v>
      </c>
      <c r="M85" s="130">
        <f>VLOOKUP("Banda Secundaria",$Q$86:$AE$102,12,FALSE)</f>
        <v>0.95</v>
      </c>
      <c r="N85" s="130">
        <f>VLOOKUP("Banda Secundaria",$Q$86:$AE$102,13,FALSE)</f>
        <v>0.7</v>
      </c>
      <c r="O85" s="130">
        <f>VLOOKUP("Banda Secundaria",$Q$86:$AE$102,14,FALSE)</f>
        <v>0.49</v>
      </c>
      <c r="P85" s="125"/>
      <c r="Q85" s="109" t="s">
        <v>103</v>
      </c>
      <c r="R85" s="130">
        <v>19942324.664999999</v>
      </c>
      <c r="S85" s="130">
        <v>21063493.094999999</v>
      </c>
      <c r="T85" s="130">
        <v>18914128.116</v>
      </c>
      <c r="U85" s="130">
        <v>20167805.75</v>
      </c>
      <c r="V85" s="130">
        <v>21663518.438000001</v>
      </c>
      <c r="W85" s="130">
        <v>22392858.405999999</v>
      </c>
      <c r="X85" s="130">
        <v>21750224.324999999</v>
      </c>
      <c r="Y85" s="130">
        <v>20122245.394000001</v>
      </c>
      <c r="Z85" s="130">
        <v>20087682.897999998</v>
      </c>
      <c r="AA85" s="130">
        <v>20810624.579</v>
      </c>
      <c r="AB85" s="130">
        <v>22106317.327</v>
      </c>
      <c r="AC85" s="130">
        <v>22520789.851</v>
      </c>
      <c r="AD85" s="130">
        <v>21222583.081999999</v>
      </c>
      <c r="AE85" s="132"/>
      <c r="AF85" s="125"/>
    </row>
    <row r="86" spans="2:32">
      <c r="B86" s="109" t="s">
        <v>57</v>
      </c>
      <c r="C86" s="130">
        <f>VLOOKUP("Coste desvíos",$Q$86:$AE$102,2,FALSE)+VLOOKUP("Saldo PO 14.6",$Q$86:$AE$102,2,FALSE)</f>
        <v>0.37</v>
      </c>
      <c r="D86" s="130">
        <f>VLOOKUP("Coste desvíos",$Q$86:$AE$102,3,FALSE)+VLOOKUP("Saldo PO 14.6",$Q$86:$AE$102,3,FALSE)</f>
        <v>0.34</v>
      </c>
      <c r="E86" s="130">
        <f>VLOOKUP("Coste desvíos",$Q$86:$AE$102,4,FALSE)+VLOOKUP("Saldo PO 14.6",$Q$86:$AE$102,4,FALSE)</f>
        <v>0.27</v>
      </c>
      <c r="F86" s="130">
        <f>VLOOKUP("Coste desvíos",$Q$86:$AE$102,5,FALSE)+VLOOKUP("Saldo PO 14.6",$Q$86:$AE$102,5,FALSE)</f>
        <v>0.15000000000000002</v>
      </c>
      <c r="G86" s="130">
        <f>VLOOKUP("Coste desvíos",$Q$86:$AE$102,6,FALSE)+VLOOKUP("Saldo PO 14.6",$Q$86:$AE$102,6,FALSE)</f>
        <v>0.18000000000000002</v>
      </c>
      <c r="H86" s="130">
        <f>VLOOKUP("Coste desvíos",$Q$86:$AE$102,7,FALSE)+VLOOKUP("Saldo PO 14.6",$Q$86:$AE$102,7,FALSE)</f>
        <v>0.17</v>
      </c>
      <c r="I86" s="130">
        <f>VLOOKUP("Coste desvíos",$Q$86:$AE$102,8,FALSE)+VLOOKUP("Saldo PO 14.6",$Q$86:$AE$102,8,FALSE)</f>
        <v>0.24000000000000002</v>
      </c>
      <c r="J86" s="130">
        <f>VLOOKUP("Coste desvíos",$Q$86:$AE$102,9,FALSE)+VLOOKUP("Saldo PO 14.6",$Q$86:$AE$102,9,FALSE)</f>
        <v>0.24000000000000002</v>
      </c>
      <c r="K86" s="130">
        <f>VLOOKUP("Coste desvíos",$Q$86:$AE$102,10,FALSE)+VLOOKUP("Saldo PO 14.6",$Q$86:$AE$102,10,FALSE)</f>
        <v>0.27</v>
      </c>
      <c r="L86" s="130">
        <f>VLOOKUP("Coste desvíos",$Q$86:$AE$102,11,FALSE)+VLOOKUP("Saldo PO 14.6",$Q$86:$AE$102,11,FALSE)</f>
        <v>0.16</v>
      </c>
      <c r="M86" s="130">
        <f>VLOOKUP("Coste desvíos",$Q$86:$AE$102,12,FALSE)+VLOOKUP("Saldo PO 14.6",$Q$86:$AE$102,12,FALSE)</f>
        <v>0.3</v>
      </c>
      <c r="N86" s="130">
        <f>VLOOKUP("Coste desvíos",$Q$86:$AE$102,13,FALSE)+VLOOKUP("Saldo PO 14.6",$Q$86:$AE$102,13,FALSE)</f>
        <v>0.27</v>
      </c>
      <c r="O86" s="130">
        <f>VLOOKUP("Coste desvíos",$Q$86:$AE$102,14,FALSE)+VLOOKUP("Saldo PO 14.6",$Q$86:$AE$102,14,FALSE)</f>
        <v>0.17</v>
      </c>
      <c r="P86" s="125"/>
      <c r="Q86" s="109" t="s">
        <v>104</v>
      </c>
      <c r="R86" s="130">
        <v>100</v>
      </c>
      <c r="S86" s="130">
        <v>100</v>
      </c>
      <c r="T86" s="130">
        <v>100</v>
      </c>
      <c r="U86" s="130">
        <v>100</v>
      </c>
      <c r="V86" s="130">
        <v>100</v>
      </c>
      <c r="W86" s="130">
        <v>100</v>
      </c>
      <c r="X86" s="130">
        <v>100</v>
      </c>
      <c r="Y86" s="130">
        <v>100</v>
      </c>
      <c r="Z86" s="130">
        <v>100</v>
      </c>
      <c r="AA86" s="130">
        <v>100</v>
      </c>
      <c r="AB86" s="130">
        <v>100</v>
      </c>
      <c r="AC86" s="130">
        <v>100</v>
      </c>
      <c r="AD86" s="130">
        <v>100</v>
      </c>
      <c r="AE86" s="133"/>
      <c r="AF86" s="125"/>
    </row>
    <row r="87" spans="2:32">
      <c r="B87" s="109" t="s">
        <v>18</v>
      </c>
      <c r="C87" s="130">
        <f>VLOOKUP("Saldo desvíos",$Q$86:$AE$102,2,FALSE)+VLOOKUP("Incumplimiento energía balance",$Q$86:$AE$102,2,FALSE)</f>
        <v>-0.19</v>
      </c>
      <c r="D87" s="130">
        <f>VLOOKUP("Saldo desvíos",$Q$86:$AE$102,3,FALSE)+VLOOKUP("Incumplimiento energía balance",$Q$86:$AE$102,3,FALSE)</f>
        <v>-0.1</v>
      </c>
      <c r="E87" s="130">
        <f>VLOOKUP("Saldo desvíos",$Q$86:$AE$102,4,FALSE)+VLOOKUP("Incumplimiento energía balance",$Q$86:$AE$102,4,FALSE)</f>
        <v>-0.13</v>
      </c>
      <c r="F87" s="130">
        <f>VLOOKUP("Saldo desvíos",$Q$86:$AE$102,5,FALSE)+VLOOKUP("Incumplimiento energía balance",$Q$86:$AE$102,5,FALSE)</f>
        <v>-0.1</v>
      </c>
      <c r="G87" s="130">
        <f>VLOOKUP("Saldo desvíos",$Q$86:$AE$102,6,FALSE)+VLOOKUP("Incumplimiento energía balance",$Q$86:$AE$102,6,FALSE)</f>
        <v>-0.1</v>
      </c>
      <c r="H87" s="130">
        <f>VLOOKUP("Saldo desvíos",$Q$86:$AE$102,7,FALSE)+VLOOKUP("Incumplimiento energía balance",$Q$86:$AE$102,7,FALSE)</f>
        <v>-0.09</v>
      </c>
      <c r="I87" s="130">
        <f>VLOOKUP("Saldo desvíos",$Q$86:$AE$102,8,FALSE)+VLOOKUP("Incumplimiento energía balance",$Q$86:$AE$102,8,FALSE)</f>
        <v>-9.0000000000000011E-2</v>
      </c>
      <c r="J87" s="130">
        <f>VLOOKUP("Saldo desvíos",$Q$86:$AE$102,9,FALSE)+VLOOKUP("Incumplimiento energía balance",$Q$86:$AE$102,9,FALSE)</f>
        <v>-9.0000000000000011E-2</v>
      </c>
      <c r="K87" s="130">
        <f>VLOOKUP("Saldo desvíos",$Q$86:$AE$102,10,FALSE)+VLOOKUP("Incumplimiento energía balance",$Q$86:$AE$102,10,FALSE)</f>
        <v>-0.17</v>
      </c>
      <c r="L87" s="130">
        <f>VLOOKUP("Saldo desvíos",$Q$86:$AE$102,11,FALSE)+VLOOKUP("Incumplimiento energía balance",$Q$86:$AE$102,11,FALSE)</f>
        <v>-6.0000000000000005E-2</v>
      </c>
      <c r="M87" s="130">
        <f>VLOOKUP("Saldo desvíos",$Q$86:$AE$102,12,FALSE)+VLOOKUP("Incumplimiento energía balance",$Q$86:$AE$102,12,FALSE)</f>
        <v>-7.0000000000000007E-2</v>
      </c>
      <c r="N87" s="130">
        <f>VLOOKUP("Saldo desvíos",$Q$86:$AE$102,13,FALSE)+VLOOKUP("Incumplimiento energía balance",$Q$86:$AE$102,13,FALSE)</f>
        <v>-0.09</v>
      </c>
      <c r="O87" s="130">
        <f>VLOOKUP("Saldo desvíos",$Q$86:$AE$102,14,FALSE)+VLOOKUP("Incumplimiento energía balance",$Q$86:$AE$102,14,FALSE)</f>
        <v>-1.9999999999999997E-2</v>
      </c>
      <c r="P87" s="125"/>
      <c r="Q87" s="109" t="s">
        <v>105</v>
      </c>
      <c r="R87" s="130">
        <v>53.04</v>
      </c>
      <c r="S87" s="130">
        <v>43.93</v>
      </c>
      <c r="T87" s="130">
        <v>44.2</v>
      </c>
      <c r="U87" s="130">
        <v>47.6</v>
      </c>
      <c r="V87" s="130">
        <v>50.77</v>
      </c>
      <c r="W87" s="130">
        <v>49.14</v>
      </c>
      <c r="X87" s="130">
        <v>48.04</v>
      </c>
      <c r="Y87" s="130">
        <v>49.55</v>
      </c>
      <c r="Z87" s="130">
        <v>57.62</v>
      </c>
      <c r="AA87" s="130">
        <v>60.52</v>
      </c>
      <c r="AB87" s="130">
        <v>60.16</v>
      </c>
      <c r="AC87" s="130">
        <v>51.78</v>
      </c>
      <c r="AD87" s="130">
        <v>55.77</v>
      </c>
      <c r="AE87" s="133"/>
      <c r="AF87" s="125"/>
    </row>
    <row r="88" spans="2:32">
      <c r="B88" s="111" t="s">
        <v>25</v>
      </c>
      <c r="C88" s="134">
        <f>VLOOKUP("Control del factor de potencia",$Q$86:$AE$102,2,FALSE)</f>
        <v>-7.0000000000000007E-2</v>
      </c>
      <c r="D88" s="134">
        <f>VLOOKUP("Control del factor de potencia",$Q$86:$AE$102,3,FALSE)</f>
        <v>-0.06</v>
      </c>
      <c r="E88" s="134">
        <f>VLOOKUP("Control del factor de potencia",$Q$86:$AE$102,4,FALSE)</f>
        <v>-0.06</v>
      </c>
      <c r="F88" s="134">
        <f>VLOOKUP("Control del factor de potencia",$Q$86:$AE$102,5,FALSE)</f>
        <v>-0.05</v>
      </c>
      <c r="G88" s="134">
        <f>VLOOKUP("Control del factor de potencia",$Q$86:$AE$102,6,FALSE)</f>
        <v>-0.05</v>
      </c>
      <c r="H88" s="134">
        <f>VLOOKUP("Control del factor de potencia",$Q$86:$AE$102,7,FALSE)</f>
        <v>-0.05</v>
      </c>
      <c r="I88" s="134">
        <f>VLOOKUP("Control del factor de potencia",$Q$86:$AE$102,8,FALSE)</f>
        <v>-0.05</v>
      </c>
      <c r="J88" s="134">
        <f>VLOOKUP("Control del factor de potencia",$Q$86:$AE$102,9,FALSE)</f>
        <v>-0.05</v>
      </c>
      <c r="K88" s="134">
        <f>VLOOKUP("Control del factor de potencia",$Q$86:$AE$102,10,FALSE)</f>
        <v>-0.06</v>
      </c>
      <c r="L88" s="134">
        <f>VLOOKUP("Control del factor de potencia",$Q$86:$AE$102,11,FALSE)</f>
        <v>-0.06</v>
      </c>
      <c r="M88" s="134">
        <f>VLOOKUP("Control del factor de potencia",$Q$86:$AE$102,12,FALSE)</f>
        <v>-0.08</v>
      </c>
      <c r="N88" s="134">
        <f>VLOOKUP("Control del factor de potencia",$Q$86:$AE$102,13,FALSE)</f>
        <v>-7.0000000000000007E-2</v>
      </c>
      <c r="O88" s="134">
        <f>VLOOKUP("Control del factor de potencia",$Q$86:$AE$102,14,FALSE)</f>
        <v>-0.06</v>
      </c>
      <c r="P88" s="125"/>
      <c r="Q88" s="109" t="s">
        <v>106</v>
      </c>
      <c r="R88" s="130">
        <v>1.82</v>
      </c>
      <c r="S88" s="130">
        <v>2.2200000000000002</v>
      </c>
      <c r="T88" s="130">
        <v>2.4</v>
      </c>
      <c r="U88" s="130">
        <v>1.45</v>
      </c>
      <c r="V88" s="130">
        <v>0.69</v>
      </c>
      <c r="W88" s="130">
        <v>1.1399999999999999</v>
      </c>
      <c r="X88" s="130">
        <v>1.86</v>
      </c>
      <c r="Y88" s="130">
        <v>1.55</v>
      </c>
      <c r="Z88" s="130">
        <v>1.1399999999999999</v>
      </c>
      <c r="AA88" s="130">
        <v>0.76</v>
      </c>
      <c r="AB88" s="130">
        <v>1.06</v>
      </c>
      <c r="AC88" s="130">
        <v>1.07</v>
      </c>
      <c r="AD88" s="130">
        <v>0.88</v>
      </c>
      <c r="AE88" s="133"/>
      <c r="AF88" s="125"/>
    </row>
    <row r="89" spans="2:32">
      <c r="B89" s="125"/>
      <c r="C89" s="181">
        <f t="shared" ref="C89:O89" si="3">SUM(C82:C88)</f>
        <v>2.8400000000000003</v>
      </c>
      <c r="D89" s="181">
        <f t="shared" si="3"/>
        <v>3.13</v>
      </c>
      <c r="E89" s="181">
        <f t="shared" si="3"/>
        <v>3.2699999999999996</v>
      </c>
      <c r="F89" s="181">
        <f t="shared" si="3"/>
        <v>2.13</v>
      </c>
      <c r="G89" s="181">
        <f t="shared" si="3"/>
        <v>1.2499999999999998</v>
      </c>
      <c r="H89" s="181">
        <f t="shared" si="3"/>
        <v>1.6499999999999997</v>
      </c>
      <c r="I89" s="181">
        <f t="shared" si="3"/>
        <v>2.4900000000000007</v>
      </c>
      <c r="J89" s="181">
        <f t="shared" si="3"/>
        <v>2.2000000000000006</v>
      </c>
      <c r="K89" s="181">
        <f t="shared" si="3"/>
        <v>2.78</v>
      </c>
      <c r="L89" s="181">
        <f t="shared" si="3"/>
        <v>1.66</v>
      </c>
      <c r="M89" s="181">
        <f t="shared" si="3"/>
        <v>2.2399999999999998</v>
      </c>
      <c r="N89" s="181">
        <f t="shared" si="3"/>
        <v>1.9500000000000004</v>
      </c>
      <c r="O89" s="181">
        <f t="shared" si="3"/>
        <v>1.5699999999999998</v>
      </c>
      <c r="P89" s="125"/>
      <c r="Q89" s="109" t="s">
        <v>107</v>
      </c>
      <c r="R89" s="130">
        <v>0.24</v>
      </c>
      <c r="S89" s="130">
        <v>0.14000000000000001</v>
      </c>
      <c r="T89" s="130">
        <v>0.09</v>
      </c>
      <c r="U89" s="130">
        <v>0.03</v>
      </c>
      <c r="V89" s="130">
        <v>0.02</v>
      </c>
      <c r="W89" s="130">
        <v>0.05</v>
      </c>
      <c r="X89" s="130">
        <v>0.05</v>
      </c>
      <c r="Y89" s="130">
        <v>0.05</v>
      </c>
      <c r="Z89" s="130">
        <v>0.12</v>
      </c>
      <c r="AA89" s="130">
        <v>0.08</v>
      </c>
      <c r="AB89" s="130">
        <v>0.05</v>
      </c>
      <c r="AC89" s="130">
        <v>0.05</v>
      </c>
      <c r="AD89" s="130">
        <v>0.05</v>
      </c>
      <c r="AE89" s="133"/>
      <c r="AF89" s="125"/>
    </row>
    <row r="90" spans="2:32">
      <c r="B90" s="125"/>
      <c r="C90" s="125"/>
      <c r="D90" s="125"/>
      <c r="E90" s="125"/>
      <c r="F90" s="125"/>
      <c r="G90" s="125"/>
      <c r="H90" s="125"/>
      <c r="I90" s="125"/>
      <c r="J90" s="125"/>
      <c r="K90" s="125"/>
      <c r="L90" s="125"/>
      <c r="M90" s="125"/>
      <c r="N90" s="125"/>
      <c r="O90" s="125"/>
      <c r="P90" s="125"/>
      <c r="Q90" s="109" t="s">
        <v>108</v>
      </c>
      <c r="R90" s="130">
        <v>0.01</v>
      </c>
      <c r="S90" s="130">
        <v>0.01</v>
      </c>
      <c r="T90" s="130">
        <v>0</v>
      </c>
      <c r="U90" s="130">
        <v>0</v>
      </c>
      <c r="V90" s="130">
        <v>0</v>
      </c>
      <c r="W90" s="130">
        <v>-0.01</v>
      </c>
      <c r="X90" s="130">
        <v>-0.01</v>
      </c>
      <c r="Y90" s="130">
        <v>-0.03</v>
      </c>
      <c r="Z90" s="130">
        <v>-0.03</v>
      </c>
      <c r="AA90" s="130">
        <v>0.02</v>
      </c>
      <c r="AB90" s="130">
        <v>0</v>
      </c>
      <c r="AC90" s="130">
        <v>-0.01</v>
      </c>
      <c r="AD90" s="130">
        <v>-0.01</v>
      </c>
      <c r="AE90" s="133"/>
      <c r="AF90" s="125"/>
    </row>
    <row r="91" spans="2:32">
      <c r="B91" s="125"/>
      <c r="C91" s="135"/>
      <c r="D91" s="135"/>
      <c r="E91" s="135"/>
      <c r="F91" s="135"/>
      <c r="G91" s="135"/>
      <c r="H91" s="135"/>
      <c r="I91" s="135"/>
      <c r="J91" s="135"/>
      <c r="K91" s="135"/>
      <c r="L91" s="135"/>
      <c r="M91" s="109" t="s">
        <v>82</v>
      </c>
      <c r="N91" s="109"/>
      <c r="O91" s="172">
        <f>(O89-C89)/C89</f>
        <v>-0.44718309859154942</v>
      </c>
      <c r="P91" s="125"/>
      <c r="Q91" s="109" t="s">
        <v>109</v>
      </c>
      <c r="R91" s="130">
        <v>0</v>
      </c>
      <c r="S91" s="130">
        <v>0</v>
      </c>
      <c r="T91" s="130">
        <v>0</v>
      </c>
      <c r="U91" s="130">
        <v>0</v>
      </c>
      <c r="V91" s="130">
        <v>0</v>
      </c>
      <c r="W91" s="130">
        <v>0</v>
      </c>
      <c r="X91" s="130">
        <v>0</v>
      </c>
      <c r="Y91" s="130">
        <v>0</v>
      </c>
      <c r="Z91" s="130">
        <v>0</v>
      </c>
      <c r="AA91" s="130">
        <v>0</v>
      </c>
      <c r="AB91" s="130">
        <v>0</v>
      </c>
      <c r="AC91" s="130">
        <v>0</v>
      </c>
      <c r="AD91" s="130">
        <v>0</v>
      </c>
      <c r="AE91" s="133"/>
      <c r="AF91" s="125"/>
    </row>
    <row r="92" spans="2:32">
      <c r="B92" s="125"/>
      <c r="C92" s="135"/>
      <c r="D92" s="135"/>
      <c r="E92" s="135"/>
      <c r="F92" s="135"/>
      <c r="G92" s="135"/>
      <c r="H92" s="135"/>
      <c r="I92" s="135"/>
      <c r="J92" s="135"/>
      <c r="K92" s="135"/>
      <c r="L92" s="135"/>
      <c r="M92" s="109" t="s">
        <v>83</v>
      </c>
      <c r="N92" s="109"/>
      <c r="O92" s="116"/>
      <c r="P92" s="125"/>
      <c r="Q92" s="109" t="s">
        <v>110</v>
      </c>
      <c r="R92" s="130">
        <v>0.02</v>
      </c>
      <c r="S92" s="130">
        <v>7.0000000000000007E-2</v>
      </c>
      <c r="T92" s="130">
        <v>0.01</v>
      </c>
      <c r="U92" s="130">
        <v>0</v>
      </c>
      <c r="V92" s="130">
        <v>0.01</v>
      </c>
      <c r="W92" s="130">
        <v>0</v>
      </c>
      <c r="X92" s="130">
        <v>0.02</v>
      </c>
      <c r="Y92" s="130">
        <v>0.03</v>
      </c>
      <c r="Z92" s="130">
        <v>0.66</v>
      </c>
      <c r="AA92" s="130">
        <v>0.17</v>
      </c>
      <c r="AB92" s="130">
        <v>0.03</v>
      </c>
      <c r="AC92" s="130">
        <v>0.02</v>
      </c>
      <c r="AD92" s="130">
        <v>0.06</v>
      </c>
      <c r="AE92" s="133"/>
      <c r="AF92" s="125"/>
    </row>
    <row r="93" spans="2:32">
      <c r="B93" s="125"/>
      <c r="C93" s="169"/>
      <c r="D93" s="169"/>
      <c r="E93" s="169"/>
      <c r="F93" s="169"/>
      <c r="G93" s="169"/>
      <c r="H93" s="169"/>
      <c r="I93" s="169"/>
      <c r="J93" s="169"/>
      <c r="K93" s="169"/>
      <c r="L93" s="169"/>
      <c r="M93" s="169"/>
      <c r="N93" s="169"/>
      <c r="O93" s="169"/>
      <c r="P93" s="125"/>
      <c r="Q93" s="109" t="s">
        <v>111</v>
      </c>
      <c r="R93" s="130">
        <v>0.65</v>
      </c>
      <c r="S93" s="130">
        <v>0.52</v>
      </c>
      <c r="T93" s="130">
        <v>0.69</v>
      </c>
      <c r="U93" s="130">
        <v>0.65</v>
      </c>
      <c r="V93" s="130">
        <v>0.5</v>
      </c>
      <c r="W93" s="130">
        <v>0.43</v>
      </c>
      <c r="X93" s="130">
        <v>0.46</v>
      </c>
      <c r="Y93" s="130">
        <v>0.47</v>
      </c>
      <c r="Z93" s="130">
        <v>0.82</v>
      </c>
      <c r="AA93" s="130">
        <v>0.61</v>
      </c>
      <c r="AB93" s="130">
        <v>0.95</v>
      </c>
      <c r="AC93" s="130">
        <v>0.7</v>
      </c>
      <c r="AD93" s="130">
        <v>0.49</v>
      </c>
      <c r="AE93" s="133"/>
      <c r="AF93" s="125"/>
    </row>
    <row r="94" spans="2:32">
      <c r="B94" s="125"/>
      <c r="C94" s="135"/>
      <c r="D94" s="135"/>
      <c r="E94" s="135"/>
      <c r="F94" s="135"/>
      <c r="G94" s="135"/>
      <c r="H94" s="135"/>
      <c r="I94" s="135"/>
      <c r="J94" s="135"/>
      <c r="K94" s="135"/>
      <c r="L94" s="135"/>
      <c r="M94" s="135"/>
      <c r="N94" s="135"/>
      <c r="O94" s="135"/>
      <c r="P94" s="125"/>
      <c r="Q94" s="109" t="s">
        <v>112</v>
      </c>
      <c r="R94" s="130">
        <v>-0.04</v>
      </c>
      <c r="S94" s="130">
        <v>-0.03</v>
      </c>
      <c r="T94" s="130">
        <v>-0.02</v>
      </c>
      <c r="U94" s="130">
        <v>-0.02</v>
      </c>
      <c r="V94" s="130">
        <v>-0.03</v>
      </c>
      <c r="W94" s="130">
        <v>-0.03</v>
      </c>
      <c r="X94" s="130">
        <v>-0.02</v>
      </c>
      <c r="Y94" s="130">
        <v>-0.02</v>
      </c>
      <c r="Z94" s="130">
        <v>-0.04</v>
      </c>
      <c r="AA94" s="130">
        <v>-0.05</v>
      </c>
      <c r="AB94" s="130">
        <v>-0.05</v>
      </c>
      <c r="AC94" s="130">
        <v>-0.04</v>
      </c>
      <c r="AD94" s="130">
        <v>-0.03</v>
      </c>
      <c r="AE94" s="133"/>
      <c r="AF94" s="125"/>
    </row>
    <row r="95" spans="2:32">
      <c r="C95" s="136"/>
      <c r="D95" s="136"/>
      <c r="E95" s="136"/>
      <c r="F95" s="136"/>
      <c r="G95" s="136"/>
      <c r="H95" s="136"/>
      <c r="I95" s="136"/>
      <c r="J95" s="136"/>
      <c r="K95" s="136"/>
      <c r="L95" s="136"/>
      <c r="M95" s="136"/>
      <c r="N95" s="136"/>
      <c r="O95" s="136"/>
      <c r="P95" s="137"/>
      <c r="Q95" s="109" t="s">
        <v>113</v>
      </c>
      <c r="R95" s="130">
        <v>0.37</v>
      </c>
      <c r="S95" s="130">
        <v>0.34</v>
      </c>
      <c r="T95" s="130">
        <v>0.25</v>
      </c>
      <c r="U95" s="130">
        <v>0.14000000000000001</v>
      </c>
      <c r="V95" s="130">
        <v>0.17</v>
      </c>
      <c r="W95" s="130">
        <v>0.17</v>
      </c>
      <c r="X95" s="130">
        <v>0.23</v>
      </c>
      <c r="Y95" s="130">
        <v>0.23</v>
      </c>
      <c r="Z95" s="130">
        <v>0.26</v>
      </c>
      <c r="AA95" s="130">
        <v>0.13</v>
      </c>
      <c r="AB95" s="130">
        <v>0.3</v>
      </c>
      <c r="AC95" s="130">
        <v>0.24</v>
      </c>
      <c r="AD95" s="130">
        <v>0.14000000000000001</v>
      </c>
      <c r="AE95" s="133"/>
      <c r="AF95" s="125"/>
    </row>
    <row r="96" spans="2:32">
      <c r="C96" s="137"/>
      <c r="D96" s="137"/>
      <c r="E96" s="137"/>
      <c r="F96" s="137"/>
      <c r="G96" s="137"/>
      <c r="H96" s="137"/>
      <c r="I96" s="137"/>
      <c r="J96" s="137"/>
      <c r="K96" s="137"/>
      <c r="L96" s="137"/>
      <c r="M96" s="137"/>
      <c r="N96" s="137"/>
      <c r="O96" s="137"/>
      <c r="P96" s="137"/>
      <c r="Q96" s="109" t="s">
        <v>114</v>
      </c>
      <c r="R96" s="130">
        <v>-0.15</v>
      </c>
      <c r="S96" s="130">
        <v>-7.0000000000000007E-2</v>
      </c>
      <c r="T96" s="130">
        <v>-0.11</v>
      </c>
      <c r="U96" s="130">
        <v>-0.08</v>
      </c>
      <c r="V96" s="130">
        <v>-7.0000000000000007E-2</v>
      </c>
      <c r="W96" s="130">
        <v>-0.06</v>
      </c>
      <c r="X96" s="130">
        <v>-7.0000000000000007E-2</v>
      </c>
      <c r="Y96" s="130">
        <v>-7.0000000000000007E-2</v>
      </c>
      <c r="Z96" s="130">
        <v>-0.13</v>
      </c>
      <c r="AA96" s="130">
        <v>-0.01</v>
      </c>
      <c r="AB96" s="130">
        <v>-0.02</v>
      </c>
      <c r="AC96" s="130">
        <v>-0.05</v>
      </c>
      <c r="AD96" s="130">
        <v>0.01</v>
      </c>
      <c r="AE96" s="133"/>
      <c r="AF96" s="125"/>
    </row>
    <row r="97" spans="2:32">
      <c r="C97" s="137"/>
      <c r="D97" s="137"/>
      <c r="E97" s="137"/>
      <c r="F97" s="137"/>
      <c r="G97" s="137"/>
      <c r="H97" s="137"/>
      <c r="I97" s="137"/>
      <c r="J97" s="137"/>
      <c r="K97" s="137"/>
      <c r="L97" s="137"/>
      <c r="M97" s="137"/>
      <c r="N97" s="137"/>
      <c r="O97" s="137"/>
      <c r="P97" s="137"/>
      <c r="Q97" s="109" t="s">
        <v>25</v>
      </c>
      <c r="R97" s="130">
        <v>-7.0000000000000007E-2</v>
      </c>
      <c r="S97" s="130">
        <v>-0.06</v>
      </c>
      <c r="T97" s="130">
        <v>-0.06</v>
      </c>
      <c r="U97" s="130">
        <v>-0.05</v>
      </c>
      <c r="V97" s="130">
        <v>-0.05</v>
      </c>
      <c r="W97" s="130">
        <v>-0.05</v>
      </c>
      <c r="X97" s="130">
        <v>-0.05</v>
      </c>
      <c r="Y97" s="130">
        <v>-0.05</v>
      </c>
      <c r="Z97" s="130">
        <v>-0.06</v>
      </c>
      <c r="AA97" s="130">
        <v>-0.06</v>
      </c>
      <c r="AB97" s="130">
        <v>-0.08</v>
      </c>
      <c r="AC97" s="130">
        <v>-7.0000000000000007E-2</v>
      </c>
      <c r="AD97" s="130">
        <v>-0.06</v>
      </c>
      <c r="AE97" s="133"/>
      <c r="AF97" s="125"/>
    </row>
    <row r="98" spans="2:32">
      <c r="Q98" s="109" t="s">
        <v>115</v>
      </c>
      <c r="R98" s="130">
        <v>3.17</v>
      </c>
      <c r="S98" s="130">
        <v>2.52</v>
      </c>
      <c r="T98" s="130">
        <v>2.38</v>
      </c>
      <c r="U98" s="130">
        <v>2.37</v>
      </c>
      <c r="V98" s="130">
        <v>2.91</v>
      </c>
      <c r="W98" s="130">
        <v>3.22</v>
      </c>
      <c r="X98" s="130">
        <v>2.16</v>
      </c>
      <c r="Y98" s="130">
        <v>2.41</v>
      </c>
      <c r="Z98" s="130">
        <v>2.34</v>
      </c>
      <c r="AA98" s="130">
        <v>2.58</v>
      </c>
      <c r="AB98" s="130">
        <v>3.15</v>
      </c>
      <c r="AC98" s="130">
        <v>3.3</v>
      </c>
      <c r="AD98" s="130">
        <v>3.25</v>
      </c>
      <c r="AE98" s="133"/>
    </row>
    <row r="99" spans="2:32">
      <c r="Q99" s="109" t="s">
        <v>39</v>
      </c>
      <c r="R99" s="130">
        <v>2.17</v>
      </c>
      <c r="S99" s="130">
        <v>2.06</v>
      </c>
      <c r="T99" s="130">
        <v>2.2799999999999998</v>
      </c>
      <c r="U99" s="130">
        <v>2.15</v>
      </c>
      <c r="V99" s="130">
        <v>2</v>
      </c>
      <c r="W99" s="130">
        <v>1.93</v>
      </c>
      <c r="X99" s="130">
        <v>1.99</v>
      </c>
      <c r="Y99" s="130">
        <v>2.14</v>
      </c>
      <c r="Z99" s="130">
        <v>2.16</v>
      </c>
      <c r="AA99" s="130">
        <v>2.08</v>
      </c>
      <c r="AB99" s="130">
        <v>1.96</v>
      </c>
      <c r="AC99" s="130">
        <v>1.38</v>
      </c>
      <c r="AD99" s="130">
        <v>1.46</v>
      </c>
      <c r="AE99" s="133"/>
    </row>
    <row r="100" spans="2:32">
      <c r="Q100" s="109" t="s">
        <v>116</v>
      </c>
      <c r="R100" s="130">
        <v>0</v>
      </c>
      <c r="S100" s="130">
        <v>0</v>
      </c>
      <c r="T100" s="130">
        <v>0.02</v>
      </c>
      <c r="U100" s="130">
        <v>0.01</v>
      </c>
      <c r="V100" s="130">
        <v>0.01</v>
      </c>
      <c r="W100" s="130">
        <v>0</v>
      </c>
      <c r="X100" s="130">
        <v>0.01</v>
      </c>
      <c r="Y100" s="130">
        <v>0.01</v>
      </c>
      <c r="Z100" s="130">
        <v>0.01</v>
      </c>
      <c r="AA100" s="130">
        <v>0.03</v>
      </c>
      <c r="AB100" s="130">
        <v>0</v>
      </c>
      <c r="AC100" s="130">
        <v>0.03</v>
      </c>
      <c r="AD100" s="130">
        <v>0.03</v>
      </c>
      <c r="AE100" s="133"/>
    </row>
    <row r="101" spans="2:32">
      <c r="Q101" s="109" t="s">
        <v>117</v>
      </c>
      <c r="R101" s="130">
        <v>0</v>
      </c>
      <c r="S101" s="130">
        <v>0</v>
      </c>
      <c r="T101" s="130">
        <v>0</v>
      </c>
      <c r="U101" s="130">
        <v>0</v>
      </c>
      <c r="V101" s="130">
        <v>0</v>
      </c>
      <c r="W101" s="130">
        <v>0</v>
      </c>
      <c r="X101" s="130">
        <v>0</v>
      </c>
      <c r="Y101" s="130">
        <v>0</v>
      </c>
      <c r="Z101" s="130">
        <v>0</v>
      </c>
      <c r="AA101" s="130">
        <v>0</v>
      </c>
      <c r="AB101" s="130">
        <v>0</v>
      </c>
      <c r="AC101" s="130">
        <v>0</v>
      </c>
      <c r="AD101" s="130">
        <v>0</v>
      </c>
      <c r="AE101" s="133"/>
    </row>
    <row r="102" spans="2:32">
      <c r="Q102" s="109" t="s">
        <v>118</v>
      </c>
      <c r="R102" s="130">
        <v>61.23</v>
      </c>
      <c r="S102" s="130">
        <v>51.65</v>
      </c>
      <c r="T102" s="130">
        <v>52.13</v>
      </c>
      <c r="U102" s="130">
        <v>54.25</v>
      </c>
      <c r="V102" s="130">
        <v>56.93</v>
      </c>
      <c r="W102" s="130">
        <v>55.93</v>
      </c>
      <c r="X102" s="130">
        <v>54.67</v>
      </c>
      <c r="Y102" s="130">
        <v>56.27</v>
      </c>
      <c r="Z102" s="130">
        <v>64.87</v>
      </c>
      <c r="AA102" s="130">
        <v>66.86</v>
      </c>
      <c r="AB102" s="130">
        <v>67.510000000000005</v>
      </c>
      <c r="AC102" s="130">
        <v>58.4</v>
      </c>
      <c r="AD102" s="130">
        <v>62.04</v>
      </c>
    </row>
    <row r="104" spans="2:32">
      <c r="B104" s="106" t="s">
        <v>154</v>
      </c>
      <c r="C104" s="106"/>
      <c r="D104" s="106"/>
      <c r="E104" s="106"/>
      <c r="F104" s="106"/>
      <c r="G104" s="106"/>
      <c r="H104" s="106"/>
      <c r="I104" s="127"/>
    </row>
    <row r="105" spans="2:32">
      <c r="B105" s="108" t="s">
        <v>119</v>
      </c>
      <c r="C105" s="108" t="s">
        <v>212</v>
      </c>
      <c r="D105" s="108" t="s">
        <v>212</v>
      </c>
      <c r="E105" s="108"/>
      <c r="F105" s="108" t="s">
        <v>119</v>
      </c>
      <c r="G105" s="108" t="s">
        <v>200</v>
      </c>
      <c r="H105" s="108" t="s">
        <v>200</v>
      </c>
      <c r="I105" s="109"/>
    </row>
    <row r="106" spans="2:32">
      <c r="B106" s="108" t="s">
        <v>31</v>
      </c>
      <c r="C106" s="108" t="s">
        <v>120</v>
      </c>
      <c r="D106" s="108" t="s">
        <v>121</v>
      </c>
      <c r="E106" s="108"/>
      <c r="F106" s="108" t="s">
        <v>31</v>
      </c>
      <c r="G106" s="108" t="s">
        <v>120</v>
      </c>
      <c r="H106" s="108" t="s">
        <v>121</v>
      </c>
      <c r="I106" s="109"/>
    </row>
    <row r="107" spans="2:32">
      <c r="B107" s="109" t="s">
        <v>213</v>
      </c>
      <c r="C107" s="130"/>
      <c r="D107" s="130"/>
      <c r="E107" s="130"/>
      <c r="F107" s="109" t="s">
        <v>213</v>
      </c>
      <c r="G107" s="109"/>
      <c r="H107" s="109"/>
      <c r="I107" s="109"/>
    </row>
    <row r="108" spans="2:32">
      <c r="B108" s="109" t="s">
        <v>214</v>
      </c>
      <c r="C108" s="130">
        <v>18604026.850000001</v>
      </c>
      <c r="D108" s="130">
        <v>-18604026.850000001</v>
      </c>
      <c r="E108" s="130"/>
      <c r="F108" s="109" t="s">
        <v>214</v>
      </c>
      <c r="G108" s="130">
        <v>36297794.530000001</v>
      </c>
      <c r="H108" s="130">
        <v>-36297794.530000001</v>
      </c>
      <c r="I108" s="130"/>
    </row>
    <row r="109" spans="2:32">
      <c r="B109" s="109" t="s">
        <v>215</v>
      </c>
      <c r="C109" s="130">
        <v>1297168.82</v>
      </c>
      <c r="D109" s="130">
        <v>-1297168.82</v>
      </c>
      <c r="E109" s="130"/>
      <c r="F109" s="109" t="s">
        <v>215</v>
      </c>
      <c r="G109" s="130">
        <v>336167.22</v>
      </c>
      <c r="H109" s="130">
        <v>-336167.22</v>
      </c>
      <c r="I109" s="130"/>
    </row>
    <row r="110" spans="2:32">
      <c r="B110" s="109" t="s">
        <v>216</v>
      </c>
      <c r="C110" s="130">
        <v>10311687.66</v>
      </c>
      <c r="D110" s="130">
        <v>-10311687.66</v>
      </c>
      <c r="E110" s="130"/>
      <c r="F110" s="109" t="s">
        <v>216</v>
      </c>
      <c r="G110" s="130">
        <v>12975604</v>
      </c>
      <c r="H110" s="130">
        <v>-12975604</v>
      </c>
      <c r="I110" s="130"/>
    </row>
    <row r="111" spans="2:32">
      <c r="B111" s="109" t="s">
        <v>217</v>
      </c>
      <c r="C111" s="130">
        <v>1120298.77</v>
      </c>
      <c r="D111" s="130">
        <v>-1092785.6599999999</v>
      </c>
      <c r="E111" s="130"/>
      <c r="F111" s="109" t="s">
        <v>217</v>
      </c>
      <c r="G111" s="130">
        <v>4732489.3099999996</v>
      </c>
      <c r="H111" s="130">
        <v>-4713264.3899999997</v>
      </c>
      <c r="I111" s="130"/>
    </row>
    <row r="112" spans="2:32">
      <c r="B112" s="109" t="s">
        <v>218</v>
      </c>
      <c r="C112" s="130" t="s">
        <v>185</v>
      </c>
      <c r="D112" s="130">
        <v>701028.74</v>
      </c>
      <c r="E112" s="130"/>
      <c r="F112" s="109" t="s">
        <v>88</v>
      </c>
      <c r="G112" s="130">
        <v>4343659.03</v>
      </c>
      <c r="H112" s="130">
        <v>-1937480.31</v>
      </c>
      <c r="I112" s="130"/>
    </row>
    <row r="113" spans="2:9">
      <c r="B113" s="109" t="s">
        <v>88</v>
      </c>
      <c r="C113" s="130">
        <v>1254632.8</v>
      </c>
      <c r="D113" s="130">
        <v>6440553.9800000004</v>
      </c>
      <c r="E113" s="130"/>
      <c r="F113" s="109" t="s">
        <v>3</v>
      </c>
      <c r="G113" s="130">
        <v>6374403.6600000001</v>
      </c>
      <c r="H113" s="130">
        <v>1192899.78</v>
      </c>
      <c r="I113" s="130"/>
    </row>
    <row r="114" spans="2:9">
      <c r="B114" s="109" t="s">
        <v>3</v>
      </c>
      <c r="C114" s="130">
        <v>5122078.79</v>
      </c>
      <c r="D114" s="130">
        <v>9031136.6600000001</v>
      </c>
      <c r="E114" s="130"/>
      <c r="F114" s="109" t="s">
        <v>219</v>
      </c>
      <c r="G114" s="130">
        <v>712508.08</v>
      </c>
      <c r="H114" s="130" t="s">
        <v>185</v>
      </c>
      <c r="I114" s="130"/>
    </row>
    <row r="115" spans="2:9">
      <c r="B115" s="109" t="s">
        <v>219</v>
      </c>
      <c r="C115" s="130">
        <v>616892.59</v>
      </c>
      <c r="D115" s="130" t="s">
        <v>185</v>
      </c>
      <c r="E115" s="130"/>
      <c r="F115" s="109" t="s">
        <v>136</v>
      </c>
      <c r="G115" s="130">
        <v>2593805.0099999998</v>
      </c>
      <c r="H115" s="130">
        <v>4312741.62</v>
      </c>
      <c r="I115" s="130"/>
    </row>
    <row r="116" spans="2:9">
      <c r="B116" s="109" t="s">
        <v>136</v>
      </c>
      <c r="C116" s="130">
        <v>6220915.9900000002</v>
      </c>
      <c r="D116" s="130">
        <v>-794293.04</v>
      </c>
      <c r="E116" s="130"/>
      <c r="F116" s="109" t="s">
        <v>220</v>
      </c>
      <c r="G116" s="130">
        <v>2854779.5</v>
      </c>
      <c r="H116" s="130">
        <v>-2346427</v>
      </c>
      <c r="I116" s="130"/>
    </row>
    <row r="117" spans="2:9">
      <c r="B117" s="109" t="s">
        <v>220</v>
      </c>
      <c r="C117" s="130">
        <v>2696523.5</v>
      </c>
      <c r="D117" s="130">
        <v>-2406368.5</v>
      </c>
      <c r="E117" s="130"/>
      <c r="F117" s="109" t="s">
        <v>17</v>
      </c>
      <c r="G117" s="130">
        <v>66286578.659999996</v>
      </c>
      <c r="H117" s="130">
        <v>-1300846.69</v>
      </c>
      <c r="I117" s="130"/>
    </row>
    <row r="118" spans="2:9">
      <c r="B118" s="109" t="s">
        <v>17</v>
      </c>
      <c r="C118" s="130">
        <v>46983453.630000003</v>
      </c>
      <c r="D118" s="130">
        <v>-10985790.35</v>
      </c>
      <c r="E118" s="130"/>
      <c r="F118" s="109" t="s">
        <v>221</v>
      </c>
      <c r="G118" s="130" t="s">
        <v>185</v>
      </c>
      <c r="H118" s="130">
        <v>39520.86</v>
      </c>
      <c r="I118" s="130"/>
    </row>
    <row r="119" spans="2:9">
      <c r="B119" s="109" t="s">
        <v>221</v>
      </c>
      <c r="C119" s="130">
        <v>365578.08</v>
      </c>
      <c r="D119" s="130">
        <v>-133785.46</v>
      </c>
      <c r="E119" s="130"/>
      <c r="F119" s="109" t="s">
        <v>222</v>
      </c>
      <c r="G119" s="130">
        <v>729706.34</v>
      </c>
      <c r="H119" s="130">
        <v>-41743.929999999898</v>
      </c>
      <c r="I119" s="130"/>
    </row>
    <row r="120" spans="2:9">
      <c r="B120" s="109" t="s">
        <v>222</v>
      </c>
      <c r="C120" s="130">
        <v>1309324.1399999999</v>
      </c>
      <c r="D120" s="130">
        <v>-637707.56000000006</v>
      </c>
      <c r="E120" s="130"/>
      <c r="F120" s="109" t="s">
        <v>114</v>
      </c>
      <c r="G120" s="130">
        <v>941877.4</v>
      </c>
      <c r="H120" s="130">
        <v>2987521.72</v>
      </c>
      <c r="I120" s="130"/>
    </row>
    <row r="121" spans="2:9">
      <c r="B121" s="109" t="s">
        <v>114</v>
      </c>
      <c r="C121" s="130">
        <v>1218165.8500000001</v>
      </c>
      <c r="D121" s="130">
        <v>-134234.26</v>
      </c>
      <c r="E121" s="130"/>
      <c r="F121" s="109" t="s">
        <v>25</v>
      </c>
      <c r="G121" s="130">
        <v>1455251.66</v>
      </c>
      <c r="H121" s="130" t="s">
        <v>185</v>
      </c>
      <c r="I121" s="130"/>
    </row>
    <row r="122" spans="2:9">
      <c r="B122" s="109" t="s">
        <v>25</v>
      </c>
      <c r="C122" s="130">
        <v>1273278.92</v>
      </c>
      <c r="D122" s="130" t="s">
        <v>185</v>
      </c>
      <c r="E122" s="130"/>
      <c r="F122" s="109"/>
      <c r="G122" s="130"/>
      <c r="H122" s="130"/>
      <c r="I122" s="130"/>
    </row>
    <row r="123" spans="2:9">
      <c r="B123" s="111"/>
      <c r="C123" s="138"/>
      <c r="D123" s="111"/>
      <c r="E123" s="111"/>
      <c r="F123" s="111"/>
      <c r="G123" s="111"/>
      <c r="H123" s="111"/>
      <c r="I123" s="130"/>
    </row>
    <row r="124" spans="2:9">
      <c r="B124" s="109"/>
      <c r="C124" s="130"/>
      <c r="D124" s="130"/>
      <c r="E124" s="130"/>
      <c r="F124" s="109"/>
      <c r="G124" s="130"/>
      <c r="H124" s="130"/>
      <c r="I124" s="130"/>
    </row>
    <row r="125" spans="2:9" ht="12.75" customHeight="1">
      <c r="B125" s="166"/>
      <c r="C125" s="167"/>
      <c r="D125" s="167"/>
      <c r="E125" s="167"/>
      <c r="F125" s="168"/>
      <c r="G125" s="167"/>
      <c r="H125" s="167"/>
      <c r="I125" s="167"/>
    </row>
    <row r="126" spans="2:9">
      <c r="B126" s="139"/>
      <c r="C126" s="139"/>
      <c r="D126" s="139"/>
    </row>
    <row r="127" spans="2:9">
      <c r="B127" s="108"/>
      <c r="C127" s="140">
        <v>2018</v>
      </c>
      <c r="D127" s="140">
        <v>2017</v>
      </c>
    </row>
    <row r="128" spans="2:9">
      <c r="B128" s="108"/>
      <c r="C128" s="108" t="s">
        <v>226</v>
      </c>
      <c r="D128" s="108" t="s">
        <v>226</v>
      </c>
    </row>
    <row r="129" spans="2:16">
      <c r="B129" s="141" t="s">
        <v>224</v>
      </c>
      <c r="C129" s="130">
        <v>782.64110000000005</v>
      </c>
      <c r="D129" s="130">
        <v>931.50329999999997</v>
      </c>
    </row>
    <row r="130" spans="2:16">
      <c r="B130" s="141" t="s">
        <v>136</v>
      </c>
      <c r="C130" s="130">
        <v>231.755461</v>
      </c>
      <c r="D130" s="130">
        <v>188.121621</v>
      </c>
    </row>
    <row r="131" spans="2:16">
      <c r="B131" s="141" t="s">
        <v>3</v>
      </c>
      <c r="C131" s="130">
        <v>345.8528</v>
      </c>
      <c r="D131" s="130">
        <v>334.30099999999999</v>
      </c>
    </row>
    <row r="132" spans="2:16">
      <c r="B132" s="141" t="s">
        <v>137</v>
      </c>
      <c r="C132" s="130">
        <v>146.1798</v>
      </c>
      <c r="D132" s="130">
        <v>142.44479999999999</v>
      </c>
    </row>
    <row r="133" spans="2:16">
      <c r="B133" s="142" t="s">
        <v>225</v>
      </c>
      <c r="C133" s="143">
        <v>43.415399999999998</v>
      </c>
      <c r="D133" s="143">
        <v>120.1238</v>
      </c>
    </row>
    <row r="135" spans="2:16">
      <c r="B135" s="106" t="s">
        <v>147</v>
      </c>
    </row>
    <row r="136" spans="2:16">
      <c r="B136" s="140"/>
      <c r="C136" s="140" t="s">
        <v>31</v>
      </c>
      <c r="D136" s="140" t="s">
        <v>122</v>
      </c>
      <c r="E136" s="140" t="s">
        <v>122</v>
      </c>
      <c r="F136" s="140" t="s">
        <v>122</v>
      </c>
      <c r="G136" s="140" t="s">
        <v>122</v>
      </c>
      <c r="H136" s="140" t="s">
        <v>122</v>
      </c>
      <c r="I136" s="140" t="s">
        <v>122</v>
      </c>
      <c r="J136" s="140" t="s">
        <v>122</v>
      </c>
      <c r="K136" s="140" t="s">
        <v>122</v>
      </c>
      <c r="L136" s="140" t="s">
        <v>122</v>
      </c>
      <c r="M136" s="140" t="s">
        <v>122</v>
      </c>
      <c r="N136" s="140" t="s">
        <v>122</v>
      </c>
      <c r="O136" s="140" t="s">
        <v>122</v>
      </c>
      <c r="P136" s="106" t="s">
        <v>122</v>
      </c>
    </row>
    <row r="137" spans="2:16">
      <c r="B137" s="140"/>
      <c r="C137" s="140" t="s">
        <v>119</v>
      </c>
      <c r="D137" s="140" t="s">
        <v>200</v>
      </c>
      <c r="E137" s="140" t="s">
        <v>201</v>
      </c>
      <c r="F137" s="140" t="s">
        <v>202</v>
      </c>
      <c r="G137" s="140" t="s">
        <v>203</v>
      </c>
      <c r="H137" s="140" t="s">
        <v>204</v>
      </c>
      <c r="I137" s="140" t="s">
        <v>205</v>
      </c>
      <c r="J137" s="140" t="s">
        <v>206</v>
      </c>
      <c r="K137" s="140" t="s">
        <v>207</v>
      </c>
      <c r="L137" s="140" t="s">
        <v>208</v>
      </c>
      <c r="M137" s="140" t="s">
        <v>209</v>
      </c>
      <c r="N137" s="140" t="s">
        <v>210</v>
      </c>
      <c r="O137" s="140" t="s">
        <v>211</v>
      </c>
      <c r="P137" s="106" t="s">
        <v>212</v>
      </c>
    </row>
    <row r="138" spans="2:16">
      <c r="B138" s="140" t="s">
        <v>123</v>
      </c>
      <c r="C138" s="140" t="s">
        <v>124</v>
      </c>
      <c r="D138" s="140" t="s">
        <v>6</v>
      </c>
      <c r="E138" s="140" t="s">
        <v>7</v>
      </c>
      <c r="F138" s="140" t="s">
        <v>8</v>
      </c>
      <c r="G138" s="140" t="s">
        <v>7</v>
      </c>
      <c r="H138" s="140" t="s">
        <v>9</v>
      </c>
      <c r="I138" s="140" t="s">
        <v>9</v>
      </c>
      <c r="J138" s="140" t="s">
        <v>8</v>
      </c>
      <c r="K138" s="140" t="s">
        <v>10</v>
      </c>
      <c r="L138" s="140" t="s">
        <v>11</v>
      </c>
      <c r="M138" s="140" t="s">
        <v>12</v>
      </c>
      <c r="N138" s="140" t="s">
        <v>13</v>
      </c>
      <c r="O138" s="140" t="s">
        <v>5</v>
      </c>
      <c r="P138" s="106" t="s">
        <v>6</v>
      </c>
    </row>
    <row r="139" spans="2:16">
      <c r="B139" s="109" t="s">
        <v>227</v>
      </c>
      <c r="C139" s="109" t="s">
        <v>22</v>
      </c>
      <c r="D139" s="130">
        <v>712.6</v>
      </c>
      <c r="E139" s="130">
        <v>1411.7</v>
      </c>
      <c r="F139" s="130">
        <v>1412</v>
      </c>
      <c r="G139" s="130">
        <v>538</v>
      </c>
      <c r="H139" s="130">
        <v>240</v>
      </c>
      <c r="I139" s="130">
        <v>245</v>
      </c>
      <c r="J139" s="130">
        <v>714.3</v>
      </c>
      <c r="K139" s="130">
        <v>1903.2</v>
      </c>
      <c r="L139" s="130">
        <v>1865.1</v>
      </c>
      <c r="M139" s="130">
        <v>1458.4</v>
      </c>
      <c r="N139" s="130">
        <v>237.7</v>
      </c>
      <c r="O139" s="130">
        <v>0</v>
      </c>
      <c r="P139" s="130">
        <v>0</v>
      </c>
    </row>
    <row r="140" spans="2:16">
      <c r="B140" s="109" t="s">
        <v>227</v>
      </c>
      <c r="C140" s="109" t="s">
        <v>228</v>
      </c>
      <c r="D140" s="130">
        <v>0</v>
      </c>
      <c r="E140" s="130">
        <v>0</v>
      </c>
      <c r="F140" s="130">
        <v>9600</v>
      </c>
      <c r="G140" s="130">
        <v>0</v>
      </c>
      <c r="H140" s="130">
        <v>0</v>
      </c>
      <c r="I140" s="130">
        <v>0</v>
      </c>
      <c r="J140" s="130">
        <v>0</v>
      </c>
      <c r="K140" s="130">
        <v>0</v>
      </c>
      <c r="L140" s="130">
        <v>0</v>
      </c>
      <c r="M140" s="130">
        <v>0</v>
      </c>
      <c r="N140" s="130">
        <v>0</v>
      </c>
      <c r="O140" s="130">
        <v>0</v>
      </c>
      <c r="P140" s="130">
        <v>0</v>
      </c>
    </row>
    <row r="141" spans="2:16">
      <c r="B141" s="109" t="s">
        <v>227</v>
      </c>
      <c r="C141" s="109" t="s">
        <v>229</v>
      </c>
      <c r="D141" s="130">
        <v>198516.2</v>
      </c>
      <c r="E141" s="130">
        <v>631868</v>
      </c>
      <c r="F141" s="130">
        <v>454829.4</v>
      </c>
      <c r="G141" s="130">
        <v>384999.4</v>
      </c>
      <c r="H141" s="130">
        <v>176734.4</v>
      </c>
      <c r="I141" s="130">
        <v>221645.5</v>
      </c>
      <c r="J141" s="130">
        <v>424631</v>
      </c>
      <c r="K141" s="130">
        <v>419522.2</v>
      </c>
      <c r="L141" s="130">
        <v>195163.5</v>
      </c>
      <c r="M141" s="130">
        <v>99779.8</v>
      </c>
      <c r="N141" s="130">
        <v>195559</v>
      </c>
      <c r="O141" s="130">
        <v>323414.2</v>
      </c>
      <c r="P141" s="130">
        <v>176086.6</v>
      </c>
    </row>
    <row r="142" spans="2:16">
      <c r="B142" s="109" t="s">
        <v>227</v>
      </c>
      <c r="C142" s="109" t="s">
        <v>26</v>
      </c>
      <c r="D142" s="130">
        <v>665095.19999999995</v>
      </c>
      <c r="E142" s="130">
        <v>670791.6</v>
      </c>
      <c r="F142" s="130">
        <v>684899.6</v>
      </c>
      <c r="G142" s="130">
        <v>642959.4</v>
      </c>
      <c r="H142" s="130">
        <v>535700.19999999995</v>
      </c>
      <c r="I142" s="130">
        <v>612390.30000000005</v>
      </c>
      <c r="J142" s="130">
        <v>842008.2</v>
      </c>
      <c r="K142" s="130">
        <v>659557.1</v>
      </c>
      <c r="L142" s="130">
        <v>613794.4</v>
      </c>
      <c r="M142" s="130">
        <v>428275.6</v>
      </c>
      <c r="N142" s="130">
        <v>499810.1</v>
      </c>
      <c r="O142" s="130">
        <v>535924.4</v>
      </c>
      <c r="P142" s="130">
        <v>587965.4</v>
      </c>
    </row>
    <row r="143" spans="2:16">
      <c r="B143" s="109" t="s">
        <v>227</v>
      </c>
      <c r="C143" s="109" t="s">
        <v>230</v>
      </c>
      <c r="D143" s="130">
        <v>139.6</v>
      </c>
      <c r="E143" s="130">
        <v>13667.9</v>
      </c>
      <c r="F143" s="130">
        <v>2812.1</v>
      </c>
      <c r="G143" s="130">
        <v>0</v>
      </c>
      <c r="H143" s="130">
        <v>0</v>
      </c>
      <c r="I143" s="130">
        <v>1709.9</v>
      </c>
      <c r="J143" s="130">
        <v>227.4</v>
      </c>
      <c r="K143" s="130">
        <v>2247.5</v>
      </c>
      <c r="L143" s="130">
        <v>2877.8</v>
      </c>
      <c r="M143" s="130">
        <v>370</v>
      </c>
      <c r="N143" s="130">
        <v>0</v>
      </c>
      <c r="O143" s="130">
        <v>0</v>
      </c>
      <c r="P143" s="130">
        <v>0</v>
      </c>
    </row>
    <row r="144" spans="2:16">
      <c r="B144" s="109" t="s">
        <v>227</v>
      </c>
      <c r="C144" s="109" t="s">
        <v>0</v>
      </c>
      <c r="D144" s="130">
        <v>864463.6</v>
      </c>
      <c r="E144" s="130">
        <v>1317739.2</v>
      </c>
      <c r="F144" s="130">
        <v>1153553.1000000001</v>
      </c>
      <c r="G144" s="130">
        <v>1028496.8</v>
      </c>
      <c r="H144" s="130">
        <v>712674.6</v>
      </c>
      <c r="I144" s="130">
        <v>835990.7</v>
      </c>
      <c r="J144" s="130">
        <v>1267580.8999999999</v>
      </c>
      <c r="K144" s="130">
        <v>1083230</v>
      </c>
      <c r="L144" s="130">
        <v>813700.8</v>
      </c>
      <c r="M144" s="130">
        <v>529883.80000000005</v>
      </c>
      <c r="N144" s="130">
        <v>695606.8</v>
      </c>
      <c r="O144" s="130">
        <v>859338.6</v>
      </c>
      <c r="P144" s="130">
        <v>764052</v>
      </c>
    </row>
    <row r="145" spans="2:16">
      <c r="B145" s="109" t="s">
        <v>231</v>
      </c>
      <c r="C145" s="109" t="s">
        <v>22</v>
      </c>
      <c r="D145" s="130">
        <v>1026.5</v>
      </c>
      <c r="E145" s="130">
        <v>623</v>
      </c>
      <c r="F145" s="130">
        <v>12</v>
      </c>
      <c r="G145" s="130">
        <v>0</v>
      </c>
      <c r="H145" s="130">
        <v>70</v>
      </c>
      <c r="I145" s="130">
        <v>36</v>
      </c>
      <c r="J145" s="130">
        <v>0</v>
      </c>
      <c r="K145" s="130">
        <v>4762.5</v>
      </c>
      <c r="L145" s="130">
        <v>54.3</v>
      </c>
      <c r="M145" s="130">
        <v>428.4</v>
      </c>
      <c r="N145" s="130">
        <v>0</v>
      </c>
      <c r="O145" s="130">
        <v>0</v>
      </c>
      <c r="P145" s="130">
        <v>563.70000000000005</v>
      </c>
    </row>
    <row r="146" spans="2:16">
      <c r="B146" s="109" t="s">
        <v>231</v>
      </c>
      <c r="C146" s="109" t="s">
        <v>232</v>
      </c>
      <c r="D146" s="130">
        <v>6933.6</v>
      </c>
      <c r="E146" s="130">
        <v>755.1</v>
      </c>
      <c r="F146" s="130">
        <v>1460</v>
      </c>
      <c r="G146" s="130">
        <v>0</v>
      </c>
      <c r="H146" s="130">
        <v>0</v>
      </c>
      <c r="I146" s="130">
        <v>2822.9</v>
      </c>
      <c r="J146" s="130">
        <v>5090.1000000000004</v>
      </c>
      <c r="K146" s="130">
        <v>0</v>
      </c>
      <c r="L146" s="130">
        <v>0</v>
      </c>
      <c r="M146" s="130">
        <v>0</v>
      </c>
      <c r="N146" s="130">
        <v>0</v>
      </c>
      <c r="O146" s="130">
        <v>0</v>
      </c>
      <c r="P146" s="130">
        <v>0</v>
      </c>
    </row>
    <row r="147" spans="2:16">
      <c r="B147" s="109" t="s">
        <v>231</v>
      </c>
      <c r="C147" s="109" t="s">
        <v>229</v>
      </c>
      <c r="D147" s="130">
        <v>58033.7</v>
      </c>
      <c r="E147" s="130">
        <v>20255.7</v>
      </c>
      <c r="F147" s="130">
        <v>158.4</v>
      </c>
      <c r="G147" s="130">
        <v>6575</v>
      </c>
      <c r="H147" s="130">
        <v>8771</v>
      </c>
      <c r="I147" s="130">
        <v>66423</v>
      </c>
      <c r="J147" s="130">
        <v>75870.399999999994</v>
      </c>
      <c r="K147" s="130">
        <v>802.5</v>
      </c>
      <c r="L147" s="130">
        <v>7913</v>
      </c>
      <c r="M147" s="130">
        <v>9798</v>
      </c>
      <c r="N147" s="130">
        <v>40570</v>
      </c>
      <c r="O147" s="130">
        <v>0</v>
      </c>
      <c r="P147" s="130">
        <v>0</v>
      </c>
    </row>
    <row r="148" spans="2:16">
      <c r="B148" s="109" t="s">
        <v>231</v>
      </c>
      <c r="C148" s="109" t="s">
        <v>26</v>
      </c>
      <c r="D148" s="130">
        <v>0</v>
      </c>
      <c r="E148" s="130">
        <v>17094</v>
      </c>
      <c r="F148" s="130">
        <v>0</v>
      </c>
      <c r="G148" s="130">
        <v>0</v>
      </c>
      <c r="H148" s="130">
        <v>12552</v>
      </c>
      <c r="I148" s="130">
        <v>75034.899999999994</v>
      </c>
      <c r="J148" s="130">
        <v>123130.8</v>
      </c>
      <c r="K148" s="130">
        <v>67762.600000000006</v>
      </c>
      <c r="L148" s="130">
        <v>45184</v>
      </c>
      <c r="M148" s="130">
        <v>18106.5</v>
      </c>
      <c r="N148" s="130">
        <v>3247</v>
      </c>
      <c r="O148" s="130">
        <v>1230</v>
      </c>
      <c r="P148" s="130">
        <v>16736</v>
      </c>
    </row>
    <row r="149" spans="2:16">
      <c r="B149" s="109" t="s">
        <v>231</v>
      </c>
      <c r="C149" s="109" t="s">
        <v>233</v>
      </c>
      <c r="D149" s="130">
        <v>988.1</v>
      </c>
      <c r="E149" s="130">
        <v>5344.3</v>
      </c>
      <c r="F149" s="130">
        <v>1844.3</v>
      </c>
      <c r="G149" s="130">
        <v>2859</v>
      </c>
      <c r="H149" s="130">
        <v>1652.9</v>
      </c>
      <c r="I149" s="130">
        <v>19943.3</v>
      </c>
      <c r="J149" s="130">
        <v>1278.3</v>
      </c>
      <c r="K149" s="130">
        <v>9561.7000000000007</v>
      </c>
      <c r="L149" s="130">
        <v>2732.2</v>
      </c>
      <c r="M149" s="130">
        <v>568.29999999999995</v>
      </c>
      <c r="N149" s="130">
        <v>1377.6</v>
      </c>
      <c r="O149" s="130">
        <v>0</v>
      </c>
      <c r="P149" s="130">
        <v>1262.8</v>
      </c>
    </row>
    <row r="150" spans="2:16">
      <c r="B150" s="109" t="s">
        <v>231</v>
      </c>
      <c r="C150" s="109" t="s">
        <v>234</v>
      </c>
      <c r="D150" s="130">
        <v>57.8</v>
      </c>
      <c r="E150" s="130">
        <v>0</v>
      </c>
      <c r="F150" s="130">
        <v>0</v>
      </c>
      <c r="G150" s="130">
        <v>0</v>
      </c>
      <c r="H150" s="130">
        <v>0</v>
      </c>
      <c r="I150" s="130">
        <v>1820.4</v>
      </c>
      <c r="J150" s="130">
        <v>0</v>
      </c>
      <c r="K150" s="130">
        <v>0</v>
      </c>
      <c r="L150" s="130">
        <v>0</v>
      </c>
      <c r="M150" s="130">
        <v>0</v>
      </c>
      <c r="N150" s="130">
        <v>0</v>
      </c>
      <c r="O150" s="130">
        <v>0</v>
      </c>
      <c r="P150" s="130">
        <v>25.9</v>
      </c>
    </row>
    <row r="151" spans="2:16">
      <c r="B151" s="109" t="s">
        <v>231</v>
      </c>
      <c r="C151" s="109" t="s">
        <v>235</v>
      </c>
      <c r="D151" s="130">
        <v>0</v>
      </c>
      <c r="E151" s="130">
        <v>617.6</v>
      </c>
      <c r="F151" s="130">
        <v>0</v>
      </c>
      <c r="G151" s="130">
        <v>725.3</v>
      </c>
      <c r="H151" s="130">
        <v>608.70000000000005</v>
      </c>
      <c r="I151" s="130">
        <v>0</v>
      </c>
      <c r="J151" s="130">
        <v>0</v>
      </c>
      <c r="K151" s="130">
        <v>0</v>
      </c>
      <c r="L151" s="130">
        <v>784</v>
      </c>
      <c r="M151" s="130">
        <v>944</v>
      </c>
      <c r="N151" s="130">
        <v>0</v>
      </c>
      <c r="O151" s="130">
        <v>0</v>
      </c>
      <c r="P151" s="130">
        <v>0.7</v>
      </c>
    </row>
    <row r="152" spans="2:16">
      <c r="B152" s="109" t="s">
        <v>231</v>
      </c>
      <c r="C152" s="109" t="s">
        <v>236</v>
      </c>
      <c r="D152" s="130">
        <v>0</v>
      </c>
      <c r="E152" s="130">
        <v>0</v>
      </c>
      <c r="F152" s="130">
        <v>0</v>
      </c>
      <c r="G152" s="130">
        <v>0</v>
      </c>
      <c r="H152" s="130">
        <v>0</v>
      </c>
      <c r="I152" s="130">
        <v>910.1</v>
      </c>
      <c r="J152" s="130">
        <v>0</v>
      </c>
      <c r="K152" s="130">
        <v>0</v>
      </c>
      <c r="L152" s="130">
        <v>0</v>
      </c>
      <c r="M152" s="130">
        <v>0</v>
      </c>
      <c r="N152" s="130">
        <v>0</v>
      </c>
      <c r="O152" s="130">
        <v>0</v>
      </c>
      <c r="P152" s="130">
        <v>0</v>
      </c>
    </row>
    <row r="153" spans="2:16">
      <c r="B153" s="109" t="s">
        <v>231</v>
      </c>
      <c r="C153" s="109" t="s">
        <v>237</v>
      </c>
      <c r="D153" s="130">
        <v>0</v>
      </c>
      <c r="E153" s="130">
        <v>0</v>
      </c>
      <c r="F153" s="130">
        <v>0</v>
      </c>
      <c r="G153" s="130">
        <v>0</v>
      </c>
      <c r="H153" s="130">
        <v>0</v>
      </c>
      <c r="I153" s="130">
        <v>0</v>
      </c>
      <c r="J153" s="130">
        <v>288.39999999999998</v>
      </c>
      <c r="K153" s="130">
        <v>0</v>
      </c>
      <c r="L153" s="130">
        <v>0</v>
      </c>
      <c r="M153" s="130">
        <v>0</v>
      </c>
      <c r="N153" s="130">
        <v>0</v>
      </c>
      <c r="O153" s="130">
        <v>0</v>
      </c>
      <c r="P153" s="130">
        <v>0</v>
      </c>
    </row>
    <row r="154" spans="2:16">
      <c r="B154" s="109" t="s">
        <v>231</v>
      </c>
      <c r="C154" s="109" t="s">
        <v>0</v>
      </c>
      <c r="D154" s="130">
        <v>-67039.7</v>
      </c>
      <c r="E154" s="130">
        <v>-44689.7</v>
      </c>
      <c r="F154" s="130">
        <v>-3474.7</v>
      </c>
      <c r="G154" s="130">
        <v>-10159.299999999999</v>
      </c>
      <c r="H154" s="130">
        <v>-23654.6</v>
      </c>
      <c r="I154" s="130">
        <v>-166990.6</v>
      </c>
      <c r="J154" s="130">
        <v>-205658</v>
      </c>
      <c r="K154" s="130">
        <v>-82889.3</v>
      </c>
      <c r="L154" s="130">
        <v>-56667.5</v>
      </c>
      <c r="M154" s="130">
        <v>-29845.200000000001</v>
      </c>
      <c r="N154" s="130">
        <v>-45194.6</v>
      </c>
      <c r="O154" s="130">
        <v>-1230</v>
      </c>
      <c r="P154" s="130">
        <v>-18589.099999999999</v>
      </c>
    </row>
    <row r="155" spans="2:16">
      <c r="B155" s="109"/>
      <c r="C155" s="109"/>
      <c r="D155" s="130"/>
      <c r="E155" s="130"/>
      <c r="F155" s="130"/>
      <c r="G155" s="130"/>
      <c r="H155" s="130"/>
      <c r="I155" s="130"/>
      <c r="J155" s="130"/>
      <c r="K155" s="130"/>
      <c r="L155" s="130"/>
      <c r="M155" s="130"/>
      <c r="N155" s="130"/>
      <c r="O155" s="130"/>
      <c r="P155" s="130"/>
    </row>
    <row r="156" spans="2:16">
      <c r="B156" s="109"/>
      <c r="C156" s="109"/>
      <c r="D156" s="130"/>
      <c r="E156" s="130"/>
      <c r="F156" s="130"/>
      <c r="G156" s="130"/>
      <c r="H156" s="130"/>
      <c r="I156" s="130"/>
      <c r="J156" s="130"/>
      <c r="K156" s="130"/>
      <c r="L156" s="130"/>
      <c r="M156" s="130"/>
      <c r="N156" s="130"/>
      <c r="O156" s="130"/>
      <c r="P156" s="130"/>
    </row>
    <row r="157" spans="2:16">
      <c r="B157" s="109"/>
      <c r="C157" s="109"/>
      <c r="D157" s="130">
        <v>92.084451201899995</v>
      </c>
      <c r="E157" s="130">
        <v>76.422112971999994</v>
      </c>
      <c r="F157" s="130">
        <v>81.132726105100005</v>
      </c>
      <c r="G157" s="130">
        <v>73.815872961400004</v>
      </c>
      <c r="H157" s="130">
        <v>69.048564800799994</v>
      </c>
      <c r="I157" s="130">
        <v>78.254490438700003</v>
      </c>
      <c r="J157" s="130">
        <v>77.994650132399997</v>
      </c>
      <c r="K157" s="130">
        <v>76.517602623599998</v>
      </c>
      <c r="L157" s="130">
        <v>81.795735348899996</v>
      </c>
      <c r="M157" s="130">
        <v>84.018140656499995</v>
      </c>
      <c r="N157" s="130">
        <v>84.545507835699993</v>
      </c>
      <c r="O157" s="130">
        <v>74.456576685800002</v>
      </c>
      <c r="P157" s="130">
        <v>78.626601016699993</v>
      </c>
    </row>
    <row r="158" spans="2:16">
      <c r="B158" s="111"/>
      <c r="C158" s="111"/>
      <c r="D158" s="143">
        <v>59.043409800500001</v>
      </c>
      <c r="E158" s="143">
        <v>45.244610503099999</v>
      </c>
      <c r="F158" s="143">
        <v>42.666926641099998</v>
      </c>
      <c r="G158" s="143">
        <v>47.541595385500003</v>
      </c>
      <c r="H158" s="143">
        <v>55.270262020899999</v>
      </c>
      <c r="I158" s="143">
        <v>48.6004134963</v>
      </c>
      <c r="J158" s="143">
        <v>49.077318314899998</v>
      </c>
      <c r="K158" s="143">
        <v>48.041428748900003</v>
      </c>
      <c r="L158" s="143">
        <v>55.133704327899999</v>
      </c>
      <c r="M158" s="143">
        <v>59.679777987800001</v>
      </c>
      <c r="N158" s="143">
        <v>74.139002447199999</v>
      </c>
      <c r="O158" s="143">
        <v>62.761666666700002</v>
      </c>
      <c r="P158" s="143">
        <v>56.593756556300001</v>
      </c>
    </row>
    <row r="159" spans="2:16">
      <c r="B159" s="114"/>
      <c r="C159" s="114"/>
      <c r="D159" s="114"/>
      <c r="E159" s="114"/>
      <c r="F159" s="114"/>
      <c r="G159" s="114"/>
      <c r="H159" s="114"/>
      <c r="I159" s="114"/>
      <c r="J159" s="114"/>
      <c r="K159" s="114"/>
      <c r="L159" s="114"/>
      <c r="M159" s="114"/>
      <c r="N159" s="114"/>
      <c r="O159" s="114"/>
      <c r="P159" s="114"/>
    </row>
    <row r="160" spans="2:16">
      <c r="B160" s="114"/>
      <c r="C160" s="109"/>
      <c r="D160" s="109"/>
      <c r="E160" s="109" t="s">
        <v>85</v>
      </c>
      <c r="F160" s="114"/>
      <c r="G160" s="114"/>
      <c r="H160" s="114"/>
      <c r="I160" s="114"/>
      <c r="J160" s="114"/>
      <c r="K160" s="114"/>
      <c r="L160" s="114"/>
      <c r="M160" s="114"/>
      <c r="N160" s="114"/>
      <c r="O160" s="114"/>
      <c r="P160" s="114"/>
    </row>
    <row r="161" spans="2:16">
      <c r="B161" s="114"/>
      <c r="C161" s="109" t="s">
        <v>77</v>
      </c>
      <c r="D161" s="109"/>
      <c r="E161" s="172">
        <f>(P144-D144)/D144</f>
        <v>-0.11615480397323841</v>
      </c>
      <c r="F161" s="114"/>
      <c r="G161" s="114"/>
      <c r="H161" s="114"/>
      <c r="I161" s="114"/>
      <c r="J161" s="114"/>
      <c r="K161" s="114"/>
      <c r="L161" s="114"/>
      <c r="M161" s="114"/>
      <c r="N161" s="114"/>
      <c r="O161" s="114"/>
      <c r="P161" s="114"/>
    </row>
    <row r="162" spans="2:16">
      <c r="B162" s="114"/>
      <c r="C162" s="109" t="s">
        <v>78</v>
      </c>
      <c r="D162" s="109"/>
      <c r="E162" s="172">
        <f>(P154-D154)/D154</f>
        <v>-0.72271504794920027</v>
      </c>
      <c r="F162" s="114"/>
      <c r="G162" s="114"/>
      <c r="H162" s="114"/>
      <c r="I162" s="114"/>
      <c r="J162" s="114"/>
      <c r="K162" s="114"/>
      <c r="L162" s="114"/>
      <c r="M162" s="114"/>
      <c r="N162" s="114"/>
      <c r="O162" s="114"/>
      <c r="P162" s="114"/>
    </row>
    <row r="163" spans="2:16">
      <c r="B163" s="114"/>
      <c r="C163" s="109" t="s">
        <v>79</v>
      </c>
      <c r="D163" s="109"/>
      <c r="E163" s="172">
        <f>((P144+ABS(P154))-(D144+ABS(D154)))/(D144+ABS(D154))</f>
        <v>-0.15980855891761195</v>
      </c>
      <c r="F163" s="114"/>
      <c r="G163" s="114"/>
      <c r="H163" s="114"/>
      <c r="I163" s="114"/>
      <c r="J163" s="114"/>
      <c r="K163" s="114"/>
      <c r="L163" s="114"/>
      <c r="M163" s="114"/>
      <c r="N163" s="114"/>
      <c r="O163" s="114"/>
      <c r="P163" s="114"/>
    </row>
    <row r="164" spans="2:16">
      <c r="B164" s="114"/>
      <c r="C164" s="109" t="s">
        <v>80</v>
      </c>
      <c r="D164" s="109"/>
      <c r="E164" s="172">
        <f>(P157-D157)/D157</f>
        <v>-0.14614682511049512</v>
      </c>
      <c r="F164" s="114"/>
      <c r="G164" s="114"/>
      <c r="H164" s="114"/>
      <c r="I164" s="114"/>
      <c r="J164" s="114"/>
      <c r="K164" s="114"/>
      <c r="L164" s="114"/>
      <c r="M164" s="114"/>
      <c r="N164" s="114"/>
      <c r="O164" s="114"/>
      <c r="P164" s="114"/>
    </row>
    <row r="165" spans="2:16">
      <c r="B165" s="114"/>
      <c r="C165" s="109" t="s">
        <v>81</v>
      </c>
      <c r="D165" s="109"/>
      <c r="E165" s="172">
        <f>(P158-D158)/D158</f>
        <v>-4.1489020577860594E-2</v>
      </c>
      <c r="F165" s="114"/>
      <c r="G165" s="114"/>
      <c r="H165" s="114"/>
      <c r="I165" s="114"/>
      <c r="J165" s="114"/>
      <c r="K165" s="114"/>
      <c r="L165" s="114"/>
      <c r="M165" s="114"/>
      <c r="N165" s="114"/>
      <c r="O165" s="114"/>
      <c r="P165" s="114"/>
    </row>
  </sheetData>
  <mergeCells count="16">
    <mergeCell ref="G60:G61"/>
    <mergeCell ref="H60:H61"/>
    <mergeCell ref="I60:I61"/>
    <mergeCell ref="J60:J61"/>
    <mergeCell ref="C60:C61"/>
    <mergeCell ref="D60:D61"/>
    <mergeCell ref="E60:E61"/>
    <mergeCell ref="F60:F61"/>
    <mergeCell ref="G43:G44"/>
    <mergeCell ref="H43:H44"/>
    <mergeCell ref="I43:I44"/>
    <mergeCell ref="J43:J44"/>
    <mergeCell ref="C43:C44"/>
    <mergeCell ref="D43:D44"/>
    <mergeCell ref="E43:E44"/>
    <mergeCell ref="F43:F44"/>
  </mergeCell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/>
  <dimension ref="A2:T179"/>
  <sheetViews>
    <sheetView showGridLines="0" showRowColHeaders="0" tabSelected="1" topLeftCell="A121" workbookViewId="0">
      <selection activeCell="O156" sqref="O156"/>
    </sheetView>
  </sheetViews>
  <sheetFormatPr baseColWidth="10" defaultRowHeight="12.75"/>
  <cols>
    <col min="1" max="1" width="11.42578125" style="107"/>
    <col min="2" max="2" width="23.42578125" style="107" bestFit="1" customWidth="1"/>
    <col min="3" max="3" width="19.28515625" style="107" bestFit="1" customWidth="1"/>
    <col min="4" max="16384" width="11.42578125" style="107"/>
  </cols>
  <sheetData>
    <row r="2" spans="2:15">
      <c r="B2" s="106" t="s">
        <v>148</v>
      </c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</row>
    <row r="3" spans="2:15">
      <c r="B3" s="108" t="s">
        <v>6</v>
      </c>
      <c r="C3" s="108" t="s">
        <v>7</v>
      </c>
      <c r="D3" s="108" t="s">
        <v>8</v>
      </c>
      <c r="E3" s="108" t="s">
        <v>7</v>
      </c>
      <c r="F3" s="108" t="s">
        <v>9</v>
      </c>
      <c r="G3" s="108" t="s">
        <v>9</v>
      </c>
      <c r="H3" s="108" t="s">
        <v>8</v>
      </c>
      <c r="I3" s="108" t="s">
        <v>10</v>
      </c>
      <c r="J3" s="108" t="s">
        <v>11</v>
      </c>
      <c r="K3" s="108" t="s">
        <v>12</v>
      </c>
      <c r="L3" s="108" t="s">
        <v>13</v>
      </c>
      <c r="M3" s="108" t="s">
        <v>5</v>
      </c>
      <c r="N3" s="108" t="s">
        <v>6</v>
      </c>
      <c r="O3" s="108"/>
    </row>
    <row r="4" spans="2:15">
      <c r="B4" s="106" t="s">
        <v>119</v>
      </c>
      <c r="C4" s="106" t="s">
        <v>200</v>
      </c>
      <c r="D4" s="106" t="s">
        <v>201</v>
      </c>
      <c r="E4" s="106" t="s">
        <v>202</v>
      </c>
      <c r="F4" s="106" t="s">
        <v>203</v>
      </c>
      <c r="G4" s="106" t="s">
        <v>204</v>
      </c>
      <c r="H4" s="106" t="s">
        <v>205</v>
      </c>
      <c r="I4" s="106" t="s">
        <v>206</v>
      </c>
      <c r="J4" s="106" t="s">
        <v>207</v>
      </c>
      <c r="K4" s="106" t="s">
        <v>208</v>
      </c>
      <c r="L4" s="106" t="s">
        <v>209</v>
      </c>
      <c r="M4" s="106" t="s">
        <v>210</v>
      </c>
      <c r="N4" s="106" t="s">
        <v>211</v>
      </c>
      <c r="O4" s="106" t="s">
        <v>212</v>
      </c>
    </row>
    <row r="5" spans="2:15">
      <c r="B5" s="108" t="s">
        <v>31</v>
      </c>
      <c r="C5" s="108"/>
      <c r="D5" s="108"/>
      <c r="E5" s="108"/>
      <c r="F5" s="108"/>
      <c r="G5" s="108"/>
      <c r="H5" s="108"/>
      <c r="I5" s="108"/>
      <c r="J5" s="108"/>
      <c r="K5" s="108"/>
      <c r="L5" s="108"/>
      <c r="M5" s="108"/>
      <c r="N5" s="108"/>
      <c r="O5" s="108"/>
    </row>
    <row r="6" spans="2:15">
      <c r="B6" s="109" t="s">
        <v>125</v>
      </c>
      <c r="C6" s="110">
        <v>690.06696428570001</v>
      </c>
      <c r="D6" s="110">
        <v>679.79004037690004</v>
      </c>
      <c r="E6" s="110">
        <v>667.79305555559995</v>
      </c>
      <c r="F6" s="110">
        <v>657.63440860219998</v>
      </c>
      <c r="G6" s="110">
        <v>680.75416666670003</v>
      </c>
      <c r="H6" s="110">
        <v>681.72177419349998</v>
      </c>
      <c r="I6" s="110">
        <v>685.08333333329995</v>
      </c>
      <c r="J6" s="110">
        <v>666.50138888890001</v>
      </c>
      <c r="K6" s="110">
        <v>686.99597315439996</v>
      </c>
      <c r="L6" s="110">
        <v>674.33472222219996</v>
      </c>
      <c r="M6" s="110">
        <v>695.75403225809998</v>
      </c>
      <c r="N6" s="110">
        <v>703.82795698919995</v>
      </c>
      <c r="O6" s="110">
        <v>654.95089285710003</v>
      </c>
    </row>
    <row r="7" spans="2:15">
      <c r="B7" s="109" t="s">
        <v>126</v>
      </c>
      <c r="C7" s="110">
        <v>516.89732142859998</v>
      </c>
      <c r="D7" s="110">
        <v>513.60969044410001</v>
      </c>
      <c r="E7" s="110">
        <v>504.98472222219999</v>
      </c>
      <c r="F7" s="110">
        <v>508.80510752689997</v>
      </c>
      <c r="G7" s="110">
        <v>519.46388888889999</v>
      </c>
      <c r="H7" s="110">
        <v>510.7446236559</v>
      </c>
      <c r="I7" s="110">
        <v>512.12365591399998</v>
      </c>
      <c r="J7" s="110">
        <v>507.34166666670001</v>
      </c>
      <c r="K7" s="110">
        <v>513.58791946309998</v>
      </c>
      <c r="L7" s="110">
        <v>515.54861111109994</v>
      </c>
      <c r="M7" s="110">
        <v>519.92069892469999</v>
      </c>
      <c r="N7" s="110">
        <v>531.33064516130003</v>
      </c>
      <c r="O7" s="110">
        <v>542.02380952379997</v>
      </c>
    </row>
    <row r="8" spans="2:15">
      <c r="B8" s="111" t="s">
        <v>127</v>
      </c>
      <c r="C8" s="182">
        <v>15.125065320299999</v>
      </c>
      <c r="D8" s="182">
        <v>11.5469110496</v>
      </c>
      <c r="E8" s="182">
        <v>14.6645191734</v>
      </c>
      <c r="F8" s="182">
        <v>14.2514912811</v>
      </c>
      <c r="G8" s="182">
        <v>11.9237809565</v>
      </c>
      <c r="H8" s="182">
        <v>10.3340536748</v>
      </c>
      <c r="I8" s="182">
        <v>10.640429382000001</v>
      </c>
      <c r="J8" s="182">
        <v>10.716390382</v>
      </c>
      <c r="K8" s="182">
        <v>17.145887023699999</v>
      </c>
      <c r="L8" s="182">
        <v>13.6975213023</v>
      </c>
      <c r="M8" s="182">
        <v>21.612955502799998</v>
      </c>
      <c r="N8" s="182">
        <v>15.876601324499999</v>
      </c>
      <c r="O8" s="182">
        <v>11.467495272700001</v>
      </c>
    </row>
    <row r="9" spans="2:15">
      <c r="B9" s="113"/>
      <c r="C9" s="113"/>
      <c r="D9" s="113"/>
      <c r="E9" s="113"/>
      <c r="F9" s="113"/>
      <c r="G9" s="113"/>
      <c r="H9" s="113"/>
      <c r="I9" s="113"/>
      <c r="J9" s="113"/>
      <c r="K9" s="113"/>
      <c r="L9" s="113"/>
      <c r="M9" s="113"/>
      <c r="N9" s="113"/>
      <c r="O9" s="113"/>
    </row>
    <row r="10" spans="2:15">
      <c r="B10" s="114"/>
      <c r="C10" s="114"/>
      <c r="D10" s="114"/>
      <c r="E10" s="114"/>
      <c r="F10" s="114"/>
      <c r="G10" s="114"/>
      <c r="H10" s="114"/>
      <c r="I10" s="114"/>
      <c r="J10" s="114"/>
      <c r="K10" s="114"/>
      <c r="L10" s="114"/>
      <c r="M10" s="114"/>
      <c r="N10" s="114"/>
      <c r="O10" s="115"/>
    </row>
    <row r="11" spans="2:15">
      <c r="B11" s="109"/>
      <c r="C11" s="109" t="s">
        <v>84</v>
      </c>
      <c r="D11" s="114"/>
      <c r="E11" s="114"/>
      <c r="F11" s="114"/>
      <c r="G11" s="114"/>
      <c r="H11" s="114"/>
      <c r="I11" s="114"/>
      <c r="J11" s="114"/>
      <c r="K11" s="114"/>
      <c r="L11" s="114"/>
      <c r="M11" s="114"/>
      <c r="N11" s="114"/>
      <c r="O11" s="115"/>
    </row>
    <row r="12" spans="2:15">
      <c r="B12" s="109" t="s">
        <v>66</v>
      </c>
      <c r="C12" s="172">
        <f>(O6-C6)/C6</f>
        <v>-5.0887918486214191E-2</v>
      </c>
      <c r="D12" s="114"/>
      <c r="E12" s="114"/>
      <c r="F12" s="114"/>
      <c r="G12" s="114"/>
      <c r="H12" s="114"/>
      <c r="I12" s="114"/>
      <c r="J12" s="114"/>
      <c r="K12" s="114"/>
      <c r="L12" s="114"/>
      <c r="M12" s="114"/>
      <c r="N12" s="114"/>
      <c r="O12" s="114"/>
    </row>
    <row r="13" spans="2:15">
      <c r="B13" s="109" t="s">
        <v>15</v>
      </c>
      <c r="C13" s="172">
        <f>(O8-C8)/C8</f>
        <v>-0.24182176870938976</v>
      </c>
      <c r="D13" s="114"/>
      <c r="E13" s="114"/>
      <c r="F13" s="114"/>
      <c r="G13" s="114"/>
      <c r="H13" s="114"/>
      <c r="I13" s="114"/>
      <c r="J13" s="114"/>
      <c r="K13" s="114"/>
      <c r="L13" s="114"/>
      <c r="M13" s="114"/>
      <c r="N13" s="114"/>
      <c r="O13" s="114"/>
    </row>
    <row r="14" spans="2:15">
      <c r="B14" s="114"/>
      <c r="C14" s="114"/>
      <c r="D14" s="114"/>
      <c r="E14" s="114"/>
      <c r="F14" s="114"/>
      <c r="G14" s="114"/>
      <c r="H14" s="114"/>
      <c r="I14" s="114"/>
      <c r="J14" s="114"/>
      <c r="K14" s="114"/>
      <c r="L14" s="114"/>
      <c r="M14" s="114"/>
      <c r="N14" s="114"/>
      <c r="O14" s="114"/>
    </row>
    <row r="15" spans="2:15">
      <c r="B15" s="106" t="s">
        <v>153</v>
      </c>
      <c r="C15" s="114"/>
      <c r="D15" s="114"/>
      <c r="E15" s="114"/>
      <c r="F15" s="114"/>
      <c r="G15" s="114"/>
      <c r="H15" s="114"/>
      <c r="I15" s="114"/>
      <c r="J15" s="114"/>
      <c r="K15" s="114"/>
      <c r="L15" s="114"/>
      <c r="M15" s="114"/>
      <c r="N15" s="114"/>
      <c r="O15" s="114"/>
    </row>
    <row r="16" spans="2:15">
      <c r="B16" s="108" t="s">
        <v>128</v>
      </c>
      <c r="C16" s="117">
        <v>2017</v>
      </c>
      <c r="D16" s="117">
        <v>2017</v>
      </c>
      <c r="E16" s="117">
        <v>2017</v>
      </c>
      <c r="F16" s="117">
        <v>2017</v>
      </c>
      <c r="G16" s="117">
        <v>2017</v>
      </c>
      <c r="H16" s="117">
        <v>2017</v>
      </c>
      <c r="I16" s="117">
        <v>2017</v>
      </c>
      <c r="J16" s="117">
        <v>2017</v>
      </c>
      <c r="K16" s="117">
        <v>2017</v>
      </c>
      <c r="L16" s="117">
        <v>2017</v>
      </c>
      <c r="M16" s="117">
        <v>2017</v>
      </c>
      <c r="N16" s="117">
        <v>2018</v>
      </c>
      <c r="O16" s="117">
        <v>2018</v>
      </c>
    </row>
    <row r="17" spans="2:20">
      <c r="B17" s="106" t="s">
        <v>119</v>
      </c>
      <c r="C17" s="106" t="s">
        <v>200</v>
      </c>
      <c r="D17" s="106" t="s">
        <v>201</v>
      </c>
      <c r="E17" s="106" t="s">
        <v>202</v>
      </c>
      <c r="F17" s="106" t="s">
        <v>203</v>
      </c>
      <c r="G17" s="106" t="s">
        <v>204</v>
      </c>
      <c r="H17" s="106" t="s">
        <v>205</v>
      </c>
      <c r="I17" s="106" t="s">
        <v>206</v>
      </c>
      <c r="J17" s="106" t="s">
        <v>207</v>
      </c>
      <c r="K17" s="106" t="s">
        <v>208</v>
      </c>
      <c r="L17" s="106" t="s">
        <v>209</v>
      </c>
      <c r="M17" s="106" t="s">
        <v>210</v>
      </c>
      <c r="N17" s="106" t="s">
        <v>211</v>
      </c>
      <c r="O17" s="106" t="s">
        <v>212</v>
      </c>
    </row>
    <row r="18" spans="2:20">
      <c r="B18" s="108" t="s">
        <v>31</v>
      </c>
      <c r="C18" s="108" t="s">
        <v>6</v>
      </c>
      <c r="D18" s="108" t="s">
        <v>7</v>
      </c>
      <c r="E18" s="108" t="s">
        <v>8</v>
      </c>
      <c r="F18" s="108" t="s">
        <v>7</v>
      </c>
      <c r="G18" s="108" t="s">
        <v>9</v>
      </c>
      <c r="H18" s="108" t="s">
        <v>9</v>
      </c>
      <c r="I18" s="108" t="s">
        <v>8</v>
      </c>
      <c r="J18" s="108" t="s">
        <v>10</v>
      </c>
      <c r="K18" s="108" t="s">
        <v>11</v>
      </c>
      <c r="L18" s="108" t="s">
        <v>12</v>
      </c>
      <c r="M18" s="108" t="s">
        <v>13</v>
      </c>
      <c r="N18" s="108" t="s">
        <v>5</v>
      </c>
      <c r="O18" s="108" t="s">
        <v>6</v>
      </c>
    </row>
    <row r="19" spans="2:20">
      <c r="B19" s="109" t="s">
        <v>238</v>
      </c>
      <c r="C19" s="110">
        <v>123063.594</v>
      </c>
      <c r="D19" s="110">
        <v>142874.97500000001</v>
      </c>
      <c r="E19" s="110">
        <v>143332.88099999999</v>
      </c>
      <c r="F19" s="110">
        <v>124663.514</v>
      </c>
      <c r="G19" s="110">
        <v>94559.540999999997</v>
      </c>
      <c r="H19" s="110">
        <v>85673.202000000005</v>
      </c>
      <c r="I19" s="110">
        <v>81536.076000000001</v>
      </c>
      <c r="J19" s="110">
        <v>75102.289000000004</v>
      </c>
      <c r="K19" s="110">
        <v>65089.595000000001</v>
      </c>
      <c r="L19" s="110">
        <v>72290.070000000007</v>
      </c>
      <c r="M19" s="110">
        <v>81049.796000000002</v>
      </c>
      <c r="N19" s="110">
        <v>106846.751</v>
      </c>
      <c r="O19" s="110">
        <v>95118.278999999995</v>
      </c>
    </row>
    <row r="20" spans="2:20">
      <c r="B20" s="111" t="s">
        <v>239</v>
      </c>
      <c r="C20" s="183">
        <v>65058.027000000002</v>
      </c>
      <c r="D20" s="183">
        <v>65080.661999999997</v>
      </c>
      <c r="E20" s="183">
        <v>56832.525000000001</v>
      </c>
      <c r="F20" s="183">
        <v>67245.510999999999</v>
      </c>
      <c r="G20" s="183">
        <v>87837.740999999995</v>
      </c>
      <c r="H20" s="183">
        <v>115472.265</v>
      </c>
      <c r="I20" s="183">
        <v>110945.08</v>
      </c>
      <c r="J20" s="183">
        <v>109933.033</v>
      </c>
      <c r="K20" s="183">
        <v>138127.981</v>
      </c>
      <c r="L20" s="183">
        <v>138345.883</v>
      </c>
      <c r="M20" s="183">
        <v>148810.416</v>
      </c>
      <c r="N20" s="183">
        <v>118042.065</v>
      </c>
      <c r="O20" s="183">
        <v>136637.182</v>
      </c>
    </row>
    <row r="21" spans="2:20">
      <c r="B21" s="112"/>
      <c r="C21" s="183">
        <f t="shared" ref="C21:O21" si="0">-C20</f>
        <v>-65058.027000000002</v>
      </c>
      <c r="D21" s="183">
        <f t="shared" si="0"/>
        <v>-65080.661999999997</v>
      </c>
      <c r="E21" s="183">
        <f t="shared" si="0"/>
        <v>-56832.525000000001</v>
      </c>
      <c r="F21" s="183">
        <f t="shared" si="0"/>
        <v>-67245.510999999999</v>
      </c>
      <c r="G21" s="183">
        <f t="shared" si="0"/>
        <v>-87837.740999999995</v>
      </c>
      <c r="H21" s="183">
        <f t="shared" si="0"/>
        <v>-115472.265</v>
      </c>
      <c r="I21" s="183">
        <f t="shared" si="0"/>
        <v>-110945.08</v>
      </c>
      <c r="J21" s="183">
        <f t="shared" si="0"/>
        <v>-109933.033</v>
      </c>
      <c r="K21" s="183">
        <f t="shared" si="0"/>
        <v>-138127.981</v>
      </c>
      <c r="L21" s="183">
        <f t="shared" si="0"/>
        <v>-138345.883</v>
      </c>
      <c r="M21" s="183">
        <f t="shared" si="0"/>
        <v>-148810.416</v>
      </c>
      <c r="N21" s="183">
        <f t="shared" si="0"/>
        <v>-118042.065</v>
      </c>
      <c r="O21" s="183">
        <f t="shared" si="0"/>
        <v>-136637.182</v>
      </c>
    </row>
    <row r="22" spans="2:20">
      <c r="B22" s="108"/>
      <c r="C22" s="108"/>
      <c r="D22" s="108"/>
      <c r="E22" s="108"/>
      <c r="F22" s="108"/>
      <c r="G22" s="108"/>
      <c r="H22" s="108"/>
      <c r="I22" s="108"/>
      <c r="J22" s="108"/>
      <c r="K22" s="108"/>
      <c r="L22" s="108"/>
      <c r="M22" s="108"/>
      <c r="N22" s="108"/>
      <c r="O22" s="108"/>
    </row>
    <row r="23" spans="2:20">
      <c r="B23" s="109" t="s">
        <v>70</v>
      </c>
      <c r="C23" s="174">
        <v>56.121769286199999</v>
      </c>
      <c r="D23" s="174">
        <v>47.867154202499997</v>
      </c>
      <c r="E23" s="174">
        <v>48.851768841499997</v>
      </c>
      <c r="F23" s="174">
        <v>50.732693448699997</v>
      </c>
      <c r="G23" s="174">
        <v>52.547676812399999</v>
      </c>
      <c r="H23" s="174">
        <v>50.083044053800002</v>
      </c>
      <c r="I23" s="174">
        <v>47.756106266400003</v>
      </c>
      <c r="J23" s="174">
        <v>50.449034516099999</v>
      </c>
      <c r="K23" s="174">
        <v>58.357759792499998</v>
      </c>
      <c r="L23" s="174">
        <v>62.377222902100002</v>
      </c>
      <c r="M23" s="174">
        <v>61.842100256499997</v>
      </c>
      <c r="N23" s="174">
        <v>51.707705552999997</v>
      </c>
      <c r="O23" s="174">
        <v>57.0513155521</v>
      </c>
    </row>
    <row r="24" spans="2:20">
      <c r="B24" s="111" t="s">
        <v>71</v>
      </c>
      <c r="C24" s="175">
        <v>39.8691003956</v>
      </c>
      <c r="D24" s="175">
        <v>31.858757214200001</v>
      </c>
      <c r="E24" s="175">
        <v>33.552731292499999</v>
      </c>
      <c r="F24" s="175">
        <v>39.81575127</v>
      </c>
      <c r="G24" s="175">
        <v>42.375364024900001</v>
      </c>
      <c r="H24" s="175">
        <v>40.013761746199997</v>
      </c>
      <c r="I24" s="175">
        <v>38.090010931499997</v>
      </c>
      <c r="J24" s="175">
        <v>39.002468893900001</v>
      </c>
      <c r="K24" s="175">
        <v>45.204191538899998</v>
      </c>
      <c r="L24" s="175">
        <v>53.3716975878</v>
      </c>
      <c r="M24" s="175">
        <v>51.5734303841</v>
      </c>
      <c r="N24" s="175">
        <v>40.970034284</v>
      </c>
      <c r="O24" s="175">
        <v>45.528719920500002</v>
      </c>
    </row>
    <row r="25" spans="2:20" ht="15">
      <c r="B25" s="114"/>
      <c r="C25" s="118"/>
      <c r="D25" s="118"/>
      <c r="E25" s="118"/>
      <c r="F25" s="118"/>
      <c r="G25" s="118"/>
      <c r="H25" s="118"/>
      <c r="I25" s="118"/>
      <c r="J25" s="118"/>
      <c r="K25" s="118"/>
      <c r="L25" s="118"/>
      <c r="M25" s="118"/>
      <c r="N25" s="118"/>
      <c r="O25" s="109" t="s">
        <v>85</v>
      </c>
      <c r="T25" s="173"/>
    </row>
    <row r="26" spans="2:20" ht="15">
      <c r="B26" s="114"/>
      <c r="C26" s="118"/>
      <c r="D26" s="118"/>
      <c r="E26" s="118"/>
      <c r="F26" s="118"/>
      <c r="G26" s="118"/>
      <c r="H26" s="118"/>
      <c r="I26" s="118"/>
      <c r="J26" s="118"/>
      <c r="K26" s="118"/>
      <c r="L26" s="118"/>
      <c r="M26" s="109" t="s">
        <v>69</v>
      </c>
      <c r="N26" s="109"/>
      <c r="O26" s="172">
        <f>(O19-C19)/C19</f>
        <v>-0.22708027688513635</v>
      </c>
      <c r="T26" s="168"/>
    </row>
    <row r="27" spans="2:20" ht="15">
      <c r="B27" s="114"/>
      <c r="C27" s="118"/>
      <c r="D27" s="118"/>
      <c r="E27" s="118"/>
      <c r="F27" s="118"/>
      <c r="G27" s="118"/>
      <c r="H27" s="118"/>
      <c r="I27" s="118"/>
      <c r="J27" s="118"/>
      <c r="K27" s="118"/>
      <c r="L27" s="118"/>
      <c r="M27" s="109" t="s">
        <v>68</v>
      </c>
      <c r="N27" s="109"/>
      <c r="O27" s="172">
        <f>(O20-C20)/C20</f>
        <v>1.1002355635531338</v>
      </c>
    </row>
    <row r="28" spans="2:20" ht="15">
      <c r="B28" s="114"/>
      <c r="C28" s="118"/>
      <c r="D28" s="118"/>
      <c r="E28" s="118"/>
      <c r="F28" s="118"/>
      <c r="G28" s="118"/>
      <c r="H28" s="118"/>
      <c r="I28" s="118"/>
      <c r="J28" s="118"/>
      <c r="K28" s="118"/>
      <c r="L28" s="118"/>
      <c r="M28" s="109" t="s">
        <v>74</v>
      </c>
      <c r="N28" s="109"/>
      <c r="O28" s="172">
        <f>((O19+O20)-(C19+C20))/(C19+C20)</f>
        <v>0.23194484380931435</v>
      </c>
    </row>
    <row r="29" spans="2:20" ht="15">
      <c r="B29" s="114"/>
      <c r="C29" s="118"/>
      <c r="D29" s="118"/>
      <c r="E29" s="118"/>
      <c r="F29" s="118"/>
      <c r="G29" s="118"/>
      <c r="H29" s="118"/>
      <c r="I29" s="118"/>
      <c r="J29" s="118"/>
      <c r="K29" s="118"/>
      <c r="L29" s="118"/>
      <c r="M29" s="109" t="s">
        <v>70</v>
      </c>
      <c r="N29" s="109"/>
      <c r="O29" s="172">
        <f>(O23-C23)/C23</f>
        <v>1.6563024967364504E-2</v>
      </c>
    </row>
    <row r="30" spans="2:20" ht="15">
      <c r="B30" s="114"/>
      <c r="C30" s="118"/>
      <c r="D30" s="118"/>
      <c r="E30" s="118"/>
      <c r="F30" s="118"/>
      <c r="G30" s="118"/>
      <c r="H30" s="118"/>
      <c r="I30" s="118"/>
      <c r="J30" s="118"/>
      <c r="K30" s="118"/>
      <c r="L30" s="118"/>
      <c r="M30" s="109" t="s">
        <v>71</v>
      </c>
      <c r="N30" s="109"/>
      <c r="O30" s="172">
        <f>(O24-C24)/C24</f>
        <v>0.14195503456919242</v>
      </c>
    </row>
    <row r="32" spans="2:20">
      <c r="B32" s="106" t="s">
        <v>149</v>
      </c>
    </row>
    <row r="33" spans="2:16">
      <c r="B33" s="108"/>
      <c r="C33" s="108" t="s">
        <v>31</v>
      </c>
      <c r="D33" s="108" t="s">
        <v>129</v>
      </c>
      <c r="E33" s="108" t="s">
        <v>129</v>
      </c>
      <c r="F33" s="108" t="s">
        <v>129</v>
      </c>
      <c r="G33" s="108" t="s">
        <v>129</v>
      </c>
      <c r="H33" s="108" t="s">
        <v>129</v>
      </c>
      <c r="I33" s="108" t="s">
        <v>129</v>
      </c>
      <c r="J33" s="108" t="s">
        <v>129</v>
      </c>
      <c r="K33" s="108" t="s">
        <v>129</v>
      </c>
      <c r="L33" s="108" t="s">
        <v>129</v>
      </c>
      <c r="M33" s="108" t="s">
        <v>129</v>
      </c>
      <c r="N33" s="108" t="s">
        <v>129</v>
      </c>
      <c r="O33" s="108" t="s">
        <v>129</v>
      </c>
      <c r="P33" s="108" t="s">
        <v>129</v>
      </c>
    </row>
    <row r="34" spans="2:16">
      <c r="B34" s="108"/>
      <c r="C34" s="108" t="s">
        <v>119</v>
      </c>
      <c r="D34" s="108" t="s">
        <v>200</v>
      </c>
      <c r="E34" s="108" t="s">
        <v>201</v>
      </c>
      <c r="F34" s="108" t="s">
        <v>202</v>
      </c>
      <c r="G34" s="108" t="s">
        <v>203</v>
      </c>
      <c r="H34" s="108" t="s">
        <v>204</v>
      </c>
      <c r="I34" s="108" t="s">
        <v>205</v>
      </c>
      <c r="J34" s="108" t="s">
        <v>206</v>
      </c>
      <c r="K34" s="108" t="s">
        <v>207</v>
      </c>
      <c r="L34" s="108" t="s">
        <v>208</v>
      </c>
      <c r="M34" s="108" t="s">
        <v>209</v>
      </c>
      <c r="N34" s="108" t="s">
        <v>210</v>
      </c>
      <c r="O34" s="108" t="s">
        <v>211</v>
      </c>
      <c r="P34" s="108" t="s">
        <v>212</v>
      </c>
    </row>
    <row r="35" spans="2:16">
      <c r="B35" s="108" t="s">
        <v>123</v>
      </c>
      <c r="C35" s="108" t="s">
        <v>124</v>
      </c>
      <c r="D35" s="108" t="s">
        <v>6</v>
      </c>
      <c r="E35" s="108" t="s">
        <v>7</v>
      </c>
      <c r="F35" s="108" t="s">
        <v>8</v>
      </c>
      <c r="G35" s="108" t="s">
        <v>7</v>
      </c>
      <c r="H35" s="108" t="s">
        <v>9</v>
      </c>
      <c r="I35" s="108" t="s">
        <v>9</v>
      </c>
      <c r="J35" s="108" t="s">
        <v>8</v>
      </c>
      <c r="K35" s="108" t="s">
        <v>10</v>
      </c>
      <c r="L35" s="108" t="s">
        <v>11</v>
      </c>
      <c r="M35" s="108" t="s">
        <v>12</v>
      </c>
      <c r="N35" s="108" t="s">
        <v>13</v>
      </c>
      <c r="O35" s="108" t="s">
        <v>5</v>
      </c>
      <c r="P35" s="108" t="s">
        <v>6</v>
      </c>
    </row>
    <row r="36" spans="2:16">
      <c r="B36" s="109" t="s">
        <v>227</v>
      </c>
      <c r="C36" s="109" t="s">
        <v>240</v>
      </c>
      <c r="D36" s="177">
        <v>0</v>
      </c>
      <c r="E36" s="177">
        <v>0</v>
      </c>
      <c r="F36" s="177">
        <v>0</v>
      </c>
      <c r="G36" s="177">
        <v>0</v>
      </c>
      <c r="H36" s="177">
        <v>0</v>
      </c>
      <c r="I36" s="177">
        <v>0</v>
      </c>
      <c r="J36" s="177">
        <v>0</v>
      </c>
      <c r="K36" s="177">
        <v>0</v>
      </c>
      <c r="L36" s="177">
        <v>0</v>
      </c>
      <c r="M36" s="177">
        <v>0</v>
      </c>
      <c r="N36" s="177">
        <v>0</v>
      </c>
      <c r="O36" s="177">
        <v>0</v>
      </c>
      <c r="P36" s="177">
        <v>0</v>
      </c>
    </row>
    <row r="37" spans="2:16">
      <c r="B37" s="109" t="s">
        <v>227</v>
      </c>
      <c r="C37" s="109" t="s">
        <v>229</v>
      </c>
      <c r="D37" s="177">
        <v>19518.400000000001</v>
      </c>
      <c r="E37" s="177">
        <v>27782.799999999999</v>
      </c>
      <c r="F37" s="177">
        <v>26944.799999999999</v>
      </c>
      <c r="G37" s="177">
        <v>49018.7</v>
      </c>
      <c r="H37" s="177">
        <v>39223.4</v>
      </c>
      <c r="I37" s="177">
        <v>28227.7</v>
      </c>
      <c r="J37" s="177">
        <v>23185.3</v>
      </c>
      <c r="K37" s="177">
        <v>23990.400000000001</v>
      </c>
      <c r="L37" s="177">
        <v>36235.599999999999</v>
      </c>
      <c r="M37" s="177">
        <v>35124.9</v>
      </c>
      <c r="N37" s="177">
        <v>25784.6</v>
      </c>
      <c r="O37" s="177">
        <v>35353.199999999997</v>
      </c>
      <c r="P37" s="177">
        <v>38501.599999999999</v>
      </c>
    </row>
    <row r="38" spans="2:16">
      <c r="B38" s="109" t="s">
        <v>227</v>
      </c>
      <c r="C38" s="109" t="s">
        <v>26</v>
      </c>
      <c r="D38" s="177">
        <v>30319.3</v>
      </c>
      <c r="E38" s="177">
        <v>47861.9</v>
      </c>
      <c r="F38" s="177">
        <v>48899.3</v>
      </c>
      <c r="G38" s="177">
        <v>59814.3</v>
      </c>
      <c r="H38" s="177">
        <v>100710.5</v>
      </c>
      <c r="I38" s="177">
        <v>53992.1</v>
      </c>
      <c r="J38" s="177">
        <v>53888.3</v>
      </c>
      <c r="K38" s="177">
        <v>55429.2</v>
      </c>
      <c r="L38" s="177">
        <v>75955.399999999994</v>
      </c>
      <c r="M38" s="177">
        <v>83653.399999999994</v>
      </c>
      <c r="N38" s="177">
        <v>57877.3</v>
      </c>
      <c r="O38" s="177">
        <v>57056.1</v>
      </c>
      <c r="P38" s="177">
        <v>51366.400000000001</v>
      </c>
    </row>
    <row r="39" spans="2:16">
      <c r="B39" s="109" t="s">
        <v>227</v>
      </c>
      <c r="C39" s="109" t="s">
        <v>236</v>
      </c>
      <c r="D39" s="177">
        <v>9.6</v>
      </c>
      <c r="E39" s="177">
        <v>30.1</v>
      </c>
      <c r="F39" s="177">
        <v>13.6</v>
      </c>
      <c r="G39" s="177">
        <v>7.3</v>
      </c>
      <c r="H39" s="177">
        <v>17.3</v>
      </c>
      <c r="I39" s="177">
        <v>2.7</v>
      </c>
      <c r="J39" s="177">
        <v>1.1000000000000001</v>
      </c>
      <c r="K39" s="177">
        <v>0.8</v>
      </c>
      <c r="L39" s="177">
        <v>2</v>
      </c>
      <c r="M39" s="177">
        <v>0</v>
      </c>
      <c r="N39" s="177">
        <v>0</v>
      </c>
      <c r="O39" s="177">
        <v>10.8</v>
      </c>
      <c r="P39" s="177">
        <v>3</v>
      </c>
    </row>
    <row r="40" spans="2:16">
      <c r="B40" s="109" t="s">
        <v>227</v>
      </c>
      <c r="C40" s="109" t="s">
        <v>230</v>
      </c>
      <c r="D40" s="177">
        <v>4595.7</v>
      </c>
      <c r="E40" s="177">
        <v>3279.6</v>
      </c>
      <c r="F40" s="177">
        <v>6553.1</v>
      </c>
      <c r="G40" s="177">
        <v>7845.9</v>
      </c>
      <c r="H40" s="177">
        <v>3498.8</v>
      </c>
      <c r="I40" s="177">
        <v>1736.9</v>
      </c>
      <c r="J40" s="177">
        <v>1823.4</v>
      </c>
      <c r="K40" s="177">
        <v>1551.4</v>
      </c>
      <c r="L40" s="177">
        <v>4285.8999999999996</v>
      </c>
      <c r="M40" s="177">
        <v>7774.4</v>
      </c>
      <c r="N40" s="177">
        <v>14602.9</v>
      </c>
      <c r="O40" s="177">
        <v>4781.6000000000004</v>
      </c>
      <c r="P40" s="177">
        <v>876.5</v>
      </c>
    </row>
    <row r="41" spans="2:16">
      <c r="B41" s="109" t="s">
        <v>227</v>
      </c>
      <c r="C41" s="109" t="s">
        <v>241</v>
      </c>
      <c r="D41" s="177">
        <v>0</v>
      </c>
      <c r="E41" s="177">
        <v>0</v>
      </c>
      <c r="F41" s="177">
        <v>0</v>
      </c>
      <c r="G41" s="177">
        <v>0</v>
      </c>
      <c r="H41" s="177">
        <v>0</v>
      </c>
      <c r="I41" s="177">
        <v>0</v>
      </c>
      <c r="J41" s="177">
        <v>0</v>
      </c>
      <c r="K41" s="177">
        <v>0</v>
      </c>
      <c r="L41" s="177">
        <v>0</v>
      </c>
      <c r="M41" s="177">
        <v>0</v>
      </c>
      <c r="N41" s="177">
        <v>0</v>
      </c>
      <c r="O41" s="177">
        <v>0</v>
      </c>
      <c r="P41" s="177">
        <v>0</v>
      </c>
    </row>
    <row r="42" spans="2:16">
      <c r="B42" s="109" t="s">
        <v>227</v>
      </c>
      <c r="C42" s="109" t="s">
        <v>233</v>
      </c>
      <c r="D42" s="177">
        <v>2486.3000000000002</v>
      </c>
      <c r="E42" s="177">
        <v>3494.1</v>
      </c>
      <c r="F42" s="177">
        <v>2541.5</v>
      </c>
      <c r="G42" s="177">
        <v>7018.8</v>
      </c>
      <c r="H42" s="177">
        <v>11518.7</v>
      </c>
      <c r="I42" s="177">
        <v>5554.8</v>
      </c>
      <c r="J42" s="177">
        <v>5883.3</v>
      </c>
      <c r="K42" s="177">
        <v>5247.3</v>
      </c>
      <c r="L42" s="177">
        <v>7050.1</v>
      </c>
      <c r="M42" s="177">
        <v>7943.5</v>
      </c>
      <c r="N42" s="177">
        <v>8236.4</v>
      </c>
      <c r="O42" s="177">
        <v>5669.6</v>
      </c>
      <c r="P42" s="177">
        <v>6719.4</v>
      </c>
    </row>
    <row r="43" spans="2:16">
      <c r="B43" s="109" t="s">
        <v>227</v>
      </c>
      <c r="C43" s="109" t="s">
        <v>242</v>
      </c>
      <c r="D43" s="177">
        <v>0</v>
      </c>
      <c r="E43" s="177">
        <v>0</v>
      </c>
      <c r="F43" s="177">
        <v>0</v>
      </c>
      <c r="G43" s="177">
        <v>0</v>
      </c>
      <c r="H43" s="177">
        <v>0</v>
      </c>
      <c r="I43" s="177">
        <v>0</v>
      </c>
      <c r="J43" s="177">
        <v>0</v>
      </c>
      <c r="K43" s="177">
        <v>0</v>
      </c>
      <c r="L43" s="177">
        <v>0</v>
      </c>
      <c r="M43" s="177">
        <v>0</v>
      </c>
      <c r="N43" s="177">
        <v>0</v>
      </c>
      <c r="O43" s="177">
        <v>0</v>
      </c>
      <c r="P43" s="177">
        <v>0</v>
      </c>
    </row>
    <row r="44" spans="2:16">
      <c r="B44" s="109" t="s">
        <v>227</v>
      </c>
      <c r="C44" s="109" t="s">
        <v>22</v>
      </c>
      <c r="D44" s="177">
        <v>21689.9</v>
      </c>
      <c r="E44" s="177">
        <v>75296.7</v>
      </c>
      <c r="F44" s="177">
        <v>45882.6</v>
      </c>
      <c r="G44" s="177">
        <v>58284.6</v>
      </c>
      <c r="H44" s="177">
        <v>88256.3</v>
      </c>
      <c r="I44" s="177">
        <v>34688.699999999997</v>
      </c>
      <c r="J44" s="177">
        <v>29023.599999999999</v>
      </c>
      <c r="K44" s="177">
        <v>29358.5</v>
      </c>
      <c r="L44" s="177">
        <v>42190.9</v>
      </c>
      <c r="M44" s="177">
        <v>66112.3</v>
      </c>
      <c r="N44" s="177">
        <v>50297.7</v>
      </c>
      <c r="O44" s="177">
        <v>55012.6</v>
      </c>
      <c r="P44" s="177">
        <v>74091.8</v>
      </c>
    </row>
    <row r="45" spans="2:16">
      <c r="B45" s="109" t="s">
        <v>227</v>
      </c>
      <c r="C45" s="109" t="s">
        <v>243</v>
      </c>
      <c r="D45" s="177">
        <v>0</v>
      </c>
      <c r="E45" s="177">
        <v>0</v>
      </c>
      <c r="F45" s="177">
        <v>0</v>
      </c>
      <c r="G45" s="177">
        <v>0</v>
      </c>
      <c r="H45" s="177">
        <v>0</v>
      </c>
      <c r="I45" s="177">
        <v>0</v>
      </c>
      <c r="J45" s="177">
        <v>0</v>
      </c>
      <c r="K45" s="177">
        <v>0</v>
      </c>
      <c r="L45" s="177">
        <v>0</v>
      </c>
      <c r="M45" s="177">
        <v>0</v>
      </c>
      <c r="N45" s="177">
        <v>0</v>
      </c>
      <c r="O45" s="177">
        <v>0</v>
      </c>
      <c r="P45" s="177">
        <v>0</v>
      </c>
    </row>
    <row r="46" spans="2:16">
      <c r="B46" s="109" t="s">
        <v>227</v>
      </c>
      <c r="C46" s="109" t="s">
        <v>228</v>
      </c>
      <c r="D46" s="177">
        <v>0</v>
      </c>
      <c r="E46" s="177">
        <v>0</v>
      </c>
      <c r="F46" s="177">
        <v>122</v>
      </c>
      <c r="G46" s="177">
        <v>169.5</v>
      </c>
      <c r="H46" s="177">
        <v>69.8</v>
      </c>
      <c r="I46" s="177">
        <v>310</v>
      </c>
      <c r="J46" s="177">
        <v>148</v>
      </c>
      <c r="K46" s="177">
        <v>3.1</v>
      </c>
      <c r="L46" s="177">
        <v>700</v>
      </c>
      <c r="M46" s="177">
        <v>0</v>
      </c>
      <c r="N46" s="177">
        <v>1085.4000000000001</v>
      </c>
      <c r="O46" s="177">
        <v>282.3</v>
      </c>
      <c r="P46" s="177">
        <v>129.69999999999999</v>
      </c>
    </row>
    <row r="47" spans="2:16">
      <c r="B47" s="109" t="s">
        <v>227</v>
      </c>
      <c r="C47" s="109" t="s">
        <v>237</v>
      </c>
      <c r="D47" s="177">
        <v>0</v>
      </c>
      <c r="E47" s="177">
        <v>0</v>
      </c>
      <c r="F47" s="177">
        <v>0</v>
      </c>
      <c r="G47" s="177">
        <v>0</v>
      </c>
      <c r="H47" s="177">
        <v>0</v>
      </c>
      <c r="I47" s="177">
        <v>0</v>
      </c>
      <c r="J47" s="177">
        <v>0</v>
      </c>
      <c r="K47" s="177">
        <v>0</v>
      </c>
      <c r="L47" s="177">
        <v>131.30000000000001</v>
      </c>
      <c r="M47" s="177">
        <v>299.10000000000002</v>
      </c>
      <c r="N47" s="177">
        <v>57.5</v>
      </c>
      <c r="O47" s="177">
        <v>69.8</v>
      </c>
      <c r="P47" s="177">
        <v>8.1</v>
      </c>
    </row>
    <row r="48" spans="2:16">
      <c r="B48" s="109" t="s">
        <v>227</v>
      </c>
      <c r="C48" s="109" t="s">
        <v>244</v>
      </c>
      <c r="D48" s="177">
        <v>0</v>
      </c>
      <c r="E48" s="177">
        <v>0</v>
      </c>
      <c r="F48" s="177">
        <v>0</v>
      </c>
      <c r="G48" s="177">
        <v>0</v>
      </c>
      <c r="H48" s="177">
        <v>0</v>
      </c>
      <c r="I48" s="177">
        <v>0</v>
      </c>
      <c r="J48" s="177">
        <v>0</v>
      </c>
      <c r="K48" s="177">
        <v>0</v>
      </c>
      <c r="L48" s="177">
        <v>0</v>
      </c>
      <c r="M48" s="177">
        <v>0</v>
      </c>
      <c r="N48" s="177">
        <v>0</v>
      </c>
      <c r="O48" s="177">
        <v>0</v>
      </c>
      <c r="P48" s="177">
        <v>0</v>
      </c>
    </row>
    <row r="49" spans="2:16">
      <c r="B49" s="109" t="s">
        <v>227</v>
      </c>
      <c r="C49" s="109" t="s">
        <v>234</v>
      </c>
      <c r="D49" s="177">
        <v>0</v>
      </c>
      <c r="E49" s="177">
        <v>0</v>
      </c>
      <c r="F49" s="177">
        <v>0</v>
      </c>
      <c r="G49" s="177">
        <v>0</v>
      </c>
      <c r="H49" s="177">
        <v>0</v>
      </c>
      <c r="I49" s="177">
        <v>0</v>
      </c>
      <c r="J49" s="177">
        <v>0</v>
      </c>
      <c r="K49" s="177">
        <v>0</v>
      </c>
      <c r="L49" s="177">
        <v>0</v>
      </c>
      <c r="M49" s="177">
        <v>0</v>
      </c>
      <c r="N49" s="177">
        <v>0</v>
      </c>
      <c r="O49" s="177">
        <v>0</v>
      </c>
      <c r="P49" s="177">
        <v>0</v>
      </c>
    </row>
    <row r="50" spans="2:16">
      <c r="B50" s="109" t="s">
        <v>227</v>
      </c>
      <c r="C50" s="109" t="s">
        <v>235</v>
      </c>
      <c r="D50" s="177">
        <v>0</v>
      </c>
      <c r="E50" s="177">
        <v>0</v>
      </c>
      <c r="F50" s="177">
        <v>0</v>
      </c>
      <c r="G50" s="177">
        <v>0</v>
      </c>
      <c r="H50" s="177">
        <v>0</v>
      </c>
      <c r="I50" s="177">
        <v>0</v>
      </c>
      <c r="J50" s="177">
        <v>0</v>
      </c>
      <c r="K50" s="177">
        <v>0</v>
      </c>
      <c r="L50" s="177">
        <v>0</v>
      </c>
      <c r="M50" s="177">
        <v>0</v>
      </c>
      <c r="N50" s="177">
        <v>0</v>
      </c>
      <c r="O50" s="177">
        <v>0</v>
      </c>
      <c r="P50" s="177">
        <v>0</v>
      </c>
    </row>
    <row r="51" spans="2:16">
      <c r="B51" s="109" t="s">
        <v>227</v>
      </c>
      <c r="C51" s="109" t="s">
        <v>232</v>
      </c>
      <c r="D51" s="177">
        <v>32220.5</v>
      </c>
      <c r="E51" s="177">
        <v>32248</v>
      </c>
      <c r="F51" s="177">
        <v>24942.1</v>
      </c>
      <c r="G51" s="177">
        <v>36979</v>
      </c>
      <c r="H51" s="177">
        <v>27501.3</v>
      </c>
      <c r="I51" s="177">
        <v>32397.1</v>
      </c>
      <c r="J51" s="177">
        <v>29140</v>
      </c>
      <c r="K51" s="177">
        <v>44532.5</v>
      </c>
      <c r="L51" s="177">
        <v>30549.8</v>
      </c>
      <c r="M51" s="177">
        <v>41077.1</v>
      </c>
      <c r="N51" s="177">
        <v>54906.6</v>
      </c>
      <c r="O51" s="177">
        <v>28937.8</v>
      </c>
      <c r="P51" s="177">
        <v>42931.7</v>
      </c>
    </row>
    <row r="52" spans="2:16">
      <c r="B52" s="109" t="s">
        <v>227</v>
      </c>
      <c r="C52" s="120" t="s">
        <v>0</v>
      </c>
      <c r="D52" s="121">
        <v>110839.7</v>
      </c>
      <c r="E52" s="121">
        <v>189993.2</v>
      </c>
      <c r="F52" s="121">
        <v>155899</v>
      </c>
      <c r="G52" s="121">
        <v>219138.1</v>
      </c>
      <c r="H52" s="121">
        <v>270796.09999999998</v>
      </c>
      <c r="I52" s="121">
        <v>156910</v>
      </c>
      <c r="J52" s="121">
        <v>143093</v>
      </c>
      <c r="K52" s="121">
        <v>160113.20000000001</v>
      </c>
      <c r="L52" s="121">
        <v>197101</v>
      </c>
      <c r="M52" s="121">
        <v>241984.7</v>
      </c>
      <c r="N52" s="121">
        <v>212848.4</v>
      </c>
      <c r="O52" s="121">
        <v>187173.8</v>
      </c>
      <c r="P52" s="121">
        <v>214628.2</v>
      </c>
    </row>
    <row r="53" spans="2:16">
      <c r="B53" s="109" t="s">
        <v>231</v>
      </c>
      <c r="C53" s="109" t="s">
        <v>240</v>
      </c>
      <c r="D53" s="119">
        <v>0</v>
      </c>
      <c r="E53" s="119">
        <v>0</v>
      </c>
      <c r="F53" s="119">
        <v>0</v>
      </c>
      <c r="G53" s="119">
        <v>0</v>
      </c>
      <c r="H53" s="119">
        <v>0</v>
      </c>
      <c r="I53" s="119">
        <v>0</v>
      </c>
      <c r="J53" s="119">
        <v>0</v>
      </c>
      <c r="K53" s="119">
        <v>0</v>
      </c>
      <c r="L53" s="119">
        <v>0</v>
      </c>
      <c r="M53" s="119">
        <v>0</v>
      </c>
      <c r="N53" s="119">
        <v>0</v>
      </c>
      <c r="O53" s="119">
        <v>0</v>
      </c>
      <c r="P53" s="119">
        <v>0</v>
      </c>
    </row>
    <row r="54" spans="2:16">
      <c r="B54" s="109" t="s">
        <v>231</v>
      </c>
      <c r="C54" s="109" t="s">
        <v>229</v>
      </c>
      <c r="D54" s="119">
        <v>92635.5</v>
      </c>
      <c r="E54" s="119">
        <v>60556.800000000003</v>
      </c>
      <c r="F54" s="119">
        <v>39185.699999999997</v>
      </c>
      <c r="G54" s="119">
        <v>36573.1</v>
      </c>
      <c r="H54" s="119">
        <v>31856.5</v>
      </c>
      <c r="I54" s="119">
        <v>64224.4</v>
      </c>
      <c r="J54" s="119">
        <v>71875.8</v>
      </c>
      <c r="K54" s="119">
        <v>46377.5</v>
      </c>
      <c r="L54" s="119">
        <v>28352.7</v>
      </c>
      <c r="M54" s="119">
        <v>20637.7</v>
      </c>
      <c r="N54" s="119">
        <v>30371.3</v>
      </c>
      <c r="O54" s="119">
        <v>49749</v>
      </c>
      <c r="P54" s="119">
        <v>47780.9</v>
      </c>
    </row>
    <row r="55" spans="2:16">
      <c r="B55" s="109" t="s">
        <v>231</v>
      </c>
      <c r="C55" s="109" t="s">
        <v>26</v>
      </c>
      <c r="D55" s="119">
        <v>28594.2</v>
      </c>
      <c r="E55" s="119">
        <v>29853.7</v>
      </c>
      <c r="F55" s="119">
        <v>20218.599999999999</v>
      </c>
      <c r="G55" s="119">
        <v>14965.8</v>
      </c>
      <c r="H55" s="119">
        <v>21784.2</v>
      </c>
      <c r="I55" s="119">
        <v>40730.5</v>
      </c>
      <c r="J55" s="119">
        <v>44407.8</v>
      </c>
      <c r="K55" s="119">
        <v>52485.1</v>
      </c>
      <c r="L55" s="119">
        <v>33701.800000000003</v>
      </c>
      <c r="M55" s="119">
        <v>33409.300000000003</v>
      </c>
      <c r="N55" s="119">
        <v>38818.699999999997</v>
      </c>
      <c r="O55" s="119">
        <v>21689</v>
      </c>
      <c r="P55" s="119">
        <v>17066.099999999999</v>
      </c>
    </row>
    <row r="56" spans="2:16">
      <c r="B56" s="109" t="s">
        <v>231</v>
      </c>
      <c r="C56" s="109" t="s">
        <v>236</v>
      </c>
      <c r="D56" s="119">
        <v>463.1</v>
      </c>
      <c r="E56" s="119">
        <v>1006.6</v>
      </c>
      <c r="F56" s="119">
        <v>667</v>
      </c>
      <c r="G56" s="119">
        <v>259.5</v>
      </c>
      <c r="H56" s="119">
        <v>332.6</v>
      </c>
      <c r="I56" s="119">
        <v>223.6</v>
      </c>
      <c r="J56" s="119">
        <v>356.8</v>
      </c>
      <c r="K56" s="119">
        <v>420.2</v>
      </c>
      <c r="L56" s="119">
        <v>72.5</v>
      </c>
      <c r="M56" s="119">
        <v>40.799999999999997</v>
      </c>
      <c r="N56" s="119">
        <v>239.5</v>
      </c>
      <c r="O56" s="119">
        <v>1091.7</v>
      </c>
      <c r="P56" s="119">
        <v>83.8</v>
      </c>
    </row>
    <row r="57" spans="2:16">
      <c r="B57" s="109" t="s">
        <v>231</v>
      </c>
      <c r="C57" s="109" t="s">
        <v>230</v>
      </c>
      <c r="D57" s="119">
        <v>59071.9</v>
      </c>
      <c r="E57" s="119">
        <v>69541.7</v>
      </c>
      <c r="F57" s="119">
        <v>58045.1</v>
      </c>
      <c r="G57" s="119">
        <v>26811.1</v>
      </c>
      <c r="H57" s="119">
        <v>25120.799999999999</v>
      </c>
      <c r="I57" s="119">
        <v>39459.699999999997</v>
      </c>
      <c r="J57" s="119">
        <v>41443.4</v>
      </c>
      <c r="K57" s="119">
        <v>46799.1</v>
      </c>
      <c r="L57" s="119">
        <v>27285.599999999999</v>
      </c>
      <c r="M57" s="119">
        <v>17072.8</v>
      </c>
      <c r="N57" s="119">
        <v>44331.3</v>
      </c>
      <c r="O57" s="119">
        <v>44705.2</v>
      </c>
      <c r="P57" s="119">
        <v>30784</v>
      </c>
    </row>
    <row r="58" spans="2:16">
      <c r="B58" s="109" t="s">
        <v>231</v>
      </c>
      <c r="C58" s="109" t="s">
        <v>241</v>
      </c>
      <c r="D58" s="119">
        <v>0</v>
      </c>
      <c r="E58" s="119">
        <v>0</v>
      </c>
      <c r="F58" s="119">
        <v>0</v>
      </c>
      <c r="G58" s="119">
        <v>0</v>
      </c>
      <c r="H58" s="119">
        <v>0</v>
      </c>
      <c r="I58" s="119">
        <v>0</v>
      </c>
      <c r="J58" s="119">
        <v>0</v>
      </c>
      <c r="K58" s="119">
        <v>0</v>
      </c>
      <c r="L58" s="119">
        <v>0</v>
      </c>
      <c r="M58" s="119">
        <v>0</v>
      </c>
      <c r="N58" s="119">
        <v>0</v>
      </c>
      <c r="O58" s="119">
        <v>0</v>
      </c>
      <c r="P58" s="119">
        <v>0</v>
      </c>
    </row>
    <row r="59" spans="2:16">
      <c r="B59" s="109" t="s">
        <v>231</v>
      </c>
      <c r="C59" s="109" t="s">
        <v>233</v>
      </c>
      <c r="D59" s="119">
        <v>13978.3</v>
      </c>
      <c r="E59" s="119">
        <v>24572.7</v>
      </c>
      <c r="F59" s="119">
        <v>10784.5</v>
      </c>
      <c r="G59" s="119">
        <v>4780.8999999999996</v>
      </c>
      <c r="H59" s="119">
        <v>3742.7</v>
      </c>
      <c r="I59" s="119">
        <v>10048.700000000001</v>
      </c>
      <c r="J59" s="119">
        <v>8916.4</v>
      </c>
      <c r="K59" s="119">
        <v>11262.5</v>
      </c>
      <c r="L59" s="119">
        <v>6968.9</v>
      </c>
      <c r="M59" s="119">
        <v>3847.5</v>
      </c>
      <c r="N59" s="119">
        <v>13873.3</v>
      </c>
      <c r="O59" s="119">
        <v>51833.3</v>
      </c>
      <c r="P59" s="119">
        <v>5603.4</v>
      </c>
    </row>
    <row r="60" spans="2:16">
      <c r="B60" s="109" t="s">
        <v>231</v>
      </c>
      <c r="C60" s="109" t="s">
        <v>242</v>
      </c>
      <c r="D60" s="119">
        <v>0</v>
      </c>
      <c r="E60" s="119">
        <v>0</v>
      </c>
      <c r="F60" s="119">
        <v>0</v>
      </c>
      <c r="G60" s="119">
        <v>0</v>
      </c>
      <c r="H60" s="119">
        <v>0</v>
      </c>
      <c r="I60" s="119">
        <v>0</v>
      </c>
      <c r="J60" s="119">
        <v>0</v>
      </c>
      <c r="K60" s="119">
        <v>0</v>
      </c>
      <c r="L60" s="119">
        <v>0</v>
      </c>
      <c r="M60" s="119">
        <v>0</v>
      </c>
      <c r="N60" s="119">
        <v>0</v>
      </c>
      <c r="O60" s="119">
        <v>0</v>
      </c>
      <c r="P60" s="119">
        <v>0</v>
      </c>
    </row>
    <row r="61" spans="2:16">
      <c r="B61" s="109" t="s">
        <v>231</v>
      </c>
      <c r="C61" s="109" t="s">
        <v>22</v>
      </c>
      <c r="D61" s="119">
        <v>19654.8</v>
      </c>
      <c r="E61" s="119">
        <v>29936.2</v>
      </c>
      <c r="F61" s="119">
        <v>30176.3</v>
      </c>
      <c r="G61" s="119">
        <v>9611.2999999999993</v>
      </c>
      <c r="H61" s="119">
        <v>7869.8</v>
      </c>
      <c r="I61" s="119">
        <v>2606.4</v>
      </c>
      <c r="J61" s="119">
        <v>5181.1000000000004</v>
      </c>
      <c r="K61" s="119">
        <v>3698.4</v>
      </c>
      <c r="L61" s="119">
        <v>8057.2</v>
      </c>
      <c r="M61" s="119">
        <v>8820.4</v>
      </c>
      <c r="N61" s="119">
        <v>10280.700000000001</v>
      </c>
      <c r="O61" s="119">
        <v>26560.6</v>
      </c>
      <c r="P61" s="119">
        <v>24359.1</v>
      </c>
    </row>
    <row r="62" spans="2:16">
      <c r="B62" s="109" t="s">
        <v>231</v>
      </c>
      <c r="C62" s="109" t="s">
        <v>243</v>
      </c>
      <c r="D62" s="119">
        <v>0</v>
      </c>
      <c r="E62" s="119">
        <v>0</v>
      </c>
      <c r="F62" s="119">
        <v>0</v>
      </c>
      <c r="G62" s="119">
        <v>0</v>
      </c>
      <c r="H62" s="119">
        <v>0</v>
      </c>
      <c r="I62" s="119">
        <v>0</v>
      </c>
      <c r="J62" s="119">
        <v>0</v>
      </c>
      <c r="K62" s="119">
        <v>0</v>
      </c>
      <c r="L62" s="119">
        <v>0</v>
      </c>
      <c r="M62" s="119">
        <v>0</v>
      </c>
      <c r="N62" s="119">
        <v>0</v>
      </c>
      <c r="O62" s="119">
        <v>0</v>
      </c>
      <c r="P62" s="119">
        <v>0</v>
      </c>
    </row>
    <row r="63" spans="2:16">
      <c r="B63" s="109" t="s">
        <v>231</v>
      </c>
      <c r="C63" s="109" t="s">
        <v>228</v>
      </c>
      <c r="D63" s="119">
        <v>0</v>
      </c>
      <c r="E63" s="119">
        <v>30</v>
      </c>
      <c r="F63" s="119">
        <v>635.29999999999995</v>
      </c>
      <c r="G63" s="119">
        <v>138</v>
      </c>
      <c r="H63" s="119">
        <v>320</v>
      </c>
      <c r="I63" s="119">
        <v>130</v>
      </c>
      <c r="J63" s="119">
        <v>179.2</v>
      </c>
      <c r="K63" s="119">
        <v>178.3</v>
      </c>
      <c r="L63" s="119">
        <v>1524.1</v>
      </c>
      <c r="M63" s="119">
        <v>0</v>
      </c>
      <c r="N63" s="119">
        <v>108.3</v>
      </c>
      <c r="O63" s="119">
        <v>159.6</v>
      </c>
      <c r="P63" s="119">
        <v>40</v>
      </c>
    </row>
    <row r="64" spans="2:16">
      <c r="B64" s="109" t="s">
        <v>231</v>
      </c>
      <c r="C64" s="109" t="s">
        <v>237</v>
      </c>
      <c r="D64" s="119">
        <v>0</v>
      </c>
      <c r="E64" s="119">
        <v>0</v>
      </c>
      <c r="F64" s="119">
        <v>0</v>
      </c>
      <c r="G64" s="119">
        <v>0</v>
      </c>
      <c r="H64" s="119">
        <v>0</v>
      </c>
      <c r="I64" s="119">
        <v>0</v>
      </c>
      <c r="J64" s="119">
        <v>0</v>
      </c>
      <c r="K64" s="119">
        <v>0</v>
      </c>
      <c r="L64" s="119">
        <v>736.2</v>
      </c>
      <c r="M64" s="119">
        <v>757.7</v>
      </c>
      <c r="N64" s="119">
        <v>133.80000000000001</v>
      </c>
      <c r="O64" s="119">
        <v>521.70000000000005</v>
      </c>
      <c r="P64" s="119">
        <v>286.60000000000002</v>
      </c>
    </row>
    <row r="65" spans="2:16">
      <c r="B65" s="109" t="s">
        <v>231</v>
      </c>
      <c r="C65" s="109" t="s">
        <v>244</v>
      </c>
      <c r="D65" s="119">
        <v>0</v>
      </c>
      <c r="E65" s="119">
        <v>0</v>
      </c>
      <c r="F65" s="119">
        <v>0</v>
      </c>
      <c r="G65" s="119">
        <v>0</v>
      </c>
      <c r="H65" s="119">
        <v>0</v>
      </c>
      <c r="I65" s="119">
        <v>0</v>
      </c>
      <c r="J65" s="119">
        <v>0</v>
      </c>
      <c r="K65" s="119">
        <v>0</v>
      </c>
      <c r="L65" s="119">
        <v>0</v>
      </c>
      <c r="M65" s="119">
        <v>0</v>
      </c>
      <c r="N65" s="119">
        <v>0</v>
      </c>
      <c r="O65" s="119">
        <v>0</v>
      </c>
      <c r="P65" s="119">
        <v>0</v>
      </c>
    </row>
    <row r="66" spans="2:16">
      <c r="B66" s="109" t="s">
        <v>231</v>
      </c>
      <c r="C66" s="109" t="s">
        <v>234</v>
      </c>
      <c r="D66" s="119">
        <v>0</v>
      </c>
      <c r="E66" s="119">
        <v>0</v>
      </c>
      <c r="F66" s="119">
        <v>0</v>
      </c>
      <c r="G66" s="119">
        <v>0</v>
      </c>
      <c r="H66" s="119">
        <v>0</v>
      </c>
      <c r="I66" s="119">
        <v>0</v>
      </c>
      <c r="J66" s="119">
        <v>0</v>
      </c>
      <c r="K66" s="119">
        <v>0</v>
      </c>
      <c r="L66" s="119">
        <v>0</v>
      </c>
      <c r="M66" s="119">
        <v>0</v>
      </c>
      <c r="N66" s="119">
        <v>0</v>
      </c>
      <c r="O66" s="119">
        <v>0</v>
      </c>
      <c r="P66" s="119">
        <v>0</v>
      </c>
    </row>
    <row r="67" spans="2:16">
      <c r="B67" s="109" t="s">
        <v>231</v>
      </c>
      <c r="C67" s="109" t="s">
        <v>235</v>
      </c>
      <c r="D67" s="119">
        <v>0</v>
      </c>
      <c r="E67" s="119">
        <v>0</v>
      </c>
      <c r="F67" s="119">
        <v>0</v>
      </c>
      <c r="G67" s="119">
        <v>0</v>
      </c>
      <c r="H67" s="119">
        <v>0</v>
      </c>
      <c r="I67" s="119">
        <v>0</v>
      </c>
      <c r="J67" s="119">
        <v>0</v>
      </c>
      <c r="K67" s="119">
        <v>0</v>
      </c>
      <c r="L67" s="119">
        <v>0</v>
      </c>
      <c r="M67" s="119">
        <v>0</v>
      </c>
      <c r="N67" s="119">
        <v>0</v>
      </c>
      <c r="O67" s="119">
        <v>0</v>
      </c>
      <c r="P67" s="119">
        <v>0</v>
      </c>
    </row>
    <row r="68" spans="2:16">
      <c r="B68" s="109" t="s">
        <v>231</v>
      </c>
      <c r="C68" s="109" t="s">
        <v>232</v>
      </c>
      <c r="D68" s="119">
        <v>9063.5</v>
      </c>
      <c r="E68" s="119">
        <v>14315.8</v>
      </c>
      <c r="F68" s="119">
        <v>9263.7000000000007</v>
      </c>
      <c r="G68" s="119">
        <v>3683.8</v>
      </c>
      <c r="H68" s="119">
        <v>1244.9000000000001</v>
      </c>
      <c r="I68" s="119">
        <v>1680.4</v>
      </c>
      <c r="J68" s="119">
        <v>4517</v>
      </c>
      <c r="K68" s="119">
        <v>4969.7</v>
      </c>
      <c r="L68" s="119">
        <v>3817.1</v>
      </c>
      <c r="M68" s="119">
        <v>5932.4</v>
      </c>
      <c r="N68" s="119">
        <v>8046.3</v>
      </c>
      <c r="O68" s="119">
        <v>11348.4</v>
      </c>
      <c r="P68" s="119">
        <v>5220.7</v>
      </c>
    </row>
    <row r="69" spans="2:16">
      <c r="B69" s="161" t="s">
        <v>231</v>
      </c>
      <c r="C69" s="145" t="s">
        <v>0</v>
      </c>
      <c r="D69" s="121">
        <v>223461.3</v>
      </c>
      <c r="E69" s="121">
        <v>229813.5</v>
      </c>
      <c r="F69" s="121">
        <v>168976.2</v>
      </c>
      <c r="G69" s="121">
        <v>96823.5</v>
      </c>
      <c r="H69" s="121">
        <v>92271.5</v>
      </c>
      <c r="I69" s="121">
        <v>159103.70000000001</v>
      </c>
      <c r="J69" s="121">
        <v>176877.5</v>
      </c>
      <c r="K69" s="121">
        <v>166190.79999999999</v>
      </c>
      <c r="L69" s="121">
        <v>110516.1</v>
      </c>
      <c r="M69" s="121">
        <v>90518.6</v>
      </c>
      <c r="N69" s="121">
        <v>146203.20000000001</v>
      </c>
      <c r="O69" s="121">
        <v>207658.5</v>
      </c>
      <c r="P69" s="121">
        <v>131224.6</v>
      </c>
    </row>
    <row r="70" spans="2:16">
      <c r="B70" s="205" t="s">
        <v>139</v>
      </c>
      <c r="C70" s="145"/>
      <c r="D70" s="174">
        <v>68.272500196199999</v>
      </c>
      <c r="E70" s="174">
        <v>53.459637766</v>
      </c>
      <c r="F70" s="174">
        <v>51.962276409700003</v>
      </c>
      <c r="G70" s="174">
        <v>54.692289017699999</v>
      </c>
      <c r="H70" s="174">
        <v>58.053899003700003</v>
      </c>
      <c r="I70" s="174">
        <v>57.819714231100001</v>
      </c>
      <c r="J70" s="174">
        <v>55.585096335899998</v>
      </c>
      <c r="K70" s="174">
        <v>56.231510706199998</v>
      </c>
      <c r="L70" s="174">
        <v>64.784309668600002</v>
      </c>
      <c r="M70" s="174">
        <v>70.107599447400005</v>
      </c>
      <c r="N70" s="174">
        <v>78.756404746300007</v>
      </c>
      <c r="O70" s="174">
        <v>62.437006568199998</v>
      </c>
      <c r="P70" s="174">
        <v>65.942944356799998</v>
      </c>
    </row>
    <row r="71" spans="2:16" ht="15" customHeight="1">
      <c r="B71" s="206"/>
      <c r="C71" s="146"/>
      <c r="D71" s="175">
        <v>28.525761104899999</v>
      </c>
      <c r="E71" s="175">
        <v>19.292700864</v>
      </c>
      <c r="F71" s="175">
        <v>26.8904340375</v>
      </c>
      <c r="G71" s="175">
        <v>30.571421091000001</v>
      </c>
      <c r="H71" s="175">
        <v>36.435668434999997</v>
      </c>
      <c r="I71" s="175">
        <v>36.143624378299997</v>
      </c>
      <c r="J71" s="175">
        <v>33.497112747499997</v>
      </c>
      <c r="K71" s="175">
        <v>30.933778283799999</v>
      </c>
      <c r="L71" s="175">
        <v>35.307517909200001</v>
      </c>
      <c r="M71" s="175">
        <v>45.196962723699997</v>
      </c>
      <c r="N71" s="175">
        <v>36.297392464700003</v>
      </c>
      <c r="O71" s="175">
        <v>24.798933392999999</v>
      </c>
      <c r="P71" s="175">
        <v>39.032916008100003</v>
      </c>
    </row>
    <row r="72" spans="2:16">
      <c r="B72" s="114"/>
      <c r="C72" s="114"/>
      <c r="D72" s="114"/>
      <c r="E72" s="114"/>
      <c r="F72" s="114"/>
      <c r="G72" s="114"/>
      <c r="H72" s="114"/>
      <c r="I72" s="114"/>
      <c r="J72" s="114"/>
      <c r="K72" s="114"/>
      <c r="L72" s="114"/>
      <c r="M72" s="114"/>
      <c r="N72" s="114"/>
      <c r="O72" s="114"/>
      <c r="P72" s="114"/>
    </row>
    <row r="73" spans="2:16">
      <c r="B73" s="114"/>
      <c r="C73" s="114"/>
      <c r="D73" s="114"/>
      <c r="E73" s="114"/>
      <c r="F73" s="114"/>
      <c r="G73" s="114"/>
      <c r="H73" s="114"/>
      <c r="I73" s="114"/>
      <c r="J73" s="114"/>
      <c r="K73" s="114"/>
      <c r="L73" s="114"/>
      <c r="M73" s="114"/>
      <c r="N73" s="109"/>
      <c r="O73" s="116"/>
      <c r="P73" s="109" t="s">
        <v>85</v>
      </c>
    </row>
    <row r="74" spans="2:16">
      <c r="B74" s="114"/>
      <c r="C74" s="114"/>
      <c r="D74" s="114"/>
      <c r="E74" s="114"/>
      <c r="F74" s="114"/>
      <c r="G74" s="114"/>
      <c r="H74" s="114"/>
      <c r="I74" s="114"/>
      <c r="J74" s="114"/>
      <c r="K74" s="114"/>
      <c r="L74" s="114"/>
      <c r="M74" s="114"/>
      <c r="N74" s="109" t="s">
        <v>69</v>
      </c>
      <c r="O74" s="116"/>
      <c r="P74" s="172">
        <f>(P52-D52)/D52</f>
        <v>0.93638380471978921</v>
      </c>
    </row>
    <row r="75" spans="2:16">
      <c r="B75" s="114"/>
      <c r="C75" s="114"/>
      <c r="D75" s="114"/>
      <c r="E75" s="114"/>
      <c r="F75" s="114"/>
      <c r="G75" s="114"/>
      <c r="H75" s="114"/>
      <c r="I75" s="114"/>
      <c r="J75" s="114"/>
      <c r="K75" s="114"/>
      <c r="L75" s="114"/>
      <c r="M75" s="114"/>
      <c r="N75" s="109" t="s">
        <v>68</v>
      </c>
      <c r="O75" s="116"/>
      <c r="P75" s="172">
        <f>(P69-D69)/D69</f>
        <v>-0.412763641847604</v>
      </c>
    </row>
    <row r="76" spans="2:16">
      <c r="B76" s="114"/>
      <c r="C76" s="114"/>
      <c r="D76" s="114"/>
      <c r="E76" s="114"/>
      <c r="F76" s="114"/>
      <c r="G76" s="114"/>
      <c r="H76" s="114"/>
      <c r="I76" s="114"/>
      <c r="J76" s="114"/>
      <c r="K76" s="114"/>
      <c r="L76" s="114"/>
      <c r="M76" s="114"/>
      <c r="N76" s="109" t="s">
        <v>74</v>
      </c>
      <c r="O76" s="116"/>
      <c r="P76" s="172">
        <f>((P52+P69)-(D52+D69))/(D52+D69)</f>
        <v>3.4555086583647809E-2</v>
      </c>
    </row>
    <row r="77" spans="2:16">
      <c r="B77" s="114"/>
      <c r="C77" s="114"/>
      <c r="D77" s="114"/>
      <c r="E77" s="114"/>
      <c r="F77" s="114"/>
      <c r="G77" s="114"/>
      <c r="H77" s="114"/>
      <c r="I77" s="114"/>
      <c r="J77" s="114"/>
      <c r="K77" s="114"/>
      <c r="L77" s="114"/>
      <c r="M77" s="114"/>
      <c r="N77" s="109" t="s">
        <v>70</v>
      </c>
      <c r="O77" s="116"/>
      <c r="P77" s="172">
        <f>(P70-D70)/D70</f>
        <v>-3.4121437367979422E-2</v>
      </c>
    </row>
    <row r="78" spans="2:16">
      <c r="B78" s="114"/>
      <c r="C78" s="114"/>
      <c r="D78" s="114"/>
      <c r="E78" s="114"/>
      <c r="F78" s="114"/>
      <c r="G78" s="114"/>
      <c r="H78" s="114"/>
      <c r="I78" s="114"/>
      <c r="J78" s="114"/>
      <c r="K78" s="114"/>
      <c r="L78" s="114"/>
      <c r="M78" s="114"/>
      <c r="N78" s="109" t="s">
        <v>71</v>
      </c>
      <c r="O78" s="116"/>
      <c r="P78" s="172">
        <f>(P71-D71)/D71</f>
        <v>0.36833916068220673</v>
      </c>
    </row>
    <row r="80" spans="2:16">
      <c r="B80" s="106" t="s">
        <v>150</v>
      </c>
    </row>
    <row r="81" spans="2:16">
      <c r="B81" s="108"/>
      <c r="C81" s="108" t="s">
        <v>31</v>
      </c>
      <c r="D81" s="108" t="s">
        <v>130</v>
      </c>
      <c r="E81" s="108" t="s">
        <v>130</v>
      </c>
      <c r="F81" s="108" t="s">
        <v>130</v>
      </c>
      <c r="G81" s="108" t="s">
        <v>130</v>
      </c>
      <c r="H81" s="108" t="s">
        <v>130</v>
      </c>
      <c r="I81" s="108" t="s">
        <v>130</v>
      </c>
      <c r="J81" s="108" t="s">
        <v>130</v>
      </c>
      <c r="K81" s="108" t="s">
        <v>130</v>
      </c>
      <c r="L81" s="108" t="s">
        <v>130</v>
      </c>
      <c r="M81" s="108" t="s">
        <v>130</v>
      </c>
      <c r="N81" s="108" t="s">
        <v>130</v>
      </c>
      <c r="O81" s="108" t="s">
        <v>130</v>
      </c>
      <c r="P81" s="108" t="s">
        <v>130</v>
      </c>
    </row>
    <row r="82" spans="2:16">
      <c r="B82" s="108"/>
      <c r="C82" s="108" t="s">
        <v>119</v>
      </c>
      <c r="D82" s="108" t="s">
        <v>200</v>
      </c>
      <c r="E82" s="108" t="s">
        <v>201</v>
      </c>
      <c r="F82" s="108" t="s">
        <v>202</v>
      </c>
      <c r="G82" s="108" t="s">
        <v>203</v>
      </c>
      <c r="H82" s="108" t="s">
        <v>204</v>
      </c>
      <c r="I82" s="108" t="s">
        <v>205</v>
      </c>
      <c r="J82" s="108" t="s">
        <v>206</v>
      </c>
      <c r="K82" s="108" t="s">
        <v>207</v>
      </c>
      <c r="L82" s="108" t="s">
        <v>208</v>
      </c>
      <c r="M82" s="108" t="s">
        <v>209</v>
      </c>
      <c r="N82" s="108" t="s">
        <v>210</v>
      </c>
      <c r="O82" s="108" t="s">
        <v>211</v>
      </c>
      <c r="P82" s="108" t="s">
        <v>212</v>
      </c>
    </row>
    <row r="83" spans="2:16">
      <c r="B83" s="108" t="s">
        <v>123</v>
      </c>
      <c r="C83" s="108" t="s">
        <v>124</v>
      </c>
      <c r="D83" s="108" t="s">
        <v>6</v>
      </c>
      <c r="E83" s="108" t="s">
        <v>7</v>
      </c>
      <c r="F83" s="108" t="s">
        <v>8</v>
      </c>
      <c r="G83" s="108" t="s">
        <v>7</v>
      </c>
      <c r="H83" s="108" t="s">
        <v>9</v>
      </c>
      <c r="I83" s="108" t="s">
        <v>9</v>
      </c>
      <c r="J83" s="108" t="s">
        <v>8</v>
      </c>
      <c r="K83" s="108" t="s">
        <v>10</v>
      </c>
      <c r="L83" s="108" t="s">
        <v>11</v>
      </c>
      <c r="M83" s="108" t="s">
        <v>12</v>
      </c>
      <c r="N83" s="108" t="s">
        <v>13</v>
      </c>
      <c r="O83" s="108" t="s">
        <v>5</v>
      </c>
      <c r="P83" s="108" t="s">
        <v>6</v>
      </c>
    </row>
    <row r="84" spans="2:16">
      <c r="B84" s="109" t="s">
        <v>227</v>
      </c>
      <c r="C84" s="109" t="s">
        <v>229</v>
      </c>
      <c r="D84" s="119">
        <v>11782.3</v>
      </c>
      <c r="E84" s="119">
        <v>10392.299999999999</v>
      </c>
      <c r="F84" s="119">
        <v>11417.3</v>
      </c>
      <c r="G84" s="119">
        <v>14921.9</v>
      </c>
      <c r="H84" s="119">
        <v>35897.1</v>
      </c>
      <c r="I84" s="119">
        <v>15424.3</v>
      </c>
      <c r="J84" s="119">
        <v>17604.099999999999</v>
      </c>
      <c r="K84" s="119">
        <v>9030.9</v>
      </c>
      <c r="L84" s="119">
        <v>13899.2</v>
      </c>
      <c r="M84" s="119">
        <v>19298.3</v>
      </c>
      <c r="N84" s="119">
        <v>36464.5</v>
      </c>
      <c r="O84" s="119">
        <v>18538.8</v>
      </c>
      <c r="P84" s="119">
        <v>33434.800000000003</v>
      </c>
    </row>
    <row r="85" spans="2:16">
      <c r="B85" s="109" t="s">
        <v>227</v>
      </c>
      <c r="C85" s="109" t="s">
        <v>26</v>
      </c>
      <c r="D85" s="119">
        <v>9297.4</v>
      </c>
      <c r="E85" s="119">
        <v>9024.7999999999993</v>
      </c>
      <c r="F85" s="119">
        <v>11177.4</v>
      </c>
      <c r="G85" s="119">
        <v>12578.5</v>
      </c>
      <c r="H85" s="119">
        <v>86103.9</v>
      </c>
      <c r="I85" s="119">
        <v>25298.7</v>
      </c>
      <c r="J85" s="119">
        <v>20278.5</v>
      </c>
      <c r="K85" s="119">
        <v>13355.9</v>
      </c>
      <c r="L85" s="119">
        <v>20227.3</v>
      </c>
      <c r="M85" s="119">
        <v>45604</v>
      </c>
      <c r="N85" s="119">
        <v>72616.800000000003</v>
      </c>
      <c r="O85" s="119">
        <v>25466.6</v>
      </c>
      <c r="P85" s="119">
        <v>34817.699999999997</v>
      </c>
    </row>
    <row r="86" spans="2:16">
      <c r="B86" s="109" t="s">
        <v>227</v>
      </c>
      <c r="C86" s="109" t="s">
        <v>236</v>
      </c>
      <c r="D86" s="119">
        <v>0</v>
      </c>
      <c r="E86" s="119">
        <v>0</v>
      </c>
      <c r="F86" s="119">
        <v>1</v>
      </c>
      <c r="G86" s="119">
        <v>0</v>
      </c>
      <c r="H86" s="119">
        <v>16</v>
      </c>
      <c r="I86" s="119">
        <v>6</v>
      </c>
      <c r="J86" s="119">
        <v>0</v>
      </c>
      <c r="K86" s="119">
        <v>0</v>
      </c>
      <c r="L86" s="119">
        <v>0</v>
      </c>
      <c r="M86" s="119">
        <v>0</v>
      </c>
      <c r="N86" s="119">
        <v>0</v>
      </c>
      <c r="O86" s="119">
        <v>0</v>
      </c>
      <c r="P86" s="119">
        <v>0</v>
      </c>
    </row>
    <row r="87" spans="2:16">
      <c r="B87" s="109" t="s">
        <v>227</v>
      </c>
      <c r="C87" s="109" t="s">
        <v>230</v>
      </c>
      <c r="D87" s="119">
        <v>2429.3000000000002</v>
      </c>
      <c r="E87" s="119">
        <v>1213</v>
      </c>
      <c r="F87" s="119">
        <v>2298.6999999999998</v>
      </c>
      <c r="G87" s="119">
        <v>1623.5</v>
      </c>
      <c r="H87" s="119">
        <v>4321.8999999999996</v>
      </c>
      <c r="I87" s="119">
        <v>1196.5</v>
      </c>
      <c r="J87" s="119">
        <v>1953.7</v>
      </c>
      <c r="K87" s="119">
        <v>972.7</v>
      </c>
      <c r="L87" s="119">
        <v>3473.9</v>
      </c>
      <c r="M87" s="119">
        <v>3226</v>
      </c>
      <c r="N87" s="119">
        <v>14393.3</v>
      </c>
      <c r="O87" s="119">
        <v>6696</v>
      </c>
      <c r="P87" s="119">
        <v>1704</v>
      </c>
    </row>
    <row r="88" spans="2:16">
      <c r="B88" s="109" t="s">
        <v>227</v>
      </c>
      <c r="C88" s="109" t="s">
        <v>233</v>
      </c>
      <c r="D88" s="119">
        <v>37.700000000000003</v>
      </c>
      <c r="E88" s="119">
        <v>83.9</v>
      </c>
      <c r="F88" s="119">
        <v>146.30000000000001</v>
      </c>
      <c r="G88" s="119">
        <v>791</v>
      </c>
      <c r="H88" s="119">
        <v>1499</v>
      </c>
      <c r="I88" s="119">
        <v>694.8</v>
      </c>
      <c r="J88" s="119">
        <v>1479</v>
      </c>
      <c r="K88" s="119">
        <v>456.9</v>
      </c>
      <c r="L88" s="119">
        <v>731.2</v>
      </c>
      <c r="M88" s="119">
        <v>983.4</v>
      </c>
      <c r="N88" s="119">
        <v>4195.1000000000004</v>
      </c>
      <c r="O88" s="119">
        <v>686</v>
      </c>
      <c r="P88" s="119">
        <v>1654.6</v>
      </c>
    </row>
    <row r="89" spans="2:16">
      <c r="B89" s="109" t="s">
        <v>227</v>
      </c>
      <c r="C89" s="109" t="s">
        <v>22</v>
      </c>
      <c r="D89" s="119">
        <v>5011.6000000000004</v>
      </c>
      <c r="E89" s="119">
        <v>15815.6</v>
      </c>
      <c r="F89" s="119">
        <v>6448.1</v>
      </c>
      <c r="G89" s="119">
        <v>6148.7</v>
      </c>
      <c r="H89" s="119">
        <v>35181.699999999997</v>
      </c>
      <c r="I89" s="119">
        <v>12560.8</v>
      </c>
      <c r="J89" s="119">
        <v>9282.6</v>
      </c>
      <c r="K89" s="119">
        <v>7586.6</v>
      </c>
      <c r="L89" s="119">
        <v>6859.3</v>
      </c>
      <c r="M89" s="119">
        <v>22432</v>
      </c>
      <c r="N89" s="119">
        <v>32118.7</v>
      </c>
      <c r="O89" s="119">
        <v>14339.3</v>
      </c>
      <c r="P89" s="119">
        <v>32219.8</v>
      </c>
    </row>
    <row r="90" spans="2:16">
      <c r="B90" s="109" t="s">
        <v>227</v>
      </c>
      <c r="C90" s="109" t="s">
        <v>228</v>
      </c>
      <c r="D90" s="119">
        <v>0</v>
      </c>
      <c r="E90" s="119">
        <v>0</v>
      </c>
      <c r="F90" s="119">
        <v>105</v>
      </c>
      <c r="G90" s="119">
        <v>0</v>
      </c>
      <c r="H90" s="119">
        <v>537</v>
      </c>
      <c r="I90" s="119">
        <v>231</v>
      </c>
      <c r="J90" s="119">
        <v>0</v>
      </c>
      <c r="K90" s="119">
        <v>0</v>
      </c>
      <c r="L90" s="119">
        <v>0</v>
      </c>
      <c r="M90" s="119">
        <v>0</v>
      </c>
      <c r="N90" s="119">
        <v>1236</v>
      </c>
      <c r="O90" s="119">
        <v>277</v>
      </c>
      <c r="P90" s="119">
        <v>258</v>
      </c>
    </row>
    <row r="91" spans="2:16">
      <c r="B91" s="109" t="s">
        <v>227</v>
      </c>
      <c r="C91" s="109" t="s">
        <v>232</v>
      </c>
      <c r="D91" s="119">
        <v>3301.6</v>
      </c>
      <c r="E91" s="119">
        <v>5970.4</v>
      </c>
      <c r="F91" s="119">
        <v>1824.9</v>
      </c>
      <c r="G91" s="119">
        <v>5041.6000000000004</v>
      </c>
      <c r="H91" s="119">
        <v>13587.3</v>
      </c>
      <c r="I91" s="119">
        <v>9853.2999999999993</v>
      </c>
      <c r="J91" s="119">
        <v>10537.6</v>
      </c>
      <c r="K91" s="119">
        <v>7497.3</v>
      </c>
      <c r="L91" s="119">
        <v>9809.2999999999993</v>
      </c>
      <c r="M91" s="119">
        <v>16186.5</v>
      </c>
      <c r="N91" s="119">
        <v>39485.4</v>
      </c>
      <c r="O91" s="119">
        <v>7767.7</v>
      </c>
      <c r="P91" s="119">
        <v>14790.9</v>
      </c>
    </row>
    <row r="92" spans="2:16">
      <c r="B92" s="109" t="s">
        <v>227</v>
      </c>
      <c r="C92" s="120" t="s">
        <v>0</v>
      </c>
      <c r="D92" s="121">
        <v>31859.9</v>
      </c>
      <c r="E92" s="121">
        <v>42500</v>
      </c>
      <c r="F92" s="121">
        <v>33418.699999999997</v>
      </c>
      <c r="G92" s="121">
        <v>41105.199999999997</v>
      </c>
      <c r="H92" s="121">
        <v>177143.9</v>
      </c>
      <c r="I92" s="121">
        <v>65265.4</v>
      </c>
      <c r="J92" s="121">
        <v>61135.5</v>
      </c>
      <c r="K92" s="121">
        <v>38900.300000000003</v>
      </c>
      <c r="L92" s="121">
        <v>55000.2</v>
      </c>
      <c r="M92" s="121">
        <v>107730.2</v>
      </c>
      <c r="N92" s="121">
        <v>200509.8</v>
      </c>
      <c r="O92" s="121">
        <v>73771.399999999994</v>
      </c>
      <c r="P92" s="121">
        <v>118879.8</v>
      </c>
    </row>
    <row r="93" spans="2:16">
      <c r="B93" s="109" t="s">
        <v>231</v>
      </c>
      <c r="C93" s="109" t="s">
        <v>229</v>
      </c>
      <c r="D93" s="119">
        <v>50376</v>
      </c>
      <c r="E93" s="119">
        <v>46429</v>
      </c>
      <c r="F93" s="119">
        <v>17956.2</v>
      </c>
      <c r="G93" s="119">
        <v>6283.8</v>
      </c>
      <c r="H93" s="119">
        <v>10864.5</v>
      </c>
      <c r="I93" s="119">
        <v>27924.7</v>
      </c>
      <c r="J93" s="119">
        <v>43819.1</v>
      </c>
      <c r="K93" s="119">
        <v>23995.8</v>
      </c>
      <c r="L93" s="119">
        <v>6238.1</v>
      </c>
      <c r="M93" s="119">
        <v>4345.3999999999996</v>
      </c>
      <c r="N93" s="119">
        <v>11031.5</v>
      </c>
      <c r="O93" s="119">
        <v>24843.5</v>
      </c>
      <c r="P93" s="119">
        <v>9788.2999999999993</v>
      </c>
    </row>
    <row r="94" spans="2:16">
      <c r="B94" s="109" t="s">
        <v>231</v>
      </c>
      <c r="C94" s="109" t="s">
        <v>26</v>
      </c>
      <c r="D94" s="119">
        <v>18600.8</v>
      </c>
      <c r="E94" s="119">
        <v>22875.8</v>
      </c>
      <c r="F94" s="119">
        <v>12815.5</v>
      </c>
      <c r="G94" s="119">
        <v>4145.3</v>
      </c>
      <c r="H94" s="119">
        <v>7378.2</v>
      </c>
      <c r="I94" s="119">
        <v>18737.8</v>
      </c>
      <c r="J94" s="119">
        <v>26947.4</v>
      </c>
      <c r="K94" s="119">
        <v>23603.4</v>
      </c>
      <c r="L94" s="119">
        <v>6107.2</v>
      </c>
      <c r="M94" s="119">
        <v>8205.2999999999993</v>
      </c>
      <c r="N94" s="119">
        <v>9660.7000000000007</v>
      </c>
      <c r="O94" s="119">
        <v>12025</v>
      </c>
      <c r="P94" s="119">
        <v>2896.9</v>
      </c>
    </row>
    <row r="95" spans="2:16">
      <c r="B95" s="109" t="s">
        <v>231</v>
      </c>
      <c r="C95" s="109" t="s">
        <v>236</v>
      </c>
      <c r="D95" s="119">
        <v>92.8</v>
      </c>
      <c r="E95" s="119">
        <v>230</v>
      </c>
      <c r="F95" s="119">
        <v>103.4</v>
      </c>
      <c r="G95" s="119">
        <v>18.899999999999999</v>
      </c>
      <c r="H95" s="119">
        <v>88.1</v>
      </c>
      <c r="I95" s="119">
        <v>26.5</v>
      </c>
      <c r="J95" s="119">
        <v>131.4</v>
      </c>
      <c r="K95" s="119">
        <v>120.4</v>
      </c>
      <c r="L95" s="119">
        <v>11.4</v>
      </c>
      <c r="M95" s="119">
        <v>0</v>
      </c>
      <c r="N95" s="119">
        <v>0</v>
      </c>
      <c r="O95" s="119">
        <v>139.19999999999999</v>
      </c>
      <c r="P95" s="119">
        <v>13</v>
      </c>
    </row>
    <row r="96" spans="2:16">
      <c r="B96" s="109" t="s">
        <v>231</v>
      </c>
      <c r="C96" s="109" t="s">
        <v>230</v>
      </c>
      <c r="D96" s="119">
        <v>18257.2</v>
      </c>
      <c r="E96" s="119">
        <v>26858.5</v>
      </c>
      <c r="F96" s="119">
        <v>12162.2</v>
      </c>
      <c r="G96" s="119">
        <v>7977.8</v>
      </c>
      <c r="H96" s="119">
        <v>16621.400000000001</v>
      </c>
      <c r="I96" s="119">
        <v>21039.7</v>
      </c>
      <c r="J96" s="119">
        <v>18038.2</v>
      </c>
      <c r="K96" s="119">
        <v>18312.900000000001</v>
      </c>
      <c r="L96" s="119">
        <v>8233.1</v>
      </c>
      <c r="M96" s="119">
        <v>6736.7</v>
      </c>
      <c r="N96" s="119">
        <v>16502.5</v>
      </c>
      <c r="O96" s="119">
        <v>12696.1</v>
      </c>
      <c r="P96" s="119">
        <v>5978.6</v>
      </c>
    </row>
    <row r="97" spans="1:16">
      <c r="B97" s="109" t="s">
        <v>231</v>
      </c>
      <c r="C97" s="109" t="s">
        <v>233</v>
      </c>
      <c r="D97" s="119">
        <v>867.9</v>
      </c>
      <c r="E97" s="119">
        <v>1566</v>
      </c>
      <c r="F97" s="119">
        <v>688.3</v>
      </c>
      <c r="G97" s="119">
        <v>313</v>
      </c>
      <c r="H97" s="119">
        <v>464.4</v>
      </c>
      <c r="I97" s="119">
        <v>1083.3</v>
      </c>
      <c r="J97" s="119">
        <v>700.3</v>
      </c>
      <c r="K97" s="119">
        <v>630.70000000000005</v>
      </c>
      <c r="L97" s="119">
        <v>466.1</v>
      </c>
      <c r="M97" s="119">
        <v>204.5</v>
      </c>
      <c r="N97" s="119">
        <v>1775.9</v>
      </c>
      <c r="O97" s="119">
        <v>3036.8</v>
      </c>
      <c r="P97" s="119">
        <v>470.2</v>
      </c>
    </row>
    <row r="98" spans="1:16">
      <c r="B98" s="109" t="s">
        <v>231</v>
      </c>
      <c r="C98" s="109" t="s">
        <v>22</v>
      </c>
      <c r="D98" s="119">
        <v>17793.5</v>
      </c>
      <c r="E98" s="119">
        <v>20878.900000000001</v>
      </c>
      <c r="F98" s="119">
        <v>19850.2</v>
      </c>
      <c r="G98" s="119">
        <v>4389.8</v>
      </c>
      <c r="H98" s="119">
        <v>2067.3000000000002</v>
      </c>
      <c r="I98" s="119">
        <v>2318.1</v>
      </c>
      <c r="J98" s="119">
        <v>5037</v>
      </c>
      <c r="K98" s="119">
        <v>2095.3000000000002</v>
      </c>
      <c r="L98" s="119">
        <v>1774.5</v>
      </c>
      <c r="M98" s="119">
        <v>506</v>
      </c>
      <c r="N98" s="119">
        <v>2151.1999999999998</v>
      </c>
      <c r="O98" s="119">
        <v>14862.1</v>
      </c>
      <c r="P98" s="119">
        <v>6144.5</v>
      </c>
    </row>
    <row r="99" spans="1:16">
      <c r="B99" s="109" t="s">
        <v>231</v>
      </c>
      <c r="C99" s="109" t="s">
        <v>228</v>
      </c>
      <c r="D99" s="119">
        <v>0</v>
      </c>
      <c r="E99" s="119">
        <v>0</v>
      </c>
      <c r="F99" s="119">
        <v>66</v>
      </c>
      <c r="G99" s="119">
        <v>0</v>
      </c>
      <c r="H99" s="119">
        <v>1381.8</v>
      </c>
      <c r="I99" s="119">
        <v>0</v>
      </c>
      <c r="J99" s="119">
        <v>0</v>
      </c>
      <c r="K99" s="119">
        <v>0</v>
      </c>
      <c r="L99" s="119">
        <v>300.5</v>
      </c>
      <c r="M99" s="119">
        <v>0</v>
      </c>
      <c r="N99" s="119">
        <v>0</v>
      </c>
      <c r="O99" s="119">
        <v>109.8</v>
      </c>
      <c r="P99" s="119">
        <v>0</v>
      </c>
    </row>
    <row r="100" spans="1:16">
      <c r="B100" s="109" t="s">
        <v>231</v>
      </c>
      <c r="C100" s="109" t="s">
        <v>237</v>
      </c>
      <c r="D100" s="119">
        <v>0</v>
      </c>
      <c r="E100" s="119">
        <v>0</v>
      </c>
      <c r="F100" s="119">
        <v>0</v>
      </c>
      <c r="G100" s="119">
        <v>0</v>
      </c>
      <c r="H100" s="119">
        <v>0</v>
      </c>
      <c r="I100" s="119">
        <v>0</v>
      </c>
      <c r="J100" s="119">
        <v>0</v>
      </c>
      <c r="K100" s="119">
        <v>0</v>
      </c>
      <c r="L100" s="119">
        <v>0</v>
      </c>
      <c r="M100" s="119">
        <v>0</v>
      </c>
      <c r="N100" s="119">
        <v>0</v>
      </c>
      <c r="O100" s="119">
        <v>0</v>
      </c>
      <c r="P100" s="119">
        <v>2</v>
      </c>
    </row>
    <row r="101" spans="1:16">
      <c r="A101" s="190"/>
      <c r="B101" s="109" t="s">
        <v>231</v>
      </c>
      <c r="C101" s="109" t="s">
        <v>232</v>
      </c>
      <c r="D101" s="119">
        <v>4596.7</v>
      </c>
      <c r="E101" s="119">
        <v>13810.2</v>
      </c>
      <c r="F101" s="119">
        <v>11430.1</v>
      </c>
      <c r="G101" s="119">
        <v>935.6</v>
      </c>
      <c r="H101" s="119">
        <v>160.4</v>
      </c>
      <c r="I101" s="119">
        <v>4314</v>
      </c>
      <c r="J101" s="119">
        <v>3400</v>
      </c>
      <c r="K101" s="119">
        <v>1288.4000000000001</v>
      </c>
      <c r="L101" s="119">
        <v>185</v>
      </c>
      <c r="M101" s="119">
        <v>802.1</v>
      </c>
      <c r="N101" s="119">
        <v>2234.6</v>
      </c>
      <c r="O101" s="119">
        <v>13649</v>
      </c>
      <c r="P101" s="119">
        <v>2006.5</v>
      </c>
    </row>
    <row r="102" spans="1:16">
      <c r="A102" s="190"/>
      <c r="B102" s="109"/>
      <c r="C102" s="196" t="s">
        <v>0</v>
      </c>
      <c r="D102" s="195">
        <v>110584.9</v>
      </c>
      <c r="E102" s="195">
        <v>132648.4</v>
      </c>
      <c r="F102" s="195">
        <v>75071.899999999994</v>
      </c>
      <c r="G102" s="195">
        <v>24064.2</v>
      </c>
      <c r="H102" s="195">
        <v>39026.1</v>
      </c>
      <c r="I102" s="195">
        <v>75444.100000000006</v>
      </c>
      <c r="J102" s="195">
        <v>98073.4</v>
      </c>
      <c r="K102" s="195">
        <v>70046.899999999994</v>
      </c>
      <c r="L102" s="195">
        <v>23315.9</v>
      </c>
      <c r="M102" s="195">
        <v>20800</v>
      </c>
      <c r="N102" s="195">
        <v>43356.4</v>
      </c>
      <c r="O102" s="195">
        <v>81361.5</v>
      </c>
      <c r="P102" s="195">
        <v>27300</v>
      </c>
    </row>
    <row r="103" spans="1:16">
      <c r="A103" s="190"/>
      <c r="B103" s="191"/>
      <c r="C103" s="193"/>
      <c r="D103" s="194"/>
      <c r="E103" s="194"/>
      <c r="F103" s="194"/>
      <c r="G103" s="194"/>
      <c r="H103" s="194"/>
      <c r="I103" s="194"/>
      <c r="J103" s="194"/>
      <c r="K103" s="194"/>
      <c r="L103" s="194"/>
      <c r="M103" s="194"/>
      <c r="N103" s="194"/>
      <c r="O103" s="194"/>
      <c r="P103" s="194"/>
    </row>
    <row r="104" spans="1:16">
      <c r="B104" s="109" t="s">
        <v>227</v>
      </c>
      <c r="C104" s="192"/>
      <c r="D104" s="174">
        <v>75.523737362600002</v>
      </c>
      <c r="E104" s="174">
        <v>52.278636470599999</v>
      </c>
      <c r="F104" s="174">
        <v>50.1687773612</v>
      </c>
      <c r="G104" s="174">
        <v>52.772110097999999</v>
      </c>
      <c r="H104" s="174">
        <v>57.933831365300001</v>
      </c>
      <c r="I104" s="174">
        <v>57.393478933700003</v>
      </c>
      <c r="J104" s="174">
        <v>54.654758855300003</v>
      </c>
      <c r="K104" s="174">
        <v>54.685032249099997</v>
      </c>
      <c r="L104" s="174">
        <v>61.513323042499998</v>
      </c>
      <c r="M104" s="174">
        <v>71.000344286000001</v>
      </c>
      <c r="N104" s="174">
        <v>75.213326381100003</v>
      </c>
      <c r="O104" s="174">
        <v>60.115528511000001</v>
      </c>
      <c r="P104" s="174">
        <v>64.730818692499994</v>
      </c>
    </row>
    <row r="105" spans="1:16">
      <c r="B105" s="109" t="s">
        <v>231</v>
      </c>
      <c r="C105" s="146"/>
      <c r="D105" s="175">
        <v>39.278952461000003</v>
      </c>
      <c r="E105" s="175">
        <v>30.862738864499999</v>
      </c>
      <c r="F105" s="175">
        <v>38.917594599300003</v>
      </c>
      <c r="G105" s="175">
        <v>37.510220161100001</v>
      </c>
      <c r="H105" s="175">
        <v>38.300981138300003</v>
      </c>
      <c r="I105" s="175">
        <v>40.000333624500001</v>
      </c>
      <c r="J105" s="175">
        <v>35.937440223300001</v>
      </c>
      <c r="K105" s="175">
        <v>36.511317131799998</v>
      </c>
      <c r="L105" s="175">
        <v>38.937077702300002</v>
      </c>
      <c r="M105" s="175">
        <v>48.682983173099998</v>
      </c>
      <c r="N105" s="175">
        <v>37.017880635799997</v>
      </c>
      <c r="O105" s="175">
        <v>35.217388445399997</v>
      </c>
      <c r="P105" s="175">
        <v>45.9572454212</v>
      </c>
    </row>
    <row r="106" spans="1:16" ht="15">
      <c r="B106" s="118"/>
      <c r="C106" s="118"/>
      <c r="D106" s="122"/>
      <c r="E106" s="122"/>
      <c r="F106" s="122"/>
      <c r="G106" s="122"/>
      <c r="H106" s="122"/>
      <c r="I106" s="122"/>
      <c r="J106" s="122"/>
      <c r="K106" s="122"/>
      <c r="L106" s="122"/>
      <c r="M106" s="122"/>
      <c r="N106" s="122"/>
      <c r="O106" s="122"/>
      <c r="P106" s="122"/>
    </row>
    <row r="107" spans="1:16" ht="15">
      <c r="B107" s="118"/>
      <c r="C107" s="118"/>
      <c r="D107" s="118"/>
      <c r="E107" s="118"/>
      <c r="F107" s="118"/>
      <c r="G107" s="118"/>
      <c r="H107" s="118"/>
      <c r="I107" s="118"/>
      <c r="J107" s="118"/>
      <c r="K107" s="118"/>
      <c r="L107" s="118"/>
      <c r="M107" s="118"/>
      <c r="N107" s="109"/>
      <c r="O107" s="116"/>
      <c r="P107" s="109"/>
    </row>
    <row r="108" spans="1:16" ht="15">
      <c r="B108" s="118"/>
      <c r="C108" s="118"/>
      <c r="D108" s="118"/>
      <c r="E108" s="118"/>
      <c r="F108" s="118"/>
      <c r="G108" s="118"/>
      <c r="H108" s="118"/>
      <c r="I108" s="118"/>
      <c r="J108" s="118"/>
      <c r="K108" s="118"/>
      <c r="L108" s="118"/>
      <c r="M108" s="118"/>
      <c r="N108" s="109"/>
      <c r="O108" s="116"/>
      <c r="P108" s="109" t="s">
        <v>85</v>
      </c>
    </row>
    <row r="109" spans="1:16" ht="15">
      <c r="B109" s="118"/>
      <c r="C109" s="118"/>
      <c r="D109" s="118"/>
      <c r="E109" s="118"/>
      <c r="F109" s="118"/>
      <c r="G109" s="118"/>
      <c r="H109" s="118"/>
      <c r="I109" s="118"/>
      <c r="J109" s="118"/>
      <c r="K109" s="118"/>
      <c r="L109" s="118"/>
      <c r="M109" s="118"/>
      <c r="N109" s="109" t="s">
        <v>72</v>
      </c>
      <c r="O109" s="116"/>
      <c r="P109" s="172">
        <f>(P92-D92)/D92</f>
        <v>2.7313299790645917</v>
      </c>
    </row>
    <row r="110" spans="1:16" ht="15">
      <c r="B110" s="118"/>
      <c r="C110" s="118"/>
      <c r="D110" s="118"/>
      <c r="E110" s="118"/>
      <c r="F110" s="118"/>
      <c r="G110" s="118"/>
      <c r="H110" s="118"/>
      <c r="I110" s="118"/>
      <c r="J110" s="118"/>
      <c r="K110" s="118"/>
      <c r="L110" s="118"/>
      <c r="M110" s="118"/>
      <c r="N110" s="109" t="s">
        <v>73</v>
      </c>
      <c r="O110" s="116"/>
      <c r="P110" s="172">
        <f>(P102-D102)/D102</f>
        <v>-0.75313085240389965</v>
      </c>
    </row>
    <row r="111" spans="1:16" ht="15">
      <c r="B111" s="118"/>
      <c r="C111" s="118"/>
      <c r="D111" s="118"/>
      <c r="E111" s="118"/>
      <c r="F111" s="118"/>
      <c r="G111" s="118"/>
      <c r="H111" s="118"/>
      <c r="I111" s="118"/>
      <c r="J111" s="118"/>
      <c r="K111" s="118"/>
      <c r="L111" s="118"/>
      <c r="M111" s="118"/>
      <c r="N111" s="109" t="s">
        <v>75</v>
      </c>
      <c r="O111" s="116"/>
      <c r="P111" s="172">
        <f>((P92+P102)-(D92+D102))/(D92+D102)</f>
        <v>2.6220683380509504E-2</v>
      </c>
    </row>
    <row r="112" spans="1:16" ht="15">
      <c r="B112" s="118"/>
      <c r="C112" s="118"/>
      <c r="D112" s="118"/>
      <c r="E112" s="118"/>
      <c r="F112" s="118"/>
      <c r="G112" s="118"/>
      <c r="H112" s="118"/>
      <c r="I112" s="118"/>
      <c r="J112" s="118"/>
      <c r="K112" s="118"/>
      <c r="L112" s="118"/>
      <c r="M112" s="118"/>
      <c r="N112" s="109" t="s">
        <v>70</v>
      </c>
      <c r="O112" s="116"/>
      <c r="P112" s="172">
        <f>(P104-D104)/D104</f>
        <v>-0.14290763469876627</v>
      </c>
    </row>
    <row r="113" spans="2:16">
      <c r="N113" s="109" t="s">
        <v>71</v>
      </c>
      <c r="O113" s="116"/>
      <c r="P113" s="172">
        <f>(P105-D105)/D105</f>
        <v>0.17002217579073325</v>
      </c>
    </row>
    <row r="114" spans="2:16">
      <c r="B114" s="106" t="s">
        <v>151</v>
      </c>
    </row>
    <row r="115" spans="2:16">
      <c r="B115" s="108" t="s">
        <v>31</v>
      </c>
      <c r="C115" s="108" t="s">
        <v>65</v>
      </c>
      <c r="D115" s="108" t="s">
        <v>65</v>
      </c>
      <c r="E115" s="108" t="s">
        <v>65</v>
      </c>
      <c r="F115" s="108" t="s">
        <v>65</v>
      </c>
      <c r="G115" s="108" t="s">
        <v>65</v>
      </c>
      <c r="H115" s="108" t="s">
        <v>65</v>
      </c>
      <c r="I115" s="108" t="s">
        <v>65</v>
      </c>
      <c r="J115" s="108" t="s">
        <v>65</v>
      </c>
      <c r="K115" s="108" t="s">
        <v>65</v>
      </c>
      <c r="L115" s="108" t="s">
        <v>65</v>
      </c>
      <c r="M115" s="108" t="s">
        <v>65</v>
      </c>
      <c r="N115" s="108" t="s">
        <v>65</v>
      </c>
      <c r="O115" s="108" t="s">
        <v>65</v>
      </c>
      <c r="P115" s="108" t="s">
        <v>65</v>
      </c>
    </row>
    <row r="116" spans="2:16">
      <c r="B116" s="108" t="s">
        <v>119</v>
      </c>
      <c r="C116" s="108" t="s">
        <v>200</v>
      </c>
      <c r="D116" s="108" t="s">
        <v>201</v>
      </c>
      <c r="E116" s="108" t="s">
        <v>202</v>
      </c>
      <c r="F116" s="108" t="s">
        <v>203</v>
      </c>
      <c r="G116" s="108" t="s">
        <v>204</v>
      </c>
      <c r="H116" s="108" t="s">
        <v>205</v>
      </c>
      <c r="I116" s="108" t="s">
        <v>206</v>
      </c>
      <c r="J116" s="108" t="s">
        <v>207</v>
      </c>
      <c r="K116" s="108" t="s">
        <v>208</v>
      </c>
      <c r="L116" s="108" t="s">
        <v>209</v>
      </c>
      <c r="M116" s="108" t="s">
        <v>210</v>
      </c>
      <c r="N116" s="108" t="s">
        <v>211</v>
      </c>
      <c r="O116" s="108" t="s">
        <v>212</v>
      </c>
      <c r="P116" s="108" t="s">
        <v>0</v>
      </c>
    </row>
    <row r="117" spans="2:16">
      <c r="B117" s="108" t="s">
        <v>124</v>
      </c>
      <c r="C117" s="108" t="s">
        <v>6</v>
      </c>
      <c r="D117" s="108" t="s">
        <v>7</v>
      </c>
      <c r="E117" s="108" t="s">
        <v>8</v>
      </c>
      <c r="F117" s="108" t="s">
        <v>7</v>
      </c>
      <c r="G117" s="108" t="s">
        <v>9</v>
      </c>
      <c r="H117" s="108" t="s">
        <v>9</v>
      </c>
      <c r="I117" s="108" t="s">
        <v>8</v>
      </c>
      <c r="J117" s="108" t="s">
        <v>10</v>
      </c>
      <c r="K117" s="108" t="s">
        <v>11</v>
      </c>
      <c r="L117" s="108" t="s">
        <v>12</v>
      </c>
      <c r="M117" s="108" t="s">
        <v>13</v>
      </c>
      <c r="N117" s="108" t="s">
        <v>5</v>
      </c>
      <c r="O117" s="108" t="s">
        <v>6</v>
      </c>
      <c r="P117" s="108"/>
    </row>
    <row r="118" spans="2:16">
      <c r="B118" s="109" t="s">
        <v>229</v>
      </c>
      <c r="C118" s="119">
        <v>6150</v>
      </c>
      <c r="D118" s="119">
        <v>0</v>
      </c>
      <c r="E118" s="119">
        <v>610</v>
      </c>
      <c r="F118" s="119">
        <v>70</v>
      </c>
      <c r="G118" s="119">
        <v>673.2</v>
      </c>
      <c r="H118" s="119">
        <v>0</v>
      </c>
      <c r="I118" s="119">
        <v>1372.5</v>
      </c>
      <c r="J118" s="119">
        <v>0</v>
      </c>
      <c r="K118" s="119">
        <v>0</v>
      </c>
      <c r="L118" s="119">
        <v>0</v>
      </c>
      <c r="M118" s="119">
        <v>374</v>
      </c>
      <c r="N118" s="119">
        <v>0</v>
      </c>
      <c r="O118" s="119">
        <v>0</v>
      </c>
      <c r="P118" s="119">
        <v>9249.7000000000007</v>
      </c>
    </row>
    <row r="119" spans="2:16">
      <c r="B119" s="109" t="s">
        <v>26</v>
      </c>
      <c r="C119" s="119">
        <v>9508.4</v>
      </c>
      <c r="D119" s="119">
        <v>19740.7</v>
      </c>
      <c r="E119" s="119">
        <v>6714.7</v>
      </c>
      <c r="F119" s="119">
        <v>3116.9</v>
      </c>
      <c r="G119" s="119">
        <v>5702.5</v>
      </c>
      <c r="H119" s="119">
        <v>4906.7</v>
      </c>
      <c r="I119" s="119">
        <v>12488.5</v>
      </c>
      <c r="J119" s="119">
        <v>9962.2999999999993</v>
      </c>
      <c r="K119" s="119">
        <v>10119.200000000001</v>
      </c>
      <c r="L119" s="119">
        <v>8034.3</v>
      </c>
      <c r="M119" s="119">
        <v>3967.2</v>
      </c>
      <c r="N119" s="119">
        <v>4799.8</v>
      </c>
      <c r="O119" s="119">
        <v>9167.2000000000007</v>
      </c>
      <c r="P119" s="119">
        <v>108228.4</v>
      </c>
    </row>
    <row r="120" spans="2:16">
      <c r="B120" s="109" t="s">
        <v>236</v>
      </c>
      <c r="C120" s="119">
        <v>0</v>
      </c>
      <c r="D120" s="119">
        <v>0</v>
      </c>
      <c r="E120" s="119">
        <v>0</v>
      </c>
      <c r="F120" s="119">
        <v>0</v>
      </c>
      <c r="G120" s="119">
        <v>0</v>
      </c>
      <c r="H120" s="119">
        <v>0</v>
      </c>
      <c r="I120" s="119">
        <v>0</v>
      </c>
      <c r="J120" s="119">
        <v>0</v>
      </c>
      <c r="K120" s="119">
        <v>0</v>
      </c>
      <c r="L120" s="119">
        <v>0</v>
      </c>
      <c r="M120" s="119">
        <v>0</v>
      </c>
      <c r="N120" s="119">
        <v>0</v>
      </c>
      <c r="O120" s="119">
        <v>0</v>
      </c>
      <c r="P120" s="119">
        <v>0</v>
      </c>
    </row>
    <row r="121" spans="2:16">
      <c r="B121" s="109" t="s">
        <v>230</v>
      </c>
      <c r="C121" s="119">
        <v>1469.4</v>
      </c>
      <c r="D121" s="119">
        <v>1177.9000000000001</v>
      </c>
      <c r="E121" s="119">
        <v>1740</v>
      </c>
      <c r="F121" s="119">
        <v>762.7</v>
      </c>
      <c r="G121" s="119">
        <v>1567.6</v>
      </c>
      <c r="H121" s="119">
        <v>593.20000000000005</v>
      </c>
      <c r="I121" s="119">
        <v>3675.7</v>
      </c>
      <c r="J121" s="119">
        <v>123.8</v>
      </c>
      <c r="K121" s="119">
        <v>1038.2</v>
      </c>
      <c r="L121" s="119">
        <v>863.8</v>
      </c>
      <c r="M121" s="119">
        <v>2746.1</v>
      </c>
      <c r="N121" s="119">
        <v>3776.1</v>
      </c>
      <c r="O121" s="119">
        <v>319.8</v>
      </c>
      <c r="P121" s="119">
        <v>19854.3</v>
      </c>
    </row>
    <row r="122" spans="2:16">
      <c r="B122" s="109" t="s">
        <v>241</v>
      </c>
      <c r="C122" s="119">
        <v>0</v>
      </c>
      <c r="D122" s="119">
        <v>20.399999999999999</v>
      </c>
      <c r="E122" s="119">
        <v>132.6</v>
      </c>
      <c r="F122" s="119">
        <v>846.6</v>
      </c>
      <c r="G122" s="119">
        <v>28.4</v>
      </c>
      <c r="H122" s="119">
        <v>844.1</v>
      </c>
      <c r="I122" s="119">
        <v>1561.2</v>
      </c>
      <c r="J122" s="119">
        <v>0</v>
      </c>
      <c r="K122" s="119">
        <v>495.2</v>
      </c>
      <c r="L122" s="119">
        <v>0</v>
      </c>
      <c r="M122" s="119">
        <v>58.6</v>
      </c>
      <c r="N122" s="119">
        <v>0</v>
      </c>
      <c r="O122" s="119">
        <v>0</v>
      </c>
      <c r="P122" s="119">
        <v>3987.1</v>
      </c>
    </row>
    <row r="123" spans="2:16">
      <c r="B123" s="109" t="s">
        <v>233</v>
      </c>
      <c r="C123" s="119">
        <v>0</v>
      </c>
      <c r="D123" s="119">
        <v>43.7</v>
      </c>
      <c r="E123" s="119">
        <v>93.7</v>
      </c>
      <c r="F123" s="119">
        <v>0</v>
      </c>
      <c r="G123" s="119">
        <v>0</v>
      </c>
      <c r="H123" s="119">
        <v>0</v>
      </c>
      <c r="I123" s="119">
        <v>0</v>
      </c>
      <c r="J123" s="119">
        <v>0</v>
      </c>
      <c r="K123" s="119">
        <v>0</v>
      </c>
      <c r="L123" s="119">
        <v>0</v>
      </c>
      <c r="M123" s="119">
        <v>0</v>
      </c>
      <c r="N123" s="119">
        <v>0</v>
      </c>
      <c r="O123" s="119">
        <v>0</v>
      </c>
      <c r="P123" s="119">
        <v>137.4</v>
      </c>
    </row>
    <row r="124" spans="2:16">
      <c r="B124" s="109" t="s">
        <v>22</v>
      </c>
      <c r="C124" s="119">
        <v>198</v>
      </c>
      <c r="D124" s="119">
        <v>849.6</v>
      </c>
      <c r="E124" s="119">
        <v>0</v>
      </c>
      <c r="F124" s="119">
        <v>410</v>
      </c>
      <c r="G124" s="119">
        <v>149.4</v>
      </c>
      <c r="H124" s="119">
        <v>376.7</v>
      </c>
      <c r="I124" s="119">
        <v>359.5</v>
      </c>
      <c r="J124" s="119">
        <v>40</v>
      </c>
      <c r="K124" s="119">
        <v>208.4</v>
      </c>
      <c r="L124" s="119">
        <v>0</v>
      </c>
      <c r="M124" s="119">
        <v>52.1</v>
      </c>
      <c r="N124" s="119">
        <v>0</v>
      </c>
      <c r="O124" s="119">
        <v>367.5</v>
      </c>
      <c r="P124" s="119">
        <v>3011.2</v>
      </c>
    </row>
    <row r="125" spans="2:16">
      <c r="B125" s="109" t="s">
        <v>243</v>
      </c>
      <c r="C125" s="119">
        <v>2463.6</v>
      </c>
      <c r="D125" s="119">
        <v>0</v>
      </c>
      <c r="E125" s="119">
        <v>4549.7</v>
      </c>
      <c r="F125" s="119">
        <v>0</v>
      </c>
      <c r="G125" s="119">
        <v>0</v>
      </c>
      <c r="H125" s="119">
        <v>973.2</v>
      </c>
      <c r="I125" s="119">
        <v>1700.4</v>
      </c>
      <c r="J125" s="119">
        <v>0</v>
      </c>
      <c r="K125" s="119">
        <v>0</v>
      </c>
      <c r="L125" s="119">
        <v>3635.7</v>
      </c>
      <c r="M125" s="119">
        <v>0</v>
      </c>
      <c r="N125" s="119">
        <v>5766.5</v>
      </c>
      <c r="O125" s="119">
        <v>0</v>
      </c>
      <c r="P125" s="119">
        <v>19089.099999999999</v>
      </c>
    </row>
    <row r="126" spans="2:16">
      <c r="B126" s="109" t="s">
        <v>237</v>
      </c>
      <c r="C126" s="119">
        <v>0</v>
      </c>
      <c r="D126" s="119">
        <v>0</v>
      </c>
      <c r="E126" s="119">
        <v>0</v>
      </c>
      <c r="F126" s="119">
        <v>0</v>
      </c>
      <c r="G126" s="119">
        <v>0</v>
      </c>
      <c r="H126" s="119">
        <v>0</v>
      </c>
      <c r="I126" s="119">
        <v>0</v>
      </c>
      <c r="J126" s="119">
        <v>0</v>
      </c>
      <c r="K126" s="119">
        <v>0</v>
      </c>
      <c r="L126" s="119">
        <v>0</v>
      </c>
      <c r="M126" s="119">
        <v>0</v>
      </c>
      <c r="N126" s="119">
        <v>0</v>
      </c>
      <c r="O126" s="119">
        <v>0</v>
      </c>
      <c r="P126" s="119">
        <v>0</v>
      </c>
    </row>
    <row r="127" spans="2:16">
      <c r="B127" s="109" t="s">
        <v>244</v>
      </c>
      <c r="C127" s="119">
        <v>0</v>
      </c>
      <c r="D127" s="119">
        <v>0</v>
      </c>
      <c r="E127" s="119">
        <v>0</v>
      </c>
      <c r="F127" s="119">
        <v>0</v>
      </c>
      <c r="G127" s="119">
        <v>0</v>
      </c>
      <c r="H127" s="119">
        <v>0</v>
      </c>
      <c r="I127" s="119">
        <v>0</v>
      </c>
      <c r="J127" s="119">
        <v>0</v>
      </c>
      <c r="K127" s="119">
        <v>0</v>
      </c>
      <c r="L127" s="119">
        <v>0</v>
      </c>
      <c r="M127" s="119">
        <v>0</v>
      </c>
      <c r="N127" s="119">
        <v>0</v>
      </c>
      <c r="O127" s="119">
        <v>0</v>
      </c>
      <c r="P127" s="119">
        <v>0</v>
      </c>
    </row>
    <row r="128" spans="2:16">
      <c r="B128" s="109" t="s">
        <v>234</v>
      </c>
      <c r="C128" s="119">
        <v>0</v>
      </c>
      <c r="D128" s="119">
        <v>0</v>
      </c>
      <c r="E128" s="119">
        <v>0</v>
      </c>
      <c r="F128" s="119">
        <v>0</v>
      </c>
      <c r="G128" s="119">
        <v>0</v>
      </c>
      <c r="H128" s="119">
        <v>0</v>
      </c>
      <c r="I128" s="119">
        <v>0</v>
      </c>
      <c r="J128" s="119">
        <v>0</v>
      </c>
      <c r="K128" s="119">
        <v>0</v>
      </c>
      <c r="L128" s="119">
        <v>0</v>
      </c>
      <c r="M128" s="119">
        <v>0</v>
      </c>
      <c r="N128" s="119">
        <v>0</v>
      </c>
      <c r="O128" s="119">
        <v>0</v>
      </c>
      <c r="P128" s="119">
        <v>0</v>
      </c>
    </row>
    <row r="129" spans="2:16">
      <c r="B129" s="109" t="s">
        <v>232</v>
      </c>
      <c r="C129" s="119">
        <v>2519.6999999999998</v>
      </c>
      <c r="D129" s="119">
        <v>6709.7</v>
      </c>
      <c r="E129" s="119">
        <v>7385.9</v>
      </c>
      <c r="F129" s="119">
        <v>1489.3</v>
      </c>
      <c r="G129" s="119">
        <v>940.1</v>
      </c>
      <c r="H129" s="119">
        <v>7214.8</v>
      </c>
      <c r="I129" s="119">
        <v>1397.9</v>
      </c>
      <c r="J129" s="119">
        <v>759.3</v>
      </c>
      <c r="K129" s="119">
        <v>2510.5</v>
      </c>
      <c r="L129" s="119">
        <v>1650.6</v>
      </c>
      <c r="M129" s="119">
        <v>774.9</v>
      </c>
      <c r="N129" s="119">
        <v>1181.9000000000001</v>
      </c>
      <c r="O129" s="119">
        <v>436</v>
      </c>
      <c r="P129" s="119">
        <v>34970.6</v>
      </c>
    </row>
    <row r="130" spans="2:16">
      <c r="B130" s="120" t="s">
        <v>0</v>
      </c>
      <c r="C130" s="121">
        <v>22309.1</v>
      </c>
      <c r="D130" s="121">
        <v>28542</v>
      </c>
      <c r="E130" s="121">
        <v>21226.6</v>
      </c>
      <c r="F130" s="121">
        <v>6695.5</v>
      </c>
      <c r="G130" s="121">
        <v>9061.2000000000007</v>
      </c>
      <c r="H130" s="121">
        <v>14908.7</v>
      </c>
      <c r="I130" s="121">
        <v>22555.7</v>
      </c>
      <c r="J130" s="121">
        <v>10885.4</v>
      </c>
      <c r="K130" s="121">
        <v>14371.5</v>
      </c>
      <c r="L130" s="121">
        <v>14184.4</v>
      </c>
      <c r="M130" s="121">
        <v>7972.9</v>
      </c>
      <c r="N130" s="121">
        <v>15524.3</v>
      </c>
      <c r="O130" s="121">
        <v>10290.5</v>
      </c>
      <c r="P130" s="121">
        <v>198527.8</v>
      </c>
    </row>
    <row r="131" spans="2:16">
      <c r="B131" s="109" t="s">
        <v>229</v>
      </c>
      <c r="C131" s="119">
        <v>14289.6</v>
      </c>
      <c r="D131" s="119">
        <v>1420.9</v>
      </c>
      <c r="E131" s="119">
        <v>808.2</v>
      </c>
      <c r="F131" s="119">
        <v>0</v>
      </c>
      <c r="G131" s="119">
        <v>294.2</v>
      </c>
      <c r="H131" s="119">
        <v>516.70000000000005</v>
      </c>
      <c r="I131" s="119">
        <v>0</v>
      </c>
      <c r="J131" s="119">
        <v>0</v>
      </c>
      <c r="K131" s="119">
        <v>8149.5</v>
      </c>
      <c r="L131" s="119">
        <v>0</v>
      </c>
      <c r="M131" s="119">
        <v>0</v>
      </c>
      <c r="N131" s="119">
        <v>0</v>
      </c>
      <c r="O131" s="119">
        <v>0</v>
      </c>
      <c r="P131" s="119">
        <v>25479.1</v>
      </c>
    </row>
    <row r="132" spans="2:16">
      <c r="B132" s="109" t="s">
        <v>26</v>
      </c>
      <c r="C132" s="119">
        <v>859.1</v>
      </c>
      <c r="D132" s="119">
        <v>0</v>
      </c>
      <c r="E132" s="119">
        <v>1016.6</v>
      </c>
      <c r="F132" s="119">
        <v>1097.9000000000001</v>
      </c>
      <c r="G132" s="119">
        <v>0</v>
      </c>
      <c r="H132" s="119">
        <v>1537.9</v>
      </c>
      <c r="I132" s="119">
        <v>2533.1</v>
      </c>
      <c r="J132" s="119">
        <v>555.79999999999995</v>
      </c>
      <c r="K132" s="119">
        <v>754.8</v>
      </c>
      <c r="L132" s="119">
        <v>458.3</v>
      </c>
      <c r="M132" s="119">
        <v>223.8</v>
      </c>
      <c r="N132" s="119">
        <v>0</v>
      </c>
      <c r="O132" s="119">
        <v>20</v>
      </c>
      <c r="P132" s="119">
        <v>9057.2999999999993</v>
      </c>
    </row>
    <row r="133" spans="2:16">
      <c r="B133" s="109" t="s">
        <v>236</v>
      </c>
      <c r="C133" s="119">
        <v>5068.8</v>
      </c>
      <c r="D133" s="119">
        <v>2008.3</v>
      </c>
      <c r="E133" s="119">
        <v>1618.6</v>
      </c>
      <c r="F133" s="119">
        <v>0</v>
      </c>
      <c r="G133" s="119">
        <v>0</v>
      </c>
      <c r="H133" s="119">
        <v>257</v>
      </c>
      <c r="I133" s="119">
        <v>0</v>
      </c>
      <c r="J133" s="119">
        <v>0</v>
      </c>
      <c r="K133" s="119">
        <v>3.5</v>
      </c>
      <c r="L133" s="119">
        <v>0</v>
      </c>
      <c r="M133" s="119">
        <v>2.4</v>
      </c>
      <c r="N133" s="119">
        <v>0</v>
      </c>
      <c r="O133" s="119">
        <v>0</v>
      </c>
      <c r="P133" s="119">
        <v>8958.6</v>
      </c>
    </row>
    <row r="134" spans="2:16">
      <c r="B134" s="109" t="s">
        <v>230</v>
      </c>
      <c r="C134" s="119">
        <v>28184.1</v>
      </c>
      <c r="D134" s="119">
        <v>27920</v>
      </c>
      <c r="E134" s="119">
        <v>42815.3</v>
      </c>
      <c r="F134" s="119">
        <v>21404.400000000001</v>
      </c>
      <c r="G134" s="119">
        <v>4310.8</v>
      </c>
      <c r="H134" s="119">
        <v>809.6</v>
      </c>
      <c r="I134" s="119">
        <v>2991.4</v>
      </c>
      <c r="J134" s="119">
        <v>20748.5</v>
      </c>
      <c r="K134" s="119">
        <v>31856.3</v>
      </c>
      <c r="L134" s="119">
        <v>31829.7</v>
      </c>
      <c r="M134" s="119">
        <v>30752.2</v>
      </c>
      <c r="N134" s="119">
        <v>31097.5</v>
      </c>
      <c r="O134" s="119">
        <v>30123.599999999999</v>
      </c>
      <c r="P134" s="119">
        <v>304843.40000000002</v>
      </c>
    </row>
    <row r="135" spans="2:16">
      <c r="B135" s="109" t="s">
        <v>241</v>
      </c>
      <c r="C135" s="119">
        <v>0</v>
      </c>
      <c r="D135" s="119">
        <v>0</v>
      </c>
      <c r="E135" s="119">
        <v>0</v>
      </c>
      <c r="F135" s="119">
        <v>0</v>
      </c>
      <c r="G135" s="119">
        <v>42.4</v>
      </c>
      <c r="H135" s="119">
        <v>0</v>
      </c>
      <c r="I135" s="119">
        <v>0</v>
      </c>
      <c r="J135" s="119">
        <v>0</v>
      </c>
      <c r="K135" s="119">
        <v>0</v>
      </c>
      <c r="L135" s="119">
        <v>0</v>
      </c>
      <c r="M135" s="119">
        <v>0</v>
      </c>
      <c r="N135" s="119">
        <v>0</v>
      </c>
      <c r="O135" s="119">
        <v>0</v>
      </c>
      <c r="P135" s="119">
        <v>42.4</v>
      </c>
    </row>
    <row r="136" spans="2:16">
      <c r="B136" s="109" t="s">
        <v>233</v>
      </c>
      <c r="C136" s="119">
        <v>40432</v>
      </c>
      <c r="D136" s="119">
        <v>13960.1</v>
      </c>
      <c r="E136" s="119">
        <v>4070.8</v>
      </c>
      <c r="F136" s="119">
        <v>137.4</v>
      </c>
      <c r="G136" s="119">
        <v>0.6</v>
      </c>
      <c r="H136" s="119">
        <v>9502.9</v>
      </c>
      <c r="I136" s="119">
        <v>42.6</v>
      </c>
      <c r="J136" s="119">
        <v>1071</v>
      </c>
      <c r="K136" s="119">
        <v>1760.6</v>
      </c>
      <c r="L136" s="119">
        <v>671.7</v>
      </c>
      <c r="M136" s="119">
        <v>2324.3000000000002</v>
      </c>
      <c r="N136" s="119">
        <v>268.5</v>
      </c>
      <c r="O136" s="119">
        <v>373.8</v>
      </c>
      <c r="P136" s="119">
        <v>74616.3</v>
      </c>
    </row>
    <row r="137" spans="2:16">
      <c r="B137" s="109" t="s">
        <v>22</v>
      </c>
      <c r="C137" s="119">
        <v>8486.1</v>
      </c>
      <c r="D137" s="119">
        <v>1762.8</v>
      </c>
      <c r="E137" s="119">
        <v>105.9</v>
      </c>
      <c r="F137" s="119">
        <v>0</v>
      </c>
      <c r="G137" s="119">
        <v>0</v>
      </c>
      <c r="H137" s="119">
        <v>408.7</v>
      </c>
      <c r="I137" s="119">
        <v>0</v>
      </c>
      <c r="J137" s="119">
        <v>8.1999999999999993</v>
      </c>
      <c r="K137" s="119">
        <v>0</v>
      </c>
      <c r="L137" s="119">
        <v>189.5</v>
      </c>
      <c r="M137" s="119">
        <v>0</v>
      </c>
      <c r="N137" s="119">
        <v>0</v>
      </c>
      <c r="O137" s="119">
        <v>1416.6</v>
      </c>
      <c r="P137" s="119">
        <v>12377.8</v>
      </c>
    </row>
    <row r="138" spans="2:16">
      <c r="B138" s="109" t="s">
        <v>237</v>
      </c>
      <c r="C138" s="119">
        <v>49.4</v>
      </c>
      <c r="D138" s="119">
        <v>22.7</v>
      </c>
      <c r="E138" s="119">
        <v>51.2</v>
      </c>
      <c r="F138" s="119">
        <v>0</v>
      </c>
      <c r="G138" s="119">
        <v>0</v>
      </c>
      <c r="H138" s="119">
        <v>117.5</v>
      </c>
      <c r="I138" s="119">
        <v>0</v>
      </c>
      <c r="J138" s="119">
        <v>0</v>
      </c>
      <c r="K138" s="119">
        <v>0</v>
      </c>
      <c r="L138" s="119">
        <v>0</v>
      </c>
      <c r="M138" s="119">
        <v>0</v>
      </c>
      <c r="N138" s="119">
        <v>0</v>
      </c>
      <c r="O138" s="119">
        <v>0</v>
      </c>
      <c r="P138" s="119">
        <v>240.8</v>
      </c>
    </row>
    <row r="139" spans="2:16">
      <c r="B139" s="109" t="s">
        <v>244</v>
      </c>
      <c r="C139" s="119">
        <v>334.8</v>
      </c>
      <c r="D139" s="119">
        <v>98.3</v>
      </c>
      <c r="E139" s="119">
        <v>12.8</v>
      </c>
      <c r="F139" s="119">
        <v>0</v>
      </c>
      <c r="G139" s="119">
        <v>0</v>
      </c>
      <c r="H139" s="119">
        <v>0</v>
      </c>
      <c r="I139" s="119">
        <v>0</v>
      </c>
      <c r="J139" s="119">
        <v>0</v>
      </c>
      <c r="K139" s="119">
        <v>0</v>
      </c>
      <c r="L139" s="119">
        <v>0</v>
      </c>
      <c r="M139" s="119">
        <v>0</v>
      </c>
      <c r="N139" s="119">
        <v>0</v>
      </c>
      <c r="O139" s="119">
        <v>0</v>
      </c>
      <c r="P139" s="119">
        <v>445.9</v>
      </c>
    </row>
    <row r="140" spans="2:16">
      <c r="B140" s="109" t="s">
        <v>234</v>
      </c>
      <c r="C140" s="119">
        <v>0</v>
      </c>
      <c r="D140" s="119">
        <v>0</v>
      </c>
      <c r="E140" s="119">
        <v>0</v>
      </c>
      <c r="F140" s="119">
        <v>0</v>
      </c>
      <c r="G140" s="119">
        <v>0</v>
      </c>
      <c r="H140" s="119">
        <v>0.4</v>
      </c>
      <c r="I140" s="119">
        <v>0</v>
      </c>
      <c r="J140" s="119">
        <v>0</v>
      </c>
      <c r="K140" s="119">
        <v>0</v>
      </c>
      <c r="L140" s="119">
        <v>0</v>
      </c>
      <c r="M140" s="119">
        <v>0</v>
      </c>
      <c r="N140" s="119">
        <v>0</v>
      </c>
      <c r="O140" s="119">
        <v>0</v>
      </c>
      <c r="P140" s="119">
        <v>0.4</v>
      </c>
    </row>
    <row r="141" spans="2:16">
      <c r="B141" s="109" t="s">
        <v>235</v>
      </c>
      <c r="C141" s="119">
        <v>0</v>
      </c>
      <c r="D141" s="119">
        <v>224.2</v>
      </c>
      <c r="E141" s="119">
        <v>0</v>
      </c>
      <c r="F141" s="119">
        <v>518.79999999999995</v>
      </c>
      <c r="G141" s="119">
        <v>0</v>
      </c>
      <c r="H141" s="119">
        <v>1254.7</v>
      </c>
      <c r="I141" s="119">
        <v>0</v>
      </c>
      <c r="J141" s="119">
        <v>0</v>
      </c>
      <c r="K141" s="119">
        <v>0</v>
      </c>
      <c r="L141" s="119">
        <v>0</v>
      </c>
      <c r="M141" s="119">
        <v>0</v>
      </c>
      <c r="N141" s="119">
        <v>0</v>
      </c>
      <c r="O141" s="119">
        <v>0</v>
      </c>
      <c r="P141" s="119">
        <v>1997.7</v>
      </c>
    </row>
    <row r="142" spans="2:16">
      <c r="B142" s="109" t="s">
        <v>232</v>
      </c>
      <c r="C142" s="119">
        <v>110.8</v>
      </c>
      <c r="D142" s="119">
        <v>474.7</v>
      </c>
      <c r="E142" s="119">
        <v>879</v>
      </c>
      <c r="F142" s="119">
        <v>108.8</v>
      </c>
      <c r="G142" s="119">
        <v>0</v>
      </c>
      <c r="H142" s="119">
        <v>102.9</v>
      </c>
      <c r="I142" s="119">
        <v>65</v>
      </c>
      <c r="J142" s="119">
        <v>183.2</v>
      </c>
      <c r="K142" s="119">
        <v>177.8</v>
      </c>
      <c r="L142" s="119">
        <v>613.5</v>
      </c>
      <c r="M142" s="119">
        <v>1135.9000000000001</v>
      </c>
      <c r="N142" s="119">
        <v>1121.8</v>
      </c>
      <c r="O142" s="119">
        <v>1190.9000000000001</v>
      </c>
      <c r="P142" s="119">
        <v>6164.3</v>
      </c>
    </row>
    <row r="143" spans="2:16">
      <c r="B143" s="109" t="s">
        <v>0</v>
      </c>
      <c r="C143" s="121">
        <v>97814.7</v>
      </c>
      <c r="D143" s="121">
        <v>47892</v>
      </c>
      <c r="E143" s="121">
        <v>51378.400000000001</v>
      </c>
      <c r="F143" s="121">
        <v>23267.3</v>
      </c>
      <c r="G143" s="121">
        <v>4648</v>
      </c>
      <c r="H143" s="121">
        <v>14508.3</v>
      </c>
      <c r="I143" s="121">
        <v>5632.1</v>
      </c>
      <c r="J143" s="121">
        <v>22566.7</v>
      </c>
      <c r="K143" s="121">
        <v>42702.5</v>
      </c>
      <c r="L143" s="121">
        <v>33762.699999999997</v>
      </c>
      <c r="M143" s="121">
        <v>34438.6</v>
      </c>
      <c r="N143" s="121">
        <v>32487.8</v>
      </c>
      <c r="O143" s="121">
        <v>33124.9</v>
      </c>
      <c r="P143" s="121">
        <v>444224</v>
      </c>
    </row>
    <row r="144" spans="2:16">
      <c r="B144" s="120"/>
      <c r="C144" s="178">
        <v>120123.8</v>
      </c>
      <c r="D144" s="178">
        <v>76434</v>
      </c>
      <c r="E144" s="178">
        <v>72605</v>
      </c>
      <c r="F144" s="178">
        <v>29962.799999999999</v>
      </c>
      <c r="G144" s="178">
        <v>13709.2</v>
      </c>
      <c r="H144" s="178">
        <v>29417</v>
      </c>
      <c r="I144" s="178">
        <v>28187.8</v>
      </c>
      <c r="J144" s="178">
        <v>33452.1</v>
      </c>
      <c r="K144" s="178">
        <v>57074</v>
      </c>
      <c r="L144" s="178">
        <v>47947.1</v>
      </c>
      <c r="M144" s="178">
        <v>42411.5</v>
      </c>
      <c r="N144" s="178">
        <v>48012.1</v>
      </c>
      <c r="O144" s="178">
        <v>43415.4</v>
      </c>
      <c r="P144" s="178">
        <v>642751.799999999</v>
      </c>
    </row>
    <row r="145" spans="2:16">
      <c r="B145" s="120"/>
      <c r="C145" s="178"/>
      <c r="D145" s="178"/>
      <c r="E145" s="178"/>
      <c r="F145" s="178"/>
      <c r="G145" s="178"/>
      <c r="H145" s="178"/>
      <c r="I145" s="178"/>
      <c r="J145" s="178"/>
      <c r="K145" s="178"/>
      <c r="L145" s="178"/>
      <c r="M145" s="178"/>
      <c r="N145" s="178"/>
      <c r="O145" s="178"/>
      <c r="P145" s="178"/>
    </row>
    <row r="146" spans="2:16">
      <c r="B146" s="109"/>
      <c r="C146" s="119"/>
      <c r="D146" s="119"/>
      <c r="E146" s="119"/>
      <c r="F146" s="119"/>
      <c r="G146" s="119"/>
      <c r="H146" s="119"/>
      <c r="I146" s="119"/>
      <c r="J146" s="119"/>
      <c r="K146" s="119"/>
      <c r="L146" s="119"/>
      <c r="M146" s="119"/>
      <c r="N146" s="119"/>
      <c r="O146" s="119"/>
      <c r="P146" s="119"/>
    </row>
    <row r="147" spans="2:16">
      <c r="B147" s="109" t="s">
        <v>70</v>
      </c>
      <c r="C147" s="174">
        <v>106.2718796366</v>
      </c>
      <c r="D147" s="174">
        <v>110.2333782116</v>
      </c>
      <c r="E147" s="174">
        <v>83.828092822599999</v>
      </c>
      <c r="F147" s="174">
        <v>118.2418215391</v>
      </c>
      <c r="G147" s="174">
        <v>91.525396333399996</v>
      </c>
      <c r="H147" s="174">
        <v>88.581907768400001</v>
      </c>
      <c r="I147" s="174">
        <v>86.157873728799999</v>
      </c>
      <c r="J147" s="174">
        <v>132.9255103166</v>
      </c>
      <c r="K147" s="174">
        <v>162.3070364578</v>
      </c>
      <c r="L147" s="174">
        <v>156.44702913059999</v>
      </c>
      <c r="M147" s="174">
        <v>137.28795092429999</v>
      </c>
      <c r="N147" s="174">
        <v>95.193314352300007</v>
      </c>
      <c r="O147" s="174">
        <v>113.42185996790001</v>
      </c>
      <c r="P147" s="145"/>
    </row>
    <row r="148" spans="2:16">
      <c r="B148" s="111" t="s">
        <v>71</v>
      </c>
      <c r="C148" s="175">
        <v>12.5584233249</v>
      </c>
      <c r="D148" s="175">
        <v>20.0210055959</v>
      </c>
      <c r="E148" s="175">
        <v>28.9232389487</v>
      </c>
      <c r="F148" s="175">
        <v>34.613184598099998</v>
      </c>
      <c r="G148" s="175">
        <v>38.1623566962</v>
      </c>
      <c r="H148" s="175">
        <v>7.5200099254000001</v>
      </c>
      <c r="I148" s="175">
        <v>24.361699898800001</v>
      </c>
      <c r="J148" s="175">
        <v>37.7942734206</v>
      </c>
      <c r="K148" s="175">
        <v>31.409996136099998</v>
      </c>
      <c r="L148" s="175">
        <v>38.9460973204</v>
      </c>
      <c r="M148" s="175">
        <v>34.010933952000002</v>
      </c>
      <c r="N148" s="175">
        <v>33.175365521800003</v>
      </c>
      <c r="O148" s="175">
        <v>35.092640581600001</v>
      </c>
      <c r="P148" s="146"/>
    </row>
    <row r="149" spans="2:16" ht="15">
      <c r="B149" s="118"/>
      <c r="C149" s="118"/>
      <c r="D149" s="118"/>
      <c r="E149" s="118"/>
      <c r="F149" s="118"/>
      <c r="G149" s="118"/>
      <c r="H149" s="118"/>
      <c r="I149" s="118"/>
      <c r="J149" s="118"/>
      <c r="K149" s="118"/>
      <c r="L149" s="118"/>
      <c r="M149" s="118"/>
      <c r="N149" s="118"/>
      <c r="O149" s="118"/>
      <c r="P149" s="114"/>
    </row>
    <row r="150" spans="2:16" ht="15">
      <c r="B150" s="118"/>
      <c r="C150" s="123"/>
      <c r="D150" s="123"/>
      <c r="E150" s="123"/>
      <c r="F150" s="123"/>
      <c r="G150" s="123"/>
      <c r="H150" s="123"/>
      <c r="I150" s="123"/>
      <c r="J150" s="123"/>
      <c r="K150" s="123"/>
      <c r="L150" s="123"/>
      <c r="M150" s="123"/>
      <c r="N150" s="123"/>
      <c r="O150" s="123"/>
      <c r="P150" s="114"/>
    </row>
    <row r="151" spans="2:16" ht="15">
      <c r="B151" s="118"/>
      <c r="C151" s="118"/>
      <c r="D151" s="118"/>
      <c r="E151" s="118"/>
      <c r="F151" s="118"/>
      <c r="G151" s="118"/>
      <c r="H151" s="118"/>
      <c r="I151" s="118"/>
      <c r="J151" s="118"/>
      <c r="K151" s="118"/>
      <c r="L151" s="118"/>
      <c r="M151" s="118"/>
      <c r="N151" s="118"/>
      <c r="O151" s="118"/>
      <c r="P151" s="114"/>
    </row>
    <row r="152" spans="2:16" ht="15">
      <c r="B152" s="118"/>
      <c r="C152" s="118"/>
      <c r="D152" s="118"/>
      <c r="E152" s="118"/>
      <c r="F152" s="118"/>
      <c r="G152" s="118"/>
      <c r="H152" s="118"/>
      <c r="I152" s="118"/>
      <c r="J152" s="118"/>
      <c r="K152" s="118"/>
      <c r="L152" s="118"/>
      <c r="M152" s="118"/>
      <c r="N152" s="118"/>
      <c r="O152" s="118"/>
      <c r="P152" s="114"/>
    </row>
    <row r="153" spans="2:16" ht="15">
      <c r="B153" s="118"/>
      <c r="C153" s="118"/>
      <c r="D153" s="118"/>
      <c r="E153" s="118"/>
      <c r="F153" s="118"/>
      <c r="G153" s="118"/>
      <c r="H153" s="118"/>
      <c r="I153" s="118"/>
      <c r="J153" s="118"/>
      <c r="K153" s="118"/>
      <c r="L153" s="118"/>
      <c r="M153" s="118"/>
      <c r="N153" s="109" t="s">
        <v>72</v>
      </c>
      <c r="O153" s="172">
        <f>(O130-C130)/C130</f>
        <v>-0.53873083181302694</v>
      </c>
      <c r="P153" s="114"/>
    </row>
    <row r="154" spans="2:16" ht="15">
      <c r="B154" s="118"/>
      <c r="C154" s="118"/>
      <c r="D154" s="118"/>
      <c r="E154" s="118"/>
      <c r="F154" s="118"/>
      <c r="G154" s="118"/>
      <c r="H154" s="118"/>
      <c r="I154" s="118"/>
      <c r="J154" s="118"/>
      <c r="K154" s="118"/>
      <c r="L154" s="118"/>
      <c r="M154" s="118"/>
      <c r="N154" s="109" t="s">
        <v>73</v>
      </c>
      <c r="O154" s="172">
        <f>(O143-C143)/C143</f>
        <v>-0.6613504923084158</v>
      </c>
      <c r="P154" s="114"/>
    </row>
    <row r="155" spans="2:16" ht="15">
      <c r="B155" s="118"/>
      <c r="C155" s="118"/>
      <c r="D155" s="118"/>
      <c r="E155" s="118"/>
      <c r="F155" s="118"/>
      <c r="G155" s="118"/>
      <c r="H155" s="118"/>
      <c r="I155" s="118"/>
      <c r="J155" s="118"/>
      <c r="K155" s="118"/>
      <c r="L155" s="118"/>
      <c r="M155" s="118"/>
      <c r="N155" s="109" t="s">
        <v>76</v>
      </c>
      <c r="O155" s="172">
        <f>((O130+O143)-(C130+C143))/(C130+C143)</f>
        <v>-0.63857786716703935</v>
      </c>
      <c r="P155" s="114"/>
    </row>
    <row r="156" spans="2:16" ht="15">
      <c r="B156" s="118"/>
      <c r="C156" s="118"/>
      <c r="D156" s="118"/>
      <c r="E156" s="118"/>
      <c r="F156" s="118"/>
      <c r="G156" s="118"/>
      <c r="H156" s="118"/>
      <c r="I156" s="118"/>
      <c r="J156" s="118"/>
      <c r="K156" s="118"/>
      <c r="L156" s="118"/>
      <c r="M156" s="118"/>
      <c r="N156" s="109" t="s">
        <v>70</v>
      </c>
      <c r="O156" s="172">
        <f>(O147-C147)/C147</f>
        <v>6.7280077813148501E-2</v>
      </c>
      <c r="P156" s="114"/>
    </row>
    <row r="157" spans="2:16" ht="15">
      <c r="B157" s="118"/>
      <c r="C157" s="118"/>
      <c r="D157" s="118"/>
      <c r="E157" s="118"/>
      <c r="F157" s="118"/>
      <c r="G157" s="118"/>
      <c r="H157" s="118"/>
      <c r="I157" s="118"/>
      <c r="J157" s="118"/>
      <c r="K157" s="118"/>
      <c r="L157" s="118"/>
      <c r="M157" s="118"/>
      <c r="N157" s="109" t="s">
        <v>71</v>
      </c>
      <c r="O157" s="172">
        <f>(O148-C148)/C148</f>
        <v>1.7943508252362117</v>
      </c>
      <c r="P157" s="114"/>
    </row>
    <row r="159" spans="2:16">
      <c r="B159" s="106" t="s">
        <v>152</v>
      </c>
    </row>
    <row r="160" spans="2:16">
      <c r="B160" s="108" t="s">
        <v>31</v>
      </c>
      <c r="C160" s="108" t="s">
        <v>131</v>
      </c>
      <c r="D160" s="108" t="s">
        <v>131</v>
      </c>
      <c r="E160" s="108" t="s">
        <v>131</v>
      </c>
      <c r="F160" s="108" t="s">
        <v>131</v>
      </c>
      <c r="G160" s="108" t="s">
        <v>131</v>
      </c>
      <c r="H160" s="108" t="s">
        <v>131</v>
      </c>
      <c r="I160" s="108" t="s">
        <v>131</v>
      </c>
      <c r="J160" s="108" t="s">
        <v>131</v>
      </c>
      <c r="K160" s="108" t="s">
        <v>131</v>
      </c>
      <c r="L160" s="108" t="s">
        <v>131</v>
      </c>
      <c r="M160" s="108" t="s">
        <v>131</v>
      </c>
      <c r="N160" s="108" t="s">
        <v>131</v>
      </c>
      <c r="O160" s="108" t="s">
        <v>131</v>
      </c>
    </row>
    <row r="161" spans="2:15">
      <c r="B161" s="108" t="s">
        <v>119</v>
      </c>
      <c r="C161" s="108" t="s">
        <v>200</v>
      </c>
      <c r="D161" s="108" t="s">
        <v>201</v>
      </c>
      <c r="E161" s="108" t="s">
        <v>202</v>
      </c>
      <c r="F161" s="108" t="s">
        <v>203</v>
      </c>
      <c r="G161" s="108" t="s">
        <v>204</v>
      </c>
      <c r="H161" s="108" t="s">
        <v>205</v>
      </c>
      <c r="I161" s="108" t="s">
        <v>206</v>
      </c>
      <c r="J161" s="108" t="s">
        <v>207</v>
      </c>
      <c r="K161" s="108" t="s">
        <v>208</v>
      </c>
      <c r="L161" s="108" t="s">
        <v>209</v>
      </c>
      <c r="M161" s="108" t="s">
        <v>210</v>
      </c>
      <c r="N161" s="108" t="s">
        <v>211</v>
      </c>
      <c r="O161" s="108" t="s">
        <v>212</v>
      </c>
    </row>
    <row r="162" spans="2:15">
      <c r="B162" s="108" t="s">
        <v>124</v>
      </c>
      <c r="C162" s="108" t="s">
        <v>6</v>
      </c>
      <c r="D162" s="108" t="s">
        <v>7</v>
      </c>
      <c r="E162" s="108" t="s">
        <v>8</v>
      </c>
      <c r="F162" s="108" t="s">
        <v>7</v>
      </c>
      <c r="G162" s="108" t="s">
        <v>9</v>
      </c>
      <c r="H162" s="108" t="s">
        <v>9</v>
      </c>
      <c r="I162" s="108" t="s">
        <v>8</v>
      </c>
      <c r="J162" s="108" t="s">
        <v>10</v>
      </c>
      <c r="K162" s="108" t="s">
        <v>11</v>
      </c>
      <c r="L162" s="108" t="s">
        <v>12</v>
      </c>
      <c r="M162" s="108" t="s">
        <v>13</v>
      </c>
      <c r="N162" s="108" t="s">
        <v>5</v>
      </c>
      <c r="O162" s="108" t="s">
        <v>6</v>
      </c>
    </row>
    <row r="163" spans="2:15">
      <c r="B163" s="109" t="s">
        <v>240</v>
      </c>
      <c r="C163" s="119">
        <v>0</v>
      </c>
      <c r="D163" s="119">
        <v>0</v>
      </c>
      <c r="E163" s="119">
        <v>0</v>
      </c>
      <c r="F163" s="119">
        <v>0</v>
      </c>
      <c r="G163" s="119">
        <v>0</v>
      </c>
      <c r="H163" s="119">
        <v>0</v>
      </c>
      <c r="I163" s="119">
        <v>0</v>
      </c>
      <c r="J163" s="119">
        <v>0</v>
      </c>
      <c r="K163" s="119">
        <v>0</v>
      </c>
      <c r="L163" s="119">
        <v>0</v>
      </c>
      <c r="M163" s="119">
        <v>0</v>
      </c>
      <c r="N163" s="119">
        <v>0</v>
      </c>
      <c r="O163" s="119">
        <v>0</v>
      </c>
    </row>
    <row r="164" spans="2:15">
      <c r="B164" s="109" t="s">
        <v>229</v>
      </c>
      <c r="C164" s="119">
        <v>1383.6</v>
      </c>
      <c r="D164" s="119">
        <v>6612.9</v>
      </c>
      <c r="E164" s="119">
        <v>3055</v>
      </c>
      <c r="F164" s="119">
        <v>341</v>
      </c>
      <c r="G164" s="119">
        <v>4305</v>
      </c>
      <c r="H164" s="119">
        <v>0</v>
      </c>
      <c r="I164" s="119">
        <v>0</v>
      </c>
      <c r="J164" s="119">
        <v>3306.6</v>
      </c>
      <c r="K164" s="119">
        <v>27914.400000000001</v>
      </c>
      <c r="L164" s="119">
        <v>23926.9</v>
      </c>
      <c r="M164" s="119">
        <v>3200.6</v>
      </c>
      <c r="N164" s="119">
        <v>10696.2</v>
      </c>
      <c r="O164" s="119">
        <v>4341.8999999999996</v>
      </c>
    </row>
    <row r="165" spans="2:15">
      <c r="B165" s="109" t="s">
        <v>26</v>
      </c>
      <c r="C165" s="119">
        <v>10714</v>
      </c>
      <c r="D165" s="119">
        <v>64802.400000000001</v>
      </c>
      <c r="E165" s="119">
        <v>6101.5</v>
      </c>
      <c r="F165" s="119">
        <v>2659</v>
      </c>
      <c r="G165" s="119">
        <v>11713</v>
      </c>
      <c r="H165" s="119">
        <v>0</v>
      </c>
      <c r="I165" s="119">
        <v>15430.5</v>
      </c>
      <c r="J165" s="119">
        <v>27967.5</v>
      </c>
      <c r="K165" s="119">
        <v>638167.19999999995</v>
      </c>
      <c r="L165" s="119">
        <v>455734.5</v>
      </c>
      <c r="M165" s="119">
        <v>67420.5</v>
      </c>
      <c r="N165" s="119">
        <v>39454.699999999997</v>
      </c>
      <c r="O165" s="119">
        <v>58215.4</v>
      </c>
    </row>
    <row r="166" spans="2:15">
      <c r="B166" s="109" t="s">
        <v>236</v>
      </c>
      <c r="C166" s="119">
        <v>0</v>
      </c>
      <c r="D166" s="119">
        <v>0</v>
      </c>
      <c r="E166" s="119">
        <v>0</v>
      </c>
      <c r="F166" s="119">
        <v>0</v>
      </c>
      <c r="G166" s="119">
        <v>0</v>
      </c>
      <c r="H166" s="119">
        <v>0</v>
      </c>
      <c r="I166" s="119">
        <v>0</v>
      </c>
      <c r="J166" s="119">
        <v>0</v>
      </c>
      <c r="K166" s="119">
        <v>0</v>
      </c>
      <c r="L166" s="119">
        <v>0</v>
      </c>
      <c r="M166" s="119">
        <v>0</v>
      </c>
      <c r="N166" s="119">
        <v>0</v>
      </c>
      <c r="O166" s="119">
        <v>0</v>
      </c>
    </row>
    <row r="167" spans="2:15">
      <c r="B167" s="109" t="s">
        <v>230</v>
      </c>
      <c r="C167" s="119">
        <v>0</v>
      </c>
      <c r="D167" s="119">
        <v>0</v>
      </c>
      <c r="E167" s="119">
        <v>0</v>
      </c>
      <c r="F167" s="119">
        <v>0</v>
      </c>
      <c r="G167" s="119">
        <v>0</v>
      </c>
      <c r="H167" s="119">
        <v>0</v>
      </c>
      <c r="I167" s="119">
        <v>0</v>
      </c>
      <c r="J167" s="119">
        <v>0</v>
      </c>
      <c r="K167" s="119">
        <v>0</v>
      </c>
      <c r="L167" s="119">
        <v>0</v>
      </c>
      <c r="M167" s="119">
        <v>0</v>
      </c>
      <c r="N167" s="119">
        <v>0</v>
      </c>
      <c r="O167" s="119">
        <v>0</v>
      </c>
    </row>
    <row r="168" spans="2:15">
      <c r="B168" s="109" t="s">
        <v>241</v>
      </c>
      <c r="C168" s="119">
        <v>0</v>
      </c>
      <c r="D168" s="119">
        <v>0</v>
      </c>
      <c r="E168" s="119">
        <v>0</v>
      </c>
      <c r="F168" s="119">
        <v>0</v>
      </c>
      <c r="G168" s="119">
        <v>0</v>
      </c>
      <c r="H168" s="119">
        <v>0</v>
      </c>
      <c r="I168" s="119">
        <v>0</v>
      </c>
      <c r="J168" s="119">
        <v>0</v>
      </c>
      <c r="K168" s="119">
        <v>0</v>
      </c>
      <c r="L168" s="119">
        <v>0</v>
      </c>
      <c r="M168" s="119">
        <v>0</v>
      </c>
      <c r="N168" s="119">
        <v>0</v>
      </c>
      <c r="O168" s="119">
        <v>0</v>
      </c>
    </row>
    <row r="169" spans="2:15">
      <c r="B169" s="109" t="s">
        <v>233</v>
      </c>
      <c r="C169" s="119">
        <v>0</v>
      </c>
      <c r="D169" s="119">
        <v>0</v>
      </c>
      <c r="E169" s="119">
        <v>0</v>
      </c>
      <c r="F169" s="119">
        <v>0</v>
      </c>
      <c r="G169" s="119">
        <v>0</v>
      </c>
      <c r="H169" s="119">
        <v>0</v>
      </c>
      <c r="I169" s="119">
        <v>0</v>
      </c>
      <c r="J169" s="119">
        <v>0</v>
      </c>
      <c r="K169" s="119">
        <v>0</v>
      </c>
      <c r="L169" s="119">
        <v>0</v>
      </c>
      <c r="M169" s="119">
        <v>0</v>
      </c>
      <c r="N169" s="119">
        <v>0</v>
      </c>
      <c r="O169" s="119">
        <v>0</v>
      </c>
    </row>
    <row r="170" spans="2:15">
      <c r="B170" s="109" t="s">
        <v>242</v>
      </c>
      <c r="C170" s="119">
        <v>0</v>
      </c>
      <c r="D170" s="119">
        <v>0</v>
      </c>
      <c r="E170" s="119">
        <v>0</v>
      </c>
      <c r="F170" s="119">
        <v>0</v>
      </c>
      <c r="G170" s="119">
        <v>0</v>
      </c>
      <c r="H170" s="119">
        <v>0</v>
      </c>
      <c r="I170" s="119">
        <v>0</v>
      </c>
      <c r="J170" s="119">
        <v>0</v>
      </c>
      <c r="K170" s="119">
        <v>0</v>
      </c>
      <c r="L170" s="119">
        <v>0</v>
      </c>
      <c r="M170" s="119">
        <v>0</v>
      </c>
      <c r="N170" s="119">
        <v>0</v>
      </c>
      <c r="O170" s="119">
        <v>0</v>
      </c>
    </row>
    <row r="171" spans="2:15">
      <c r="B171" s="109" t="s">
        <v>22</v>
      </c>
      <c r="C171" s="119">
        <v>0</v>
      </c>
      <c r="D171" s="119">
        <v>0</v>
      </c>
      <c r="E171" s="119">
        <v>0</v>
      </c>
      <c r="F171" s="119">
        <v>0</v>
      </c>
      <c r="G171" s="119">
        <v>0</v>
      </c>
      <c r="H171" s="119">
        <v>0</v>
      </c>
      <c r="I171" s="119">
        <v>0</v>
      </c>
      <c r="J171" s="119">
        <v>0</v>
      </c>
      <c r="K171" s="119">
        <v>0</v>
      </c>
      <c r="L171" s="119">
        <v>0</v>
      </c>
      <c r="M171" s="119">
        <v>0</v>
      </c>
      <c r="N171" s="119">
        <v>0</v>
      </c>
      <c r="O171" s="119">
        <v>0</v>
      </c>
    </row>
    <row r="172" spans="2:15">
      <c r="B172" s="109" t="s">
        <v>243</v>
      </c>
      <c r="C172" s="119">
        <v>0</v>
      </c>
      <c r="D172" s="119">
        <v>0</v>
      </c>
      <c r="E172" s="119">
        <v>0</v>
      </c>
      <c r="F172" s="119">
        <v>0</v>
      </c>
      <c r="G172" s="119">
        <v>0</v>
      </c>
      <c r="H172" s="119">
        <v>0</v>
      </c>
      <c r="I172" s="119">
        <v>0</v>
      </c>
      <c r="J172" s="119">
        <v>0</v>
      </c>
      <c r="K172" s="119">
        <v>0</v>
      </c>
      <c r="L172" s="119">
        <v>0</v>
      </c>
      <c r="M172" s="119">
        <v>0</v>
      </c>
      <c r="N172" s="119">
        <v>0</v>
      </c>
      <c r="O172" s="119">
        <v>0</v>
      </c>
    </row>
    <row r="173" spans="2:15">
      <c r="B173" s="109" t="s">
        <v>228</v>
      </c>
      <c r="C173" s="119">
        <v>0</v>
      </c>
      <c r="D173" s="119">
        <v>0</v>
      </c>
      <c r="E173" s="119">
        <v>0</v>
      </c>
      <c r="F173" s="119">
        <v>0</v>
      </c>
      <c r="G173" s="119">
        <v>0</v>
      </c>
      <c r="H173" s="119">
        <v>0</v>
      </c>
      <c r="I173" s="119">
        <v>0</v>
      </c>
      <c r="J173" s="119">
        <v>0</v>
      </c>
      <c r="K173" s="119">
        <v>0</v>
      </c>
      <c r="L173" s="119">
        <v>0</v>
      </c>
      <c r="M173" s="119">
        <v>0</v>
      </c>
      <c r="N173" s="119">
        <v>0</v>
      </c>
      <c r="O173" s="119">
        <v>0</v>
      </c>
    </row>
    <row r="174" spans="2:15">
      <c r="B174" s="109" t="s">
        <v>237</v>
      </c>
      <c r="C174" s="119">
        <v>0</v>
      </c>
      <c r="D174" s="119">
        <v>0</v>
      </c>
      <c r="E174" s="119">
        <v>0</v>
      </c>
      <c r="F174" s="119">
        <v>0</v>
      </c>
      <c r="G174" s="119">
        <v>0</v>
      </c>
      <c r="H174" s="119">
        <v>0</v>
      </c>
      <c r="I174" s="119">
        <v>0</v>
      </c>
      <c r="J174" s="119">
        <v>0</v>
      </c>
      <c r="K174" s="119">
        <v>0</v>
      </c>
      <c r="L174" s="119">
        <v>0</v>
      </c>
      <c r="M174" s="119">
        <v>0</v>
      </c>
      <c r="N174" s="119">
        <v>0</v>
      </c>
      <c r="O174" s="119">
        <v>0</v>
      </c>
    </row>
    <row r="175" spans="2:15">
      <c r="B175" s="109" t="s">
        <v>244</v>
      </c>
      <c r="C175" s="119">
        <v>0</v>
      </c>
      <c r="D175" s="119">
        <v>0</v>
      </c>
      <c r="E175" s="119">
        <v>0</v>
      </c>
      <c r="F175" s="119">
        <v>0</v>
      </c>
      <c r="G175" s="119">
        <v>0</v>
      </c>
      <c r="H175" s="119">
        <v>0</v>
      </c>
      <c r="I175" s="119">
        <v>0</v>
      </c>
      <c r="J175" s="119">
        <v>0</v>
      </c>
      <c r="K175" s="119">
        <v>0</v>
      </c>
      <c r="L175" s="119">
        <v>0</v>
      </c>
      <c r="M175" s="119">
        <v>0</v>
      </c>
      <c r="N175" s="119">
        <v>0</v>
      </c>
      <c r="O175" s="119">
        <v>0</v>
      </c>
    </row>
    <row r="176" spans="2:15">
      <c r="B176" s="109" t="s">
        <v>234</v>
      </c>
      <c r="C176" s="119">
        <v>0</v>
      </c>
      <c r="D176" s="119">
        <v>0</v>
      </c>
      <c r="E176" s="119">
        <v>0</v>
      </c>
      <c r="F176" s="119">
        <v>0</v>
      </c>
      <c r="G176" s="119">
        <v>0</v>
      </c>
      <c r="H176" s="119">
        <v>0</v>
      </c>
      <c r="I176" s="119">
        <v>0</v>
      </c>
      <c r="J176" s="119">
        <v>0</v>
      </c>
      <c r="K176" s="119">
        <v>0</v>
      </c>
      <c r="L176" s="119">
        <v>0</v>
      </c>
      <c r="M176" s="119">
        <v>0</v>
      </c>
      <c r="N176" s="119">
        <v>0</v>
      </c>
      <c r="O176" s="119">
        <v>0</v>
      </c>
    </row>
    <row r="177" spans="2:15">
      <c r="B177" s="109" t="s">
        <v>235</v>
      </c>
      <c r="C177" s="119">
        <v>0</v>
      </c>
      <c r="D177" s="119">
        <v>0</v>
      </c>
      <c r="E177" s="119">
        <v>0</v>
      </c>
      <c r="F177" s="119">
        <v>0</v>
      </c>
      <c r="G177" s="119">
        <v>0</v>
      </c>
      <c r="H177" s="119">
        <v>0</v>
      </c>
      <c r="I177" s="119">
        <v>0</v>
      </c>
      <c r="J177" s="119">
        <v>0</v>
      </c>
      <c r="K177" s="119">
        <v>0</v>
      </c>
      <c r="L177" s="119">
        <v>0</v>
      </c>
      <c r="M177" s="119">
        <v>0</v>
      </c>
      <c r="N177" s="119">
        <v>0</v>
      </c>
      <c r="O177" s="119">
        <v>0</v>
      </c>
    </row>
    <row r="178" spans="2:15">
      <c r="B178" s="109" t="s">
        <v>232</v>
      </c>
      <c r="C178" s="119">
        <v>0</v>
      </c>
      <c r="D178" s="119">
        <v>0</v>
      </c>
      <c r="E178" s="119">
        <v>0</v>
      </c>
      <c r="F178" s="119">
        <v>0</v>
      </c>
      <c r="G178" s="119">
        <v>0</v>
      </c>
      <c r="H178" s="119">
        <v>0</v>
      </c>
      <c r="I178" s="119">
        <v>0</v>
      </c>
      <c r="J178" s="119">
        <v>0</v>
      </c>
      <c r="K178" s="119">
        <v>0</v>
      </c>
      <c r="L178" s="119">
        <v>0</v>
      </c>
      <c r="M178" s="119">
        <v>0</v>
      </c>
      <c r="N178" s="119">
        <v>0</v>
      </c>
      <c r="O178" s="119">
        <v>0</v>
      </c>
    </row>
    <row r="179" spans="2:15">
      <c r="B179" s="109"/>
      <c r="C179" s="175">
        <v>27.787926530899998</v>
      </c>
      <c r="D179" s="175">
        <v>22.1695571817</v>
      </c>
      <c r="E179" s="175">
        <v>20</v>
      </c>
      <c r="F179" s="175">
        <v>3</v>
      </c>
      <c r="G179" s="175">
        <v>12.8</v>
      </c>
      <c r="H179" s="175" t="s">
        <v>185</v>
      </c>
      <c r="I179" s="175">
        <v>23.340193253599999</v>
      </c>
      <c r="J179" s="175">
        <v>21.599768498500001</v>
      </c>
      <c r="K179" s="175">
        <v>20.4834082251</v>
      </c>
      <c r="L179" s="175">
        <v>7.6688870712000003</v>
      </c>
      <c r="M179" s="175">
        <v>8.8270115871999995</v>
      </c>
      <c r="N179" s="175">
        <v>9.1079265776000007</v>
      </c>
      <c r="O179" s="175">
        <v>20.767300458899999</v>
      </c>
    </row>
  </sheetData>
  <mergeCells count="1">
    <mergeCell ref="B70:B7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2:BF71"/>
  <sheetViews>
    <sheetView showGridLines="0" showRowColHeaders="0" topLeftCell="B1" zoomScaleNormal="100" workbookViewId="0">
      <selection activeCell="O24" sqref="O24"/>
    </sheetView>
  </sheetViews>
  <sheetFormatPr baseColWidth="10" defaultColWidth="10.85546875" defaultRowHeight="10.5"/>
  <cols>
    <col min="1" max="1" width="10.85546875" style="44" hidden="1" customWidth="1"/>
    <col min="2" max="2" width="2.5703125" style="44" customWidth="1"/>
    <col min="3" max="3" width="23.7109375" style="44" customWidth="1"/>
    <col min="4" max="4" width="2.7109375" style="44" customWidth="1"/>
    <col min="5" max="38" width="10.85546875" style="44" customWidth="1"/>
    <col min="39" max="58" width="10.85546875" style="51" customWidth="1"/>
    <col min="59" max="16384" width="10.85546875" style="44"/>
  </cols>
  <sheetData>
    <row r="2" spans="3:12" ht="12.75">
      <c r="C2" s="1"/>
      <c r="D2" s="1"/>
      <c r="L2" s="19" t="s">
        <v>36</v>
      </c>
    </row>
    <row r="3" spans="3:12" ht="12.75">
      <c r="C3" s="1"/>
      <c r="D3" s="1"/>
      <c r="L3" s="20" t="s">
        <v>186</v>
      </c>
    </row>
    <row r="4" spans="3:12" ht="12.75">
      <c r="C4" s="21" t="s">
        <v>35</v>
      </c>
    </row>
    <row r="5" spans="3:12" ht="11.25">
      <c r="C5" s="4"/>
    </row>
    <row r="6" spans="3:12" ht="11.25">
      <c r="C6" s="5"/>
    </row>
    <row r="7" spans="3:12" ht="10.5" customHeight="1">
      <c r="C7" s="197" t="s">
        <v>48</v>
      </c>
    </row>
    <row r="8" spans="3:12" ht="10.5" customHeight="1">
      <c r="C8" s="197"/>
    </row>
    <row r="9" spans="3:12" ht="10.5" customHeight="1">
      <c r="C9" s="61" t="s">
        <v>16</v>
      </c>
    </row>
    <row r="10" spans="3:12" ht="10.5" customHeight="1"/>
    <row r="11" spans="3:12" ht="10.5" customHeight="1">
      <c r="C11" s="61"/>
    </row>
    <row r="12" spans="3:12" ht="10.5" customHeight="1">
      <c r="C12" s="61"/>
    </row>
    <row r="30" spans="9:58">
      <c r="I30" s="43"/>
      <c r="AL30" s="51"/>
      <c r="BF30" s="44"/>
    </row>
    <row r="31" spans="9:58">
      <c r="AL31" s="51"/>
      <c r="BF31" s="44"/>
    </row>
    <row r="32" spans="9:58">
      <c r="I32" s="46"/>
      <c r="M32" s="46"/>
      <c r="AL32" s="51"/>
      <c r="BF32" s="44"/>
    </row>
    <row r="33" spans="9:58">
      <c r="I33" s="46"/>
      <c r="M33" s="46"/>
      <c r="AL33" s="51"/>
      <c r="BF33" s="44"/>
    </row>
    <row r="34" spans="9:58">
      <c r="I34" s="46"/>
      <c r="M34" s="47"/>
      <c r="AL34" s="51"/>
      <c r="BF34" s="44"/>
    </row>
    <row r="35" spans="9:58">
      <c r="I35" s="46"/>
      <c r="M35" s="47"/>
      <c r="AL35" s="51"/>
      <c r="BF35" s="44"/>
    </row>
    <row r="36" spans="9:58">
      <c r="I36" s="46"/>
      <c r="M36" s="47"/>
      <c r="AL36" s="51"/>
      <c r="BF36" s="44"/>
    </row>
    <row r="37" spans="9:58">
      <c r="I37" s="46"/>
      <c r="AL37" s="51"/>
      <c r="BF37" s="44"/>
    </row>
    <row r="38" spans="9:58">
      <c r="I38" s="46"/>
      <c r="AL38" s="51"/>
      <c r="BF38" s="44"/>
    </row>
    <row r="39" spans="9:58">
      <c r="I39" s="46"/>
      <c r="AL39" s="51"/>
      <c r="BF39" s="44"/>
    </row>
    <row r="40" spans="9:58">
      <c r="I40" s="46"/>
      <c r="M40" s="48"/>
      <c r="AL40" s="51"/>
      <c r="BF40" s="44"/>
    </row>
    <row r="41" spans="9:58">
      <c r="I41" s="46"/>
      <c r="M41" s="48"/>
      <c r="AL41" s="51"/>
      <c r="BF41" s="44"/>
    </row>
    <row r="42" spans="9:58">
      <c r="I42" s="46"/>
      <c r="AL42" s="51"/>
      <c r="BF42" s="44"/>
    </row>
    <row r="43" spans="9:58">
      <c r="I43" s="46"/>
      <c r="AL43" s="51"/>
      <c r="BF43" s="44"/>
    </row>
    <row r="44" spans="9:58">
      <c r="I44" s="46"/>
      <c r="M44" s="48"/>
      <c r="AL44" s="51"/>
      <c r="BF44" s="44"/>
    </row>
    <row r="45" spans="9:58">
      <c r="I45" s="46"/>
      <c r="O45" s="46"/>
      <c r="AL45" s="51"/>
      <c r="BF45" s="44"/>
    </row>
    <row r="46" spans="9:58">
      <c r="I46" s="46"/>
      <c r="P46" s="46"/>
      <c r="AL46" s="51"/>
      <c r="BF46" s="44"/>
    </row>
    <row r="47" spans="9:58">
      <c r="I47" s="46"/>
      <c r="P47" s="46"/>
      <c r="AL47" s="51"/>
      <c r="BF47" s="44"/>
    </row>
    <row r="48" spans="9:58">
      <c r="I48" s="46"/>
      <c r="P48" s="46"/>
      <c r="AL48" s="51"/>
      <c r="BF48" s="44"/>
    </row>
    <row r="49" spans="5:58">
      <c r="I49" s="46"/>
      <c r="P49" s="46"/>
      <c r="AL49" s="51"/>
      <c r="BF49" s="44"/>
    </row>
    <row r="50" spans="5:58">
      <c r="I50" s="46"/>
      <c r="P50" s="46"/>
      <c r="AL50" s="51"/>
      <c r="BF50" s="44"/>
    </row>
    <row r="51" spans="5:58">
      <c r="I51" s="46"/>
      <c r="P51" s="46"/>
      <c r="AL51" s="51"/>
      <c r="BF51" s="44"/>
    </row>
    <row r="52" spans="5:58">
      <c r="I52" s="46"/>
      <c r="P52" s="46"/>
      <c r="AL52" s="51"/>
      <c r="BF52" s="44"/>
    </row>
    <row r="53" spans="5:58">
      <c r="I53" s="46"/>
      <c r="M53" s="46"/>
      <c r="N53" s="46"/>
      <c r="P53" s="46"/>
      <c r="AL53" s="51"/>
      <c r="BF53" s="44"/>
    </row>
    <row r="54" spans="5:58">
      <c r="I54" s="46"/>
      <c r="M54" s="46"/>
      <c r="N54" s="46"/>
      <c r="P54" s="46"/>
      <c r="AL54" s="51"/>
      <c r="BF54" s="44"/>
    </row>
    <row r="55" spans="5:58">
      <c r="I55" s="46"/>
      <c r="M55" s="46"/>
      <c r="N55" s="46"/>
      <c r="P55" s="46"/>
      <c r="AL55" s="51"/>
      <c r="BF55" s="44"/>
    </row>
    <row r="56" spans="5:58">
      <c r="I56" s="46"/>
      <c r="M56" s="46"/>
      <c r="N56" s="46"/>
      <c r="P56" s="46"/>
      <c r="AL56" s="51"/>
      <c r="BF56" s="44"/>
    </row>
    <row r="57" spans="5:58">
      <c r="I57" s="46"/>
      <c r="P57" s="46"/>
      <c r="AL57" s="51"/>
      <c r="BF57" s="44"/>
    </row>
    <row r="58" spans="5:58" ht="10.5" customHeight="1">
      <c r="I58" s="46"/>
      <c r="M58" s="46"/>
      <c r="N58" s="46"/>
      <c r="P58" s="46"/>
      <c r="AL58" s="51"/>
      <c r="BF58" s="44"/>
    </row>
    <row r="59" spans="5:58">
      <c r="I59" s="46"/>
      <c r="P59" s="46"/>
      <c r="AL59" s="51"/>
      <c r="BF59" s="44"/>
    </row>
    <row r="60" spans="5:58">
      <c r="I60" s="46"/>
      <c r="AL60" s="51"/>
      <c r="BF60" s="44"/>
    </row>
    <row r="61" spans="5:58">
      <c r="I61" s="46"/>
      <c r="AL61" s="51"/>
      <c r="BF61" s="44"/>
    </row>
    <row r="62" spans="5:58" s="49" customFormat="1" ht="12.75">
      <c r="I62" s="46"/>
    </row>
    <row r="63" spans="5:58">
      <c r="E63" s="50"/>
      <c r="H63" s="48">
        <v>41.289576654351698</v>
      </c>
    </row>
    <row r="64" spans="5:58">
      <c r="E64" s="50"/>
      <c r="H64" s="48"/>
    </row>
    <row r="71" spans="10:10">
      <c r="J71" s="45"/>
    </row>
  </sheetData>
  <mergeCells count="1">
    <mergeCell ref="C7:C8"/>
  </mergeCells>
  <printOptions horizontalCentered="1" verticalCentered="1"/>
  <pageMargins left="0" right="0" top="0.6692913385826772" bottom="0.31496062992125984" header="0" footer="0"/>
  <pageSetup paperSize="9" scale="82" orientation="landscape" horizontalDpi="355" verticalDpi="355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autoPageBreaks="0"/>
  </sheetPr>
  <dimension ref="A1:M82"/>
  <sheetViews>
    <sheetView showGridLines="0" showRowColHeaders="0" showOutlineSymbols="0" topLeftCell="A2" workbookViewId="0">
      <selection activeCell="K31" sqref="K31"/>
    </sheetView>
  </sheetViews>
  <sheetFormatPr baseColWidth="10" defaultRowHeight="12.75"/>
  <cols>
    <col min="1" max="1" width="0.140625" style="1" customWidth="1"/>
    <col min="2" max="2" width="2.7109375" style="1" customWidth="1"/>
    <col min="3" max="3" width="23.7109375" style="1" customWidth="1"/>
    <col min="4" max="4" width="1.28515625" style="1" customWidth="1"/>
    <col min="5" max="5" width="105.7109375" style="1" customWidth="1"/>
    <col min="6" max="6" width="11.42578125" style="8" customWidth="1"/>
  </cols>
  <sheetData>
    <row r="1" spans="2:6" s="1" customFormat="1" ht="0.6" customHeight="1"/>
    <row r="2" spans="2:6" s="1" customFormat="1" ht="21" customHeight="1">
      <c r="E2" s="19" t="s">
        <v>36</v>
      </c>
    </row>
    <row r="3" spans="2:6" s="1" customFormat="1" ht="15" customHeight="1">
      <c r="E3" s="20" t="s">
        <v>186</v>
      </c>
    </row>
    <row r="4" spans="2:6" s="2" customFormat="1" ht="19.899999999999999" customHeight="1">
      <c r="B4" s="3"/>
      <c r="C4" s="21" t="s">
        <v>35</v>
      </c>
    </row>
    <row r="5" spans="2:6" s="2" customFormat="1" ht="12.6" customHeight="1">
      <c r="B5" s="3"/>
      <c r="C5" s="4"/>
    </row>
    <row r="6" spans="2:6" s="2" customFormat="1" ht="13.15" customHeight="1">
      <c r="B6" s="3"/>
      <c r="C6" s="5"/>
      <c r="D6" s="6"/>
      <c r="E6" s="6"/>
    </row>
    <row r="7" spans="2:6" s="2" customFormat="1" ht="12.75" customHeight="1">
      <c r="B7" s="3"/>
      <c r="C7" s="197" t="s">
        <v>138</v>
      </c>
      <c r="D7" s="6"/>
      <c r="E7" s="7"/>
    </row>
    <row r="8" spans="2:6" s="2" customFormat="1" ht="12.75" customHeight="1">
      <c r="B8" s="3"/>
      <c r="C8" s="197"/>
      <c r="D8" s="6"/>
      <c r="E8" s="7"/>
    </row>
    <row r="9" spans="2:6" s="2" customFormat="1" ht="12.75" customHeight="1">
      <c r="B9" s="3"/>
      <c r="C9" s="197"/>
      <c r="D9" s="6"/>
      <c r="E9" s="7"/>
    </row>
    <row r="10" spans="2:6" s="2" customFormat="1" ht="12.75" customHeight="1">
      <c r="B10" s="3"/>
      <c r="C10" s="53"/>
      <c r="D10" s="6"/>
      <c r="E10" s="7"/>
    </row>
    <row r="11" spans="2:6" s="2" customFormat="1" ht="12.75" customHeight="1">
      <c r="B11" s="3"/>
      <c r="C11" s="10"/>
      <c r="D11" s="6"/>
      <c r="E11" s="7"/>
      <c r="F11" s="63" t="s">
        <v>90</v>
      </c>
    </row>
    <row r="12" spans="2:6" s="2" customFormat="1" ht="12.75" customHeight="1">
      <c r="B12" s="3"/>
      <c r="C12" s="41"/>
      <c r="D12" s="6"/>
      <c r="E12" s="7"/>
      <c r="F12" s="63" t="s">
        <v>91</v>
      </c>
    </row>
    <row r="13" spans="2:6" s="2" customFormat="1" ht="12.75" customHeight="1">
      <c r="B13" s="3"/>
      <c r="C13" s="5"/>
      <c r="D13" s="6"/>
      <c r="E13" s="7"/>
      <c r="F13" s="63" t="s">
        <v>92</v>
      </c>
    </row>
    <row r="14" spans="2:6" s="2" customFormat="1" ht="12.75" customHeight="1">
      <c r="B14" s="3"/>
      <c r="C14" s="5"/>
      <c r="D14" s="6"/>
      <c r="E14" s="7"/>
      <c r="F14" s="63" t="s">
        <v>93</v>
      </c>
    </row>
    <row r="15" spans="2:6" s="2" customFormat="1" ht="12.75" customHeight="1">
      <c r="B15" s="3"/>
      <c r="C15" s="5"/>
      <c r="D15" s="6"/>
      <c r="E15" s="7"/>
      <c r="F15" s="63" t="s">
        <v>94</v>
      </c>
    </row>
    <row r="16" spans="2:6" s="2" customFormat="1" ht="12.75" customHeight="1">
      <c r="B16" s="3"/>
      <c r="C16" s="5"/>
      <c r="D16" s="6"/>
      <c r="E16" s="7"/>
      <c r="F16" s="63" t="s">
        <v>93</v>
      </c>
    </row>
    <row r="17" spans="2:13" s="2" customFormat="1" ht="12.75" customHeight="1">
      <c r="B17" s="3"/>
      <c r="C17" s="5"/>
      <c r="D17" s="6"/>
      <c r="E17" s="7"/>
      <c r="F17" s="63" t="s">
        <v>95</v>
      </c>
    </row>
    <row r="18" spans="2:13" s="2" customFormat="1" ht="12.75" customHeight="1">
      <c r="B18" s="3"/>
      <c r="C18" s="5"/>
      <c r="D18" s="6"/>
      <c r="E18" s="7"/>
      <c r="F18" s="63" t="s">
        <v>95</v>
      </c>
    </row>
    <row r="19" spans="2:13" s="2" customFormat="1" ht="12.75" customHeight="1">
      <c r="B19" s="3"/>
      <c r="C19" s="5"/>
      <c r="D19" s="6"/>
      <c r="E19" s="7"/>
      <c r="F19" s="63" t="s">
        <v>94</v>
      </c>
    </row>
    <row r="20" spans="2:13" s="2" customFormat="1" ht="12.75" customHeight="1">
      <c r="B20" s="3"/>
      <c r="C20" s="5"/>
      <c r="D20" s="6"/>
      <c r="E20" s="7"/>
      <c r="F20" s="63" t="s">
        <v>96</v>
      </c>
    </row>
    <row r="21" spans="2:13" s="2" customFormat="1" ht="12.75" customHeight="1">
      <c r="B21" s="3"/>
      <c r="C21" s="5"/>
      <c r="D21" s="6"/>
      <c r="E21" s="7"/>
      <c r="F21" s="63" t="s">
        <v>97</v>
      </c>
    </row>
    <row r="22" spans="2:13">
      <c r="E22" s="7"/>
      <c r="F22" s="63" t="s">
        <v>98</v>
      </c>
    </row>
    <row r="23" spans="2:13">
      <c r="E23" s="7"/>
      <c r="F23" s="63" t="s">
        <v>90</v>
      </c>
    </row>
    <row r="24" spans="2:13">
      <c r="E24" s="7"/>
      <c r="F24" s="2"/>
      <c r="G24" s="2"/>
      <c r="H24" s="2"/>
    </row>
    <row r="25" spans="2:13">
      <c r="E25" s="7"/>
      <c r="F25" s="2"/>
      <c r="G25" s="2"/>
      <c r="H25" s="2"/>
    </row>
    <row r="26" spans="2:13">
      <c r="E26" s="7"/>
    </row>
    <row r="27" spans="2:13">
      <c r="E27" s="7"/>
      <c r="H27" s="62"/>
      <c r="L27" s="62"/>
      <c r="M27" s="62"/>
    </row>
    <row r="28" spans="2:13">
      <c r="E28" s="7"/>
    </row>
    <row r="82" spans="2:2">
      <c r="B82" s="9"/>
    </row>
  </sheetData>
  <mergeCells count="1">
    <mergeCell ref="C7:C9"/>
  </mergeCells>
  <printOptions horizontalCentered="1" verticalCentered="1"/>
  <pageMargins left="0.78740157480314965" right="0.78740157480314965" top="0.78740157480314965" bottom="0.98425196850393704" header="0" footer="0"/>
  <pageSetup paperSize="9" orientation="landscape" verticalDpi="300" r:id="rId1"/>
  <headerFooter alignWithMargins="0">
    <oddFooter>&amp;R&amp;A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pageSetUpPr autoPageBreaks="0"/>
  </sheetPr>
  <dimension ref="A1:S82"/>
  <sheetViews>
    <sheetView showGridLines="0" showRowColHeaders="0" showOutlineSymbols="0" topLeftCell="A2" workbookViewId="0">
      <selection activeCell="H30" sqref="H30"/>
    </sheetView>
  </sheetViews>
  <sheetFormatPr baseColWidth="10" defaultRowHeight="12.75"/>
  <cols>
    <col min="1" max="1" width="0.140625" style="1" customWidth="1"/>
    <col min="2" max="2" width="2.7109375" style="1" customWidth="1"/>
    <col min="3" max="3" width="23.7109375" style="1" customWidth="1"/>
    <col min="4" max="4" width="1.28515625" style="1" customWidth="1"/>
    <col min="5" max="5" width="105.7109375" style="1" customWidth="1"/>
    <col min="6" max="6" width="11.42578125" style="8" customWidth="1"/>
  </cols>
  <sheetData>
    <row r="1" spans="2:19" s="1" customFormat="1" ht="0.6" customHeight="1"/>
    <row r="2" spans="2:19" s="1" customFormat="1" ht="21" customHeight="1">
      <c r="E2" s="19" t="s">
        <v>36</v>
      </c>
    </row>
    <row r="3" spans="2:19" s="1" customFormat="1" ht="15" customHeight="1">
      <c r="E3" s="96" t="s">
        <v>186</v>
      </c>
    </row>
    <row r="4" spans="2:19" s="2" customFormat="1" ht="19.899999999999999" customHeight="1">
      <c r="B4" s="3"/>
      <c r="C4" s="21" t="s">
        <v>35</v>
      </c>
    </row>
    <row r="5" spans="2:19" s="2" customFormat="1" ht="12.6" customHeight="1">
      <c r="B5" s="3"/>
      <c r="C5" s="4"/>
    </row>
    <row r="6" spans="2:19" s="2" customFormat="1" ht="13.15" customHeight="1">
      <c r="B6" s="3"/>
      <c r="C6" s="5"/>
      <c r="D6" s="6"/>
      <c r="E6" s="6"/>
    </row>
    <row r="7" spans="2:19" s="2" customFormat="1" ht="12.75" customHeight="1">
      <c r="B7" s="3"/>
      <c r="C7" s="197" t="s">
        <v>89</v>
      </c>
      <c r="D7" s="6"/>
      <c r="E7" s="14"/>
    </row>
    <row r="8" spans="2:19" s="2" customFormat="1" ht="12.75" customHeight="1">
      <c r="B8" s="3"/>
      <c r="C8" s="197"/>
      <c r="D8" s="6"/>
      <c r="E8" s="14"/>
    </row>
    <row r="9" spans="2:19" s="2" customFormat="1" ht="18" customHeight="1">
      <c r="B9" s="3"/>
      <c r="C9" s="197"/>
      <c r="D9" s="6"/>
      <c r="E9" s="14"/>
      <c r="F9" s="63" t="str">
        <f>MID('Data 1'!B62,1,1)</f>
        <v>F</v>
      </c>
      <c r="R9" s="97"/>
      <c r="S9" s="100"/>
    </row>
    <row r="10" spans="2:19" s="2" customFormat="1" ht="12.75" customHeight="1">
      <c r="B10" s="3"/>
      <c r="D10" s="6"/>
      <c r="E10" s="14"/>
      <c r="F10" s="63" t="str">
        <f>MID('Data 1'!B63,1,1)</f>
        <v>M</v>
      </c>
      <c r="R10" s="97"/>
      <c r="S10" s="100"/>
    </row>
    <row r="11" spans="2:19" s="2" customFormat="1" ht="12.75" customHeight="1">
      <c r="B11" s="3"/>
      <c r="C11" s="10"/>
      <c r="D11" s="6"/>
      <c r="E11" s="14"/>
      <c r="F11" s="63" t="str">
        <f>MID('Data 1'!B64,1,1)</f>
        <v>A</v>
      </c>
      <c r="R11" s="97"/>
      <c r="S11" s="100"/>
    </row>
    <row r="12" spans="2:19" s="2" customFormat="1" ht="12.75" customHeight="1">
      <c r="B12" s="3"/>
      <c r="C12" s="41"/>
      <c r="D12" s="6"/>
      <c r="E12" s="14"/>
      <c r="F12" s="63" t="str">
        <f>MID('Data 1'!B65,1,1)</f>
        <v>M</v>
      </c>
      <c r="R12" s="97"/>
      <c r="S12" s="100"/>
    </row>
    <row r="13" spans="2:19" s="2" customFormat="1" ht="12.75" customHeight="1">
      <c r="B13" s="3"/>
      <c r="C13" s="5"/>
      <c r="D13" s="6"/>
      <c r="E13" s="14"/>
      <c r="F13" s="63" t="str">
        <f>MID('Data 1'!B66,1,1)</f>
        <v>J</v>
      </c>
      <c r="R13" s="97"/>
      <c r="S13" s="100"/>
    </row>
    <row r="14" spans="2:19" s="2" customFormat="1" ht="12.75" customHeight="1">
      <c r="B14" s="3"/>
      <c r="C14" s="5"/>
      <c r="D14" s="6"/>
      <c r="E14" s="14"/>
      <c r="F14" s="63" t="str">
        <f>MID('Data 1'!B67,1,1)</f>
        <v>J</v>
      </c>
      <c r="R14" s="97"/>
      <c r="S14" s="100"/>
    </row>
    <row r="15" spans="2:19" s="2" customFormat="1" ht="12.75" customHeight="1">
      <c r="B15" s="3"/>
      <c r="C15" s="5"/>
      <c r="D15" s="6"/>
      <c r="E15" s="14"/>
      <c r="F15" s="63" t="str">
        <f>MID('Data 1'!B68,1,1)</f>
        <v>A</v>
      </c>
      <c r="R15" s="97"/>
      <c r="S15" s="100"/>
    </row>
    <row r="16" spans="2:19" s="2" customFormat="1" ht="12.75" customHeight="1">
      <c r="B16" s="3"/>
      <c r="C16" s="5"/>
      <c r="D16" s="6"/>
      <c r="E16" s="14"/>
      <c r="F16" s="63" t="str">
        <f>MID('Data 1'!B69,1,1)</f>
        <v>S</v>
      </c>
      <c r="R16" s="97"/>
      <c r="S16" s="100"/>
    </row>
    <row r="17" spans="2:19" s="2" customFormat="1" ht="12.75" customHeight="1">
      <c r="B17" s="3"/>
      <c r="C17" s="5"/>
      <c r="D17" s="6"/>
      <c r="E17" s="14"/>
      <c r="F17" s="63" t="str">
        <f>MID('Data 1'!B70,1,1)</f>
        <v>O</v>
      </c>
      <c r="R17" s="97"/>
      <c r="S17" s="100"/>
    </row>
    <row r="18" spans="2:19" s="2" customFormat="1" ht="12.75" customHeight="1">
      <c r="B18" s="3"/>
      <c r="C18" s="5"/>
      <c r="D18" s="6"/>
      <c r="E18" s="14"/>
      <c r="F18" s="63" t="str">
        <f>MID('Data 1'!B71,1,1)</f>
        <v>N</v>
      </c>
      <c r="R18" s="97"/>
      <c r="S18" s="100"/>
    </row>
    <row r="19" spans="2:19" s="2" customFormat="1" ht="12.75" customHeight="1">
      <c r="B19" s="3"/>
      <c r="C19" s="5"/>
      <c r="D19" s="6"/>
      <c r="E19" s="14"/>
      <c r="F19" s="63" t="str">
        <f>MID('Data 1'!B72,1,1)</f>
        <v>D</v>
      </c>
      <c r="R19" s="97"/>
      <c r="S19" s="100"/>
    </row>
    <row r="20" spans="2:19" s="2" customFormat="1" ht="12.75" customHeight="1">
      <c r="B20" s="3"/>
      <c r="C20" s="5"/>
      <c r="D20" s="6"/>
      <c r="E20" s="14"/>
      <c r="F20" s="63" t="str">
        <f>MID('Data 1'!B73,1,1)</f>
        <v>E</v>
      </c>
      <c r="R20" s="97"/>
      <c r="S20" s="100"/>
    </row>
    <row r="21" spans="2:19" s="2" customFormat="1" ht="12.75" customHeight="1">
      <c r="B21" s="3"/>
      <c r="C21" s="5"/>
      <c r="D21" s="6"/>
      <c r="E21" s="14"/>
      <c r="F21" s="63" t="str">
        <f>MID('Data 1'!B74,1,1)</f>
        <v>F</v>
      </c>
      <c r="R21" s="97"/>
      <c r="S21" s="100"/>
    </row>
    <row r="22" spans="2:19">
      <c r="E22" s="14"/>
      <c r="F22" s="2"/>
      <c r="R22" s="98"/>
    </row>
    <row r="23" spans="2:19">
      <c r="E23" s="14"/>
      <c r="F23" s="2"/>
      <c r="R23" s="99"/>
    </row>
    <row r="24" spans="2:19">
      <c r="E24" s="14"/>
      <c r="F24" s="2"/>
    </row>
    <row r="25" spans="2:19">
      <c r="E25" s="7"/>
      <c r="F25" s="2"/>
      <c r="G25" s="2"/>
      <c r="H25" s="2"/>
      <c r="Q25" s="2"/>
    </row>
    <row r="26" spans="2:19">
      <c r="E26" s="7"/>
    </row>
    <row r="27" spans="2:19">
      <c r="E27" s="7"/>
    </row>
    <row r="28" spans="2:19">
      <c r="E28" s="7"/>
    </row>
    <row r="82" spans="2:2">
      <c r="B82" s="9"/>
    </row>
  </sheetData>
  <customSheetViews>
    <customSheetView guid="{900DFCC7-DCF9-11D6-8470-0008C7298EBA}" showGridLines="0" showRowCol="0" outlineSymbols="0" showRuler="0"/>
    <customSheetView guid="{900DFCC6-DCF9-11D6-8470-0008C7298EBA}" showGridLines="0" showRowCol="0" outlineSymbols="0" showRuler="0"/>
    <customSheetView guid="{900DFCC5-DCF9-11D6-8470-0008C7298EBA}" showGridLines="0" showRowCol="0" outlineSymbols="0" showRuler="0"/>
    <customSheetView guid="{900DFCC4-DCF9-11D6-8470-0008C7298EBA}" showGridLines="0" showRowCol="0" outlineSymbols="0" showRuler="0"/>
    <customSheetView guid="{900DFCC3-DCF9-11D6-8470-0008C7298EBA}" showGridLines="0" showRowCol="0" outlineSymbols="0" showRuler="0"/>
    <customSheetView guid="{900DFCC2-DCF9-11D6-8470-0008C7298EBA}" showGridLines="0" showRowCol="0" outlineSymbols="0" showRuler="0"/>
    <customSheetView guid="{900DFCC1-DCF9-11D6-8470-0008C7298EBA}" showGridLines="0" showRowCol="0" outlineSymbols="0" showRuler="0"/>
    <customSheetView guid="{900DFCC0-DCF9-11D6-8470-0008C7298EBA}" showGridLines="0" showRowCol="0" outlineSymbols="0" showRuler="0"/>
    <customSheetView guid="{900DFCBF-DCF9-11D6-8470-0008C7298EBA}" showGridLines="0" showRowCol="0" outlineSymbols="0" showRuler="0"/>
    <customSheetView guid="{900DFCBE-DCF9-11D6-8470-0008C7298EBA}" showGridLines="0" showRowCol="0" outlineSymbols="0" showRuler="0"/>
    <customSheetView guid="{900DFCBD-DCF9-11D6-8470-0008C7298EBA}" showGridLines="0" showRowCol="0" outlineSymbols="0" showRuler="0"/>
    <customSheetView guid="{900DFCBC-DCF9-11D6-8470-0008C7298EBA}" showGridLines="0" showRowCol="0" outlineSymbols="0" showRuler="0"/>
    <customSheetView guid="{900DFCBB-DCF9-11D6-8470-0008C7298EBA}" showGridLines="0" showRowCol="0" outlineSymbols="0" showRuler="0"/>
    <customSheetView guid="{900DFCBA-DCF9-11D6-8470-0008C7298EBA}" showGridLines="0" showRowCol="0" outlineSymbols="0" showRuler="0"/>
    <customSheetView guid="{900DFCB9-DCF9-11D6-8470-0008C7298EBA}" showGridLines="0" showRowCol="0" outlineSymbols="0" showRuler="0"/>
    <customSheetView guid="{900DFCB8-DCF9-11D6-8470-0008C7298EBA}" showGridLines="0" showRowCol="0" outlineSymbols="0" showRuler="0"/>
    <customSheetView guid="{900DFCB7-DCF9-11D6-8470-0008C7298EBA}" showGridLines="0" showRowCol="0" outlineSymbols="0" showRuler="0"/>
    <customSheetView guid="{900DFCB6-DCF9-11D6-8470-0008C7298EBA}" showGridLines="0" showRowCol="0" outlineSymbols="0" showRuler="0"/>
    <customSheetView guid="{900DFCB5-DCF9-11D6-8470-0008C7298EBA}" showGridLines="0" showRowCol="0" outlineSymbols="0" showRuler="0"/>
    <customSheetView guid="{900DFCB4-DCF9-11D6-8470-0008C7298EBA}" showGridLines="0" showRowCol="0" outlineSymbols="0" showRuler="0"/>
    <customSheetView guid="{900DFCB2-DCF9-11D6-8470-0008C7298EBA}" showGridLines="0" showRowCol="0" outlineSymbols="0" showRuler="0"/>
  </customSheetViews>
  <mergeCells count="1">
    <mergeCell ref="C7:C9"/>
  </mergeCells>
  <phoneticPr fontId="0" type="noConversion"/>
  <printOptions horizontalCentered="1" verticalCentered="1"/>
  <pageMargins left="0.78740157480314965" right="0.78740157480314965" top="0.78740157480314965" bottom="0.98425196850393704" header="0" footer="0"/>
  <pageSetup paperSize="9" orientation="landscape" verticalDpi="300" r:id="rId1"/>
  <headerFooter alignWithMargins="0">
    <oddFooter>&amp;R&amp;A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S36"/>
  <sheetViews>
    <sheetView showGridLines="0" showRowColHeaders="0" zoomScaleNormal="100" workbookViewId="0">
      <selection activeCell="M24" sqref="M24"/>
    </sheetView>
  </sheetViews>
  <sheetFormatPr baseColWidth="10" defaultRowHeight="12.75"/>
  <cols>
    <col min="1" max="1" width="3.85546875" style="22" customWidth="1"/>
    <col min="2" max="2" width="23.7109375" style="22" customWidth="1"/>
    <col min="3" max="3" width="11.42578125" style="22"/>
    <col min="4" max="4" width="12.42578125" style="22" customWidth="1"/>
    <col min="5" max="5" width="11.28515625" style="22" customWidth="1"/>
    <col min="6" max="6" width="11.42578125" style="22"/>
    <col min="7" max="7" width="12.140625" style="22" customWidth="1"/>
    <col min="8" max="10" width="11.42578125" style="22"/>
    <col min="11" max="11" width="13" style="22" customWidth="1"/>
    <col min="12" max="16384" width="11.42578125" style="22"/>
  </cols>
  <sheetData>
    <row r="1" spans="1:8">
      <c r="A1" s="22" t="s">
        <v>4</v>
      </c>
    </row>
    <row r="2" spans="1:8">
      <c r="H2" s="19" t="s">
        <v>36</v>
      </c>
    </row>
    <row r="3" spans="1:8">
      <c r="H3" s="96" t="s">
        <v>186</v>
      </c>
    </row>
    <row r="4" spans="1:8">
      <c r="B4" s="21" t="s">
        <v>35</v>
      </c>
    </row>
    <row r="7" spans="1:8" ht="12.75" customHeight="1">
      <c r="B7" s="198" t="s">
        <v>55</v>
      </c>
    </row>
    <row r="8" spans="1:8">
      <c r="B8" s="198"/>
    </row>
    <row r="9" spans="1:8">
      <c r="B9" s="52" t="s">
        <v>16</v>
      </c>
    </row>
    <row r="27" spans="5:19">
      <c r="P27" s="23"/>
      <c r="Q27" s="24"/>
      <c r="R27" s="23"/>
      <c r="S27" s="24"/>
    </row>
    <row r="28" spans="5:19">
      <c r="P28" s="25"/>
      <c r="Q28" s="26"/>
      <c r="R28" s="25"/>
      <c r="S28" s="26"/>
    </row>
    <row r="30" spans="5:19">
      <c r="E30" s="80"/>
      <c r="F30" s="80"/>
      <c r="G30" s="80"/>
      <c r="H30" s="80"/>
    </row>
    <row r="32" spans="5:19">
      <c r="J32" s="27"/>
      <c r="K32" s="28"/>
      <c r="L32" s="28"/>
      <c r="M32" s="28"/>
      <c r="N32" s="28"/>
    </row>
    <row r="33" spans="10:15">
      <c r="J33" s="27"/>
      <c r="K33" s="28"/>
      <c r="L33" s="28"/>
      <c r="M33" s="28"/>
      <c r="N33" s="28"/>
      <c r="O33" s="28"/>
    </row>
    <row r="34" spans="10:15">
      <c r="J34" s="28"/>
      <c r="K34" s="28"/>
      <c r="L34" s="28"/>
      <c r="M34" s="28"/>
      <c r="N34" s="28"/>
    </row>
    <row r="35" spans="10:15">
      <c r="J35" s="28"/>
      <c r="K35" s="28"/>
      <c r="L35" s="28"/>
      <c r="M35" s="28"/>
      <c r="N35" s="28"/>
    </row>
    <row r="36" spans="10:15">
      <c r="K36" s="29"/>
    </row>
  </sheetData>
  <mergeCells count="1">
    <mergeCell ref="B7:B8"/>
  </mergeCells>
  <printOptions horizontalCentered="1" verticalCentered="1"/>
  <pageMargins left="0.78740157480314965" right="0.78740157480314965" top="0.98425196850393704" bottom="0.98425196850393704" header="0" footer="0"/>
  <pageSetup paperSize="9" scale="85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pageSetUpPr autoPageBreaks="0"/>
  </sheetPr>
  <dimension ref="A1:AM82"/>
  <sheetViews>
    <sheetView showGridLines="0" showRowColHeaders="0" showOutlineSymbols="0" topLeftCell="A2" zoomScale="80" zoomScaleNormal="80" workbookViewId="0">
      <selection activeCell="K24" sqref="K24"/>
    </sheetView>
  </sheetViews>
  <sheetFormatPr baseColWidth="10" defaultRowHeight="12.75"/>
  <cols>
    <col min="1" max="1" width="0.140625" style="1" customWidth="1"/>
    <col min="2" max="2" width="2.7109375" style="1" customWidth="1"/>
    <col min="3" max="3" width="23.7109375" style="1" customWidth="1"/>
    <col min="4" max="4" width="1.28515625" style="1" customWidth="1"/>
    <col min="5" max="5" width="105.7109375" style="1" customWidth="1"/>
    <col min="6" max="6" width="11.42578125" style="8" customWidth="1"/>
    <col min="7" max="7" width="28.42578125" customWidth="1"/>
    <col min="8" max="20" width="9.42578125" customWidth="1"/>
    <col min="24" max="36" width="13.28515625" bestFit="1" customWidth="1"/>
  </cols>
  <sheetData>
    <row r="1" spans="2:39" s="1" customFormat="1" ht="0.6" customHeight="1"/>
    <row r="2" spans="2:39" s="1" customFormat="1" ht="21" customHeight="1">
      <c r="E2" s="19" t="s">
        <v>36</v>
      </c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</row>
    <row r="3" spans="2:39" s="1" customFormat="1" ht="15" customHeight="1">
      <c r="E3" s="96" t="s">
        <v>186</v>
      </c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</row>
    <row r="4" spans="2:39" s="2" customFormat="1" ht="19.899999999999999" customHeight="1">
      <c r="C4" s="21" t="s">
        <v>35</v>
      </c>
    </row>
    <row r="5" spans="2:39" s="2" customFormat="1" ht="12.6" customHeight="1">
      <c r="B5" s="3"/>
      <c r="C5" s="4"/>
    </row>
    <row r="6" spans="2:39" s="2" customFormat="1" ht="13.15" customHeight="1">
      <c r="B6" s="3"/>
      <c r="C6" s="5"/>
      <c r="D6" s="6"/>
      <c r="E6" s="6"/>
    </row>
    <row r="7" spans="2:39" s="2" customFormat="1" ht="12.75" customHeight="1">
      <c r="B7" s="3"/>
      <c r="C7" s="198" t="s">
        <v>32</v>
      </c>
      <c r="D7" s="6"/>
      <c r="E7" s="14"/>
    </row>
    <row r="8" spans="2:39" s="2" customFormat="1" ht="12.75" customHeight="1">
      <c r="B8" s="3"/>
      <c r="C8" s="198"/>
      <c r="D8" s="6"/>
      <c r="E8" s="14"/>
    </row>
    <row r="9" spans="2:39" s="2" customFormat="1" ht="12.75" customHeight="1">
      <c r="B9" s="3"/>
      <c r="C9" s="198"/>
      <c r="D9" s="6"/>
      <c r="E9" s="14"/>
    </row>
    <row r="10" spans="2:39" s="2" customFormat="1" ht="12.75" customHeight="1">
      <c r="B10" s="3"/>
      <c r="C10" s="198"/>
      <c r="D10" s="6"/>
      <c r="E10" s="14"/>
    </row>
    <row r="11" spans="2:39" s="2" customFormat="1" ht="12.75" customHeight="1">
      <c r="B11" s="3"/>
      <c r="C11" s="52"/>
      <c r="D11" s="6"/>
      <c r="E11" s="11"/>
    </row>
    <row r="12" spans="2:39" s="2" customFormat="1" ht="12.75" customHeight="1">
      <c r="B12" s="3"/>
      <c r="C12" s="52"/>
      <c r="D12" s="6"/>
      <c r="E12" s="11"/>
    </row>
    <row r="13" spans="2:39" s="2" customFormat="1" ht="12.75" customHeight="1">
      <c r="B13" s="3"/>
      <c r="C13" s="5"/>
      <c r="D13" s="6"/>
      <c r="E13" s="11"/>
    </row>
    <row r="14" spans="2:39" s="2" customFormat="1" ht="12.75" customHeight="1">
      <c r="B14" s="3"/>
      <c r="C14" s="5"/>
      <c r="D14" s="6"/>
      <c r="E14" s="11"/>
    </row>
    <row r="15" spans="2:39" s="2" customFormat="1" ht="12.75" customHeight="1">
      <c r="B15" s="3"/>
      <c r="C15" s="5"/>
      <c r="D15" s="6"/>
      <c r="E15" s="11"/>
    </row>
    <row r="16" spans="2:39" s="92" customFormat="1" ht="12.75" customHeight="1">
      <c r="C16" s="93"/>
      <c r="D16" s="94"/>
      <c r="E16" s="95"/>
      <c r="AL16" s="2"/>
      <c r="AM16" s="2"/>
    </row>
    <row r="17" spans="2:39" s="2" customFormat="1" ht="12.75" customHeight="1">
      <c r="B17" s="3"/>
      <c r="C17" s="5"/>
      <c r="D17" s="6"/>
      <c r="E17" s="11"/>
    </row>
    <row r="18" spans="2:39" s="2" customFormat="1" ht="12.75" customHeight="1">
      <c r="B18" s="3"/>
      <c r="C18" s="5"/>
      <c r="D18" s="6"/>
      <c r="E18" s="11"/>
    </row>
    <row r="19" spans="2:39" s="2" customFormat="1" ht="12.75" customHeight="1">
      <c r="B19" s="3"/>
      <c r="C19" s="5"/>
      <c r="D19" s="6"/>
      <c r="E19" s="11"/>
      <c r="AL19" s="92"/>
      <c r="AM19" s="92"/>
    </row>
    <row r="20" spans="2:39" s="2" customFormat="1" ht="12.75" customHeight="1">
      <c r="B20" s="3"/>
      <c r="C20" s="5"/>
      <c r="D20" s="6"/>
      <c r="E20" s="11"/>
    </row>
    <row r="21" spans="2:39" s="2" customFormat="1" ht="12.75" customHeight="1">
      <c r="B21" s="3"/>
      <c r="C21" s="5"/>
      <c r="D21" s="6"/>
      <c r="E21" s="11"/>
    </row>
    <row r="22" spans="2:39">
      <c r="E22" s="15"/>
      <c r="AL22" s="2"/>
      <c r="AM22" s="2"/>
    </row>
    <row r="23" spans="2:39">
      <c r="E23" s="15"/>
      <c r="AL23" s="2"/>
      <c r="AM23" s="2"/>
    </row>
    <row r="24" spans="2:39">
      <c r="E24" s="15"/>
      <c r="AL24" s="2"/>
      <c r="AM24" s="2"/>
    </row>
    <row r="25" spans="2:39" ht="16.149999999999999" customHeight="1">
      <c r="E25" s="42" t="s">
        <v>33</v>
      </c>
    </row>
    <row r="34" spans="6:6">
      <c r="F34" s="86"/>
    </row>
    <row r="82" spans="2:2">
      <c r="B82" s="9"/>
    </row>
  </sheetData>
  <customSheetViews>
    <customSheetView guid="{900DFCC7-DCF9-11D6-8470-0008C7298EBA}" showGridLines="0" showRowCol="0" outlineSymbols="0" showRuler="0"/>
    <customSheetView guid="{900DFCC6-DCF9-11D6-8470-0008C7298EBA}" showGridLines="0" showRowCol="0" outlineSymbols="0" showRuler="0"/>
    <customSheetView guid="{900DFCC5-DCF9-11D6-8470-0008C7298EBA}" showGridLines="0" showRowCol="0" outlineSymbols="0" showRuler="0"/>
    <customSheetView guid="{900DFCC4-DCF9-11D6-8470-0008C7298EBA}" showGridLines="0" showRowCol="0" outlineSymbols="0" showRuler="0"/>
    <customSheetView guid="{900DFCC3-DCF9-11D6-8470-0008C7298EBA}" showGridLines="0" showRowCol="0" outlineSymbols="0" showRuler="0"/>
    <customSheetView guid="{900DFCC2-DCF9-11D6-8470-0008C7298EBA}" showGridLines="0" showRowCol="0" outlineSymbols="0" showRuler="0"/>
    <customSheetView guid="{900DFCC1-DCF9-11D6-8470-0008C7298EBA}" showGridLines="0" showRowCol="0" outlineSymbols="0" showRuler="0"/>
    <customSheetView guid="{900DFCC0-DCF9-11D6-8470-0008C7298EBA}" showGridLines="0" showRowCol="0" outlineSymbols="0" showRuler="0"/>
    <customSheetView guid="{900DFCBF-DCF9-11D6-8470-0008C7298EBA}" showGridLines="0" showRowCol="0" outlineSymbols="0" showRuler="0"/>
    <customSheetView guid="{900DFCBE-DCF9-11D6-8470-0008C7298EBA}" showGridLines="0" showRowCol="0" outlineSymbols="0" showRuler="0"/>
    <customSheetView guid="{900DFCBD-DCF9-11D6-8470-0008C7298EBA}" showGridLines="0" showRowCol="0" outlineSymbols="0" showRuler="0"/>
    <customSheetView guid="{900DFCBC-DCF9-11D6-8470-0008C7298EBA}" showGridLines="0" showRowCol="0" outlineSymbols="0" showRuler="0"/>
    <customSheetView guid="{900DFCBB-DCF9-11D6-8470-0008C7298EBA}" showGridLines="0" showRowCol="0" outlineSymbols="0" showRuler="0"/>
    <customSheetView guid="{900DFCBA-DCF9-11D6-8470-0008C7298EBA}" showGridLines="0" showRowCol="0" outlineSymbols="0" showRuler="0"/>
    <customSheetView guid="{900DFCB9-DCF9-11D6-8470-0008C7298EBA}" showGridLines="0" showRowCol="0" outlineSymbols="0" showRuler="0"/>
    <customSheetView guid="{900DFCB8-DCF9-11D6-8470-0008C7298EBA}" showGridLines="0" showRowCol="0" outlineSymbols="0" showRuler="0"/>
    <customSheetView guid="{900DFCB7-DCF9-11D6-8470-0008C7298EBA}" showGridLines="0" showRowCol="0" outlineSymbols="0" showRuler="0"/>
    <customSheetView guid="{900DFCB6-DCF9-11D6-8470-0008C7298EBA}" showGridLines="0" showRowCol="0" outlineSymbols="0" showRuler="0"/>
    <customSheetView guid="{900DFCB5-DCF9-11D6-8470-0008C7298EBA}" showGridLines="0" showRowCol="0" outlineSymbols="0" showRuler="0"/>
    <customSheetView guid="{900DFCB4-DCF9-11D6-8470-0008C7298EBA}" showGridLines="0" showRowCol="0" outlineSymbols="0" showRuler="0"/>
    <customSheetView guid="{900DFCB2-DCF9-11D6-8470-0008C7298EBA}" showGridLines="0" showRowCol="0" outlineSymbols="0" showRuler="0"/>
  </customSheetViews>
  <mergeCells count="1">
    <mergeCell ref="C7:C10"/>
  </mergeCells>
  <phoneticPr fontId="0" type="noConversion"/>
  <printOptions horizontalCentered="1" verticalCentered="1"/>
  <pageMargins left="0.78740157480314965" right="0.78740157480314965" top="0.78740157480314965" bottom="0.98425196850393704" header="0" footer="0"/>
  <pageSetup paperSize="9" orientation="landscape" verticalDpi="300" r:id="rId1"/>
  <headerFooter alignWithMargins="0">
    <oddFooter>&amp;R&amp;A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pageSetUpPr autoPageBreaks="0"/>
  </sheetPr>
  <dimension ref="A1:J82"/>
  <sheetViews>
    <sheetView showGridLines="0" showRowColHeaders="0" showOutlineSymbols="0" topLeftCell="A2" zoomScaleNormal="100" workbookViewId="0">
      <selection activeCell="K12" sqref="K12"/>
    </sheetView>
  </sheetViews>
  <sheetFormatPr baseColWidth="10" defaultRowHeight="12.75"/>
  <cols>
    <col min="1" max="1" width="0.140625" style="1" customWidth="1"/>
    <col min="2" max="2" width="2.7109375" style="1" customWidth="1"/>
    <col min="3" max="3" width="23.7109375" style="1" customWidth="1"/>
    <col min="4" max="4" width="1.28515625" style="1" customWidth="1"/>
    <col min="5" max="5" width="50.7109375" style="1" customWidth="1"/>
    <col min="6" max="6" width="17.140625" style="8" bestFit="1" customWidth="1"/>
    <col min="7" max="7" width="17.140625" bestFit="1" customWidth="1"/>
    <col min="8" max="9" width="9.42578125" customWidth="1"/>
    <col min="11" max="11" width="26.7109375" bestFit="1" customWidth="1"/>
    <col min="12" max="12" width="12.140625" bestFit="1" customWidth="1"/>
    <col min="13" max="13" width="35.140625" bestFit="1" customWidth="1"/>
    <col min="14" max="14" width="20.28515625" bestFit="1" customWidth="1"/>
    <col min="15" max="15" width="28.140625" bestFit="1" customWidth="1"/>
    <col min="16" max="16" width="12.140625" bestFit="1" customWidth="1"/>
    <col min="17" max="17" width="35.140625" bestFit="1" customWidth="1"/>
    <col min="18" max="18" width="20.28515625" bestFit="1" customWidth="1"/>
  </cols>
  <sheetData>
    <row r="1" spans="2:9" s="1" customFormat="1" ht="0.6" customHeight="1"/>
    <row r="2" spans="2:9" s="1" customFormat="1" ht="21" customHeight="1">
      <c r="E2" s="199" t="s">
        <v>36</v>
      </c>
      <c r="F2" s="199"/>
      <c r="G2" s="199"/>
      <c r="H2" s="12"/>
      <c r="I2" s="12"/>
    </row>
    <row r="3" spans="2:9" s="1" customFormat="1" ht="15" customHeight="1">
      <c r="E3" s="200" t="s">
        <v>186</v>
      </c>
      <c r="F3" s="200"/>
      <c r="G3" s="200"/>
      <c r="H3" s="13"/>
      <c r="I3" s="13"/>
    </row>
    <row r="4" spans="2:9" s="2" customFormat="1" ht="19.899999999999999" customHeight="1">
      <c r="C4" s="21" t="s">
        <v>35</v>
      </c>
    </row>
    <row r="5" spans="2:9" s="2" customFormat="1" ht="12.6" customHeight="1">
      <c r="B5" s="3"/>
      <c r="C5" s="4"/>
    </row>
    <row r="6" spans="2:9" s="2" customFormat="1" ht="13.15" customHeight="1">
      <c r="B6" s="3"/>
      <c r="C6" s="5"/>
      <c r="D6" s="6"/>
      <c r="E6" s="6"/>
      <c r="F6" s="91"/>
    </row>
    <row r="7" spans="2:9" s="71" customFormat="1" ht="15" customHeight="1">
      <c r="B7" s="68"/>
      <c r="C7" s="198" t="s">
        <v>135</v>
      </c>
      <c r="D7" s="69"/>
      <c r="E7" s="70"/>
      <c r="F7" s="90"/>
      <c r="G7" s="90"/>
    </row>
    <row r="8" spans="2:9" s="71" customFormat="1" ht="15" customHeight="1">
      <c r="B8" s="68"/>
      <c r="C8" s="198"/>
      <c r="D8" s="69"/>
      <c r="E8" s="72"/>
      <c r="F8" s="73" t="s">
        <v>223</v>
      </c>
      <c r="G8" s="73" t="s">
        <v>186</v>
      </c>
    </row>
    <row r="9" spans="2:9" s="2" customFormat="1" ht="15" customHeight="1">
      <c r="B9" s="3"/>
      <c r="C9" s="52"/>
      <c r="D9" s="6"/>
      <c r="E9" s="66" t="s">
        <v>63</v>
      </c>
      <c r="F9" s="103">
        <f>-VLOOKUP("Restricciones PBF - Coste",'Data 1'!F107:H125,3,FALSE)/1000000</f>
        <v>36.297794530000004</v>
      </c>
      <c r="G9" s="103">
        <f>-VLOOKUP("Restricciones PBF - Coste",'Data 1'!B107:D125,3,FALSE)/1000000</f>
        <v>18.60402685</v>
      </c>
    </row>
    <row r="10" spans="2:9" s="2" customFormat="1" ht="15" customHeight="1">
      <c r="B10" s="3"/>
      <c r="C10" s="198"/>
      <c r="D10" s="6"/>
      <c r="E10" s="66" t="s">
        <v>64</v>
      </c>
      <c r="F10" s="103">
        <f>-VLOOKUP("Restricciones tiempo real (SC)",'Data 1'!F107:H125,3,FALSE)/1000000</f>
        <v>4.71326439</v>
      </c>
      <c r="G10" s="103">
        <f>-VLOOKUP("Restricciones tiempo real (SC)",'Data 1'!B107:D125,3,FALSE)/1000000</f>
        <v>1.0927856599999999</v>
      </c>
    </row>
    <row r="11" spans="2:9" s="2" customFormat="1" ht="15" customHeight="1">
      <c r="B11" s="3"/>
      <c r="C11" s="198"/>
      <c r="D11" s="6"/>
      <c r="E11" s="66" t="s">
        <v>58</v>
      </c>
      <c r="F11" s="103">
        <f>SUM(F9:F10)</f>
        <v>41.011058920000004</v>
      </c>
      <c r="G11" s="103">
        <f>SUM(G9:G10)</f>
        <v>19.696812510000001</v>
      </c>
    </row>
    <row r="12" spans="2:9" s="2" customFormat="1" ht="15" customHeight="1">
      <c r="B12" s="3"/>
      <c r="C12" s="198"/>
      <c r="D12" s="6"/>
      <c r="E12" s="66" t="s">
        <v>24</v>
      </c>
      <c r="F12" s="103">
        <f>-VLOOKUP("Banda secundaria - CF",'Data 1'!F107:H125,3,FALSE)/1000000</f>
        <v>12.975604000000001</v>
      </c>
      <c r="G12" s="103">
        <f>-VLOOKUP("Banda secundaria - CF",'Data 1'!B107:D125,3,FALSE)/1000000</f>
        <v>10.31168766</v>
      </c>
    </row>
    <row r="13" spans="2:9" s="2" customFormat="1" ht="15" customHeight="1">
      <c r="B13" s="3"/>
      <c r="C13" s="5"/>
      <c r="D13" s="6"/>
      <c r="E13" s="66" t="s">
        <v>27</v>
      </c>
      <c r="F13" s="184">
        <f>-IFERROR(VLOOKUP("Reserva subir - Coste",'Data 1'!F107:H125,3,FALSE)/1000000,0)</f>
        <v>0.33616721999999999</v>
      </c>
      <c r="G13" s="103">
        <f>-IFERROR(VLOOKUP("Reserva subir - Coste",'Data 1'!B107:D125,3,FALSE)/1000000,0)</f>
        <v>1.29716882</v>
      </c>
    </row>
    <row r="14" spans="2:9" s="2" customFormat="1" ht="15" customHeight="1">
      <c r="B14" s="3"/>
      <c r="C14" s="5"/>
      <c r="D14" s="6"/>
      <c r="E14" s="66" t="s">
        <v>17</v>
      </c>
      <c r="F14" s="184">
        <f>-(IFERROR(VLOOKUP("Gestión de desvíos",'Data 1'!F107:H125,3,FALSE)/1000000,0)+IFERROR(VLOOKUP("Regulación terciaria",'Data 1'!F107:H125,3,FALSE)/1000000,0)+IFERROR(VLOOKUP("Gestión de desvíos y terciaria (I)",'Data 1'!F107:H125,3,FALSE)/1000000,0)+IFERROR(VLOOKUP("Regulación secundaria",'Data 1'!F107:H125,3,FALSE)/1000000,0)+IFERROR(VLOOKUP("Servicios transfronterizos balance",'Data 1'!F107:H125,3,FALSE)/1000000,0)+IFERROR(VLOOKUP("Desvíos",'Data 1'!F107:H125,3,FALSE)/1000000,0)+IFERROR(VLOOKUP("Desvío entre sistemas",'Data 1'!F107:H125,3,FALSE)/1000000,0)+IFERROR(VLOOKUP("Reducción servicio interrumpibilidad",'Data 1'!F107:H125,3,FALSE)/1000000,0)+IFERROR(VLOOKUP("Enlace balear RP48",'Data 1'!F107:H125,3,FALSE)/1000000,0)+IFERROR(VLOOKUP("Acciones de balance",'Data 1'!F107:H125,3,FALSE)/1000000,0))</f>
        <v>8.1335669999999888E-2</v>
      </c>
      <c r="G14" s="103">
        <f>-(IFERROR(VLOOKUP("Gestión de desvíos",'Data 1'!B107:D125,3,FALSE)/1000000,0)+IFERROR(VLOOKUP("Regulación terciaria",'Data 1'!B107:D125,3,FALSE)/1000000,0)+IFERROR(VLOOKUP("Gestión de desvíos y terciaria (I)",'Data 1'!B107:D125,3,FALSE)/1000000,0)+IFERROR(VLOOKUP("Regulación secundaria",'Data 1'!B107:D125,3,FALSE)/1000000,0)+IFERROR(VLOOKUP("Servicios transfronterizos balance",'Data 1'!B107:D125,3,FALSE)/1000000,0)+IFERROR(VLOOKUP("Desvíos",'Data 1'!B107:D125,3,FALSE)/1000000,0)+IFERROR(VLOOKUP("Desvío entre sistemas",'Data 1'!B107:D125,3,FALSE)/1000000,0)+IFERROR(VLOOKUP("Reducción servicio interrumpibilidad",'Data 1'!B107:D125,3,FALSE)/1000000,0)+IFERROR(VLOOKUP("Enlace balear RP48",'Data 1'!B107:D125,3,FALSE)/1000000,0)+IFERROR(VLOOKUP("Acciones de balance",'Data 1'!B107:D125,3,FALSE)/1000000,0))</f>
        <v>-1.2147744699999996</v>
      </c>
    </row>
    <row r="15" spans="2:9" s="2" customFormat="1" ht="15" customHeight="1">
      <c r="B15" s="3"/>
      <c r="C15" s="5"/>
      <c r="D15" s="6"/>
      <c r="E15" s="66" t="s">
        <v>41</v>
      </c>
      <c r="F15" s="103">
        <f>-IFERROR(VLOOKUP("Saldo desvíos",'Data 1'!F107:H125,3,FALSE)/1000000,0)</f>
        <v>-2.9875217200000002</v>
      </c>
      <c r="G15" s="184">
        <f>-IFERROR(VLOOKUP("Saldo desvíos",'Data 1'!B107:D125,3,FALSE)/1000000,0)</f>
        <v>0.13423426000000002</v>
      </c>
    </row>
    <row r="16" spans="2:9" s="2" customFormat="1" ht="15" customHeight="1">
      <c r="B16" s="3"/>
      <c r="C16" s="5"/>
      <c r="D16" s="6"/>
      <c r="E16" s="66" t="s">
        <v>59</v>
      </c>
      <c r="F16" s="103">
        <f>-IFERROR(VLOOKUP("Control del factor de potencia",'Data 1'!F107:H125,3,FALSE)/1000000,0)</f>
        <v>0</v>
      </c>
      <c r="G16" s="103">
        <f>-IFERROR(VLOOKUP("Control del factor de potencia",'Data 1'!B107:D125,3,FALSE)/1000000,0)</f>
        <v>0</v>
      </c>
    </row>
    <row r="17" spans="2:10" s="2" customFormat="1" ht="15" customHeight="1">
      <c r="B17" s="3"/>
      <c r="C17" s="5"/>
      <c r="D17" s="6"/>
      <c r="E17" s="67" t="s">
        <v>60</v>
      </c>
      <c r="F17" s="104">
        <f>SUM(F11:F16)</f>
        <v>51.416644090000005</v>
      </c>
      <c r="G17" s="104">
        <f>SUM(G11:G16)</f>
        <v>30.225128780000002</v>
      </c>
    </row>
    <row r="18" spans="2:10" s="2" customFormat="1" ht="15" customHeight="1">
      <c r="B18" s="3"/>
      <c r="C18" s="5"/>
      <c r="D18" s="5"/>
      <c r="E18" s="74" t="s">
        <v>155</v>
      </c>
      <c r="F18" s="65"/>
      <c r="G18" s="75">
        <f>(G17-F17)/F17</f>
        <v>-0.41215282881757603</v>
      </c>
      <c r="I18" s="5"/>
      <c r="J18" s="5"/>
    </row>
    <row r="19" spans="2:10" s="2" customFormat="1" ht="12.75" customHeight="1">
      <c r="B19" s="3"/>
      <c r="C19" s="5"/>
      <c r="D19" s="6"/>
      <c r="E19" s="5"/>
      <c r="H19" s="64"/>
      <c r="I19" s="64"/>
    </row>
    <row r="20" spans="2:10" s="2" customFormat="1" ht="12.75" customHeight="1">
      <c r="B20" s="3"/>
      <c r="C20" s="5"/>
      <c r="D20" s="5"/>
      <c r="E20" s="5"/>
    </row>
    <row r="21" spans="2:10" s="2" customFormat="1" ht="12.75" customHeight="1">
      <c r="B21" s="3"/>
      <c r="C21" s="5"/>
      <c r="D21" s="5"/>
      <c r="E21" s="5"/>
    </row>
    <row r="25" spans="2:10" ht="16.149999999999999" customHeight="1"/>
    <row r="38" ht="9.75" customHeight="1"/>
    <row r="39" ht="12.75" hidden="1" customHeight="1"/>
    <row r="40" ht="12.75" hidden="1" customHeight="1"/>
    <row r="82" spans="2:2">
      <c r="B82" s="9"/>
    </row>
  </sheetData>
  <mergeCells count="4">
    <mergeCell ref="E2:G2"/>
    <mergeCell ref="E3:G3"/>
    <mergeCell ref="C7:C8"/>
    <mergeCell ref="C10:C12"/>
  </mergeCells>
  <printOptions horizontalCentered="1" verticalCentered="1"/>
  <pageMargins left="0.78740157480314965" right="0.78740157480314965" top="0.78740157480314965" bottom="0.98425196850393704" header="0" footer="0"/>
  <pageSetup paperSize="9" orientation="landscape" verticalDpi="300" r:id="rId1"/>
  <headerFooter alignWithMargins="0">
    <oddFooter>&amp;R&amp;A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pageSetUpPr autoPageBreaks="0"/>
  </sheetPr>
  <dimension ref="A1:I82"/>
  <sheetViews>
    <sheetView showGridLines="0" showRowColHeaders="0" showOutlineSymbols="0" topLeftCell="A2" zoomScaleNormal="100" workbookViewId="0">
      <selection activeCell="G36" sqref="G36"/>
    </sheetView>
  </sheetViews>
  <sheetFormatPr baseColWidth="10" defaultRowHeight="12.75"/>
  <cols>
    <col min="1" max="1" width="0.140625" style="1" customWidth="1"/>
    <col min="2" max="2" width="2.7109375" style="1" customWidth="1"/>
    <col min="3" max="3" width="23.7109375" style="1" customWidth="1"/>
    <col min="4" max="4" width="1.28515625" style="1" customWidth="1"/>
    <col min="5" max="5" width="105.7109375" style="1" customWidth="1"/>
    <col min="6" max="6" width="11.42578125" style="8" customWidth="1"/>
    <col min="7" max="7" width="28.42578125" customWidth="1"/>
    <col min="8" max="9" width="9.42578125" customWidth="1"/>
  </cols>
  <sheetData>
    <row r="1" spans="2:9" s="1" customFormat="1" ht="0.6" customHeight="1"/>
    <row r="2" spans="2:9" s="1" customFormat="1" ht="21" customHeight="1">
      <c r="E2" s="19" t="s">
        <v>36</v>
      </c>
      <c r="F2" s="12"/>
      <c r="G2" s="12"/>
      <c r="H2" s="12"/>
      <c r="I2" s="12"/>
    </row>
    <row r="3" spans="2:9" s="1" customFormat="1" ht="15" customHeight="1">
      <c r="E3" s="20" t="s">
        <v>186</v>
      </c>
      <c r="F3" s="13"/>
      <c r="G3" s="13"/>
      <c r="H3" s="13"/>
      <c r="I3" s="13"/>
    </row>
    <row r="4" spans="2:9" s="2" customFormat="1" ht="19.899999999999999" customHeight="1">
      <c r="C4" s="21" t="s">
        <v>35</v>
      </c>
    </row>
    <row r="5" spans="2:9" s="2" customFormat="1" ht="12.6" customHeight="1">
      <c r="B5" s="3"/>
      <c r="C5" s="4"/>
    </row>
    <row r="6" spans="2:9" s="2" customFormat="1" ht="13.15" customHeight="1">
      <c r="B6" s="3"/>
      <c r="C6" s="5"/>
      <c r="D6" s="6"/>
      <c r="E6" s="6"/>
    </row>
    <row r="7" spans="2:9" s="2" customFormat="1" ht="12.75" customHeight="1">
      <c r="B7" s="3"/>
      <c r="C7" s="198" t="s">
        <v>61</v>
      </c>
      <c r="D7" s="6"/>
      <c r="E7" s="14"/>
    </row>
    <row r="8" spans="2:9" s="2" customFormat="1" ht="12.75" customHeight="1">
      <c r="B8" s="3"/>
      <c r="C8" s="198"/>
      <c r="D8" s="6"/>
      <c r="E8" s="14"/>
    </row>
    <row r="9" spans="2:9" s="2" customFormat="1" ht="12.75" customHeight="1">
      <c r="B9" s="3"/>
      <c r="C9" s="52" t="s">
        <v>62</v>
      </c>
      <c r="D9" s="6"/>
      <c r="E9" s="14"/>
    </row>
    <row r="10" spans="2:9" s="2" customFormat="1" ht="12.75" customHeight="1">
      <c r="B10" s="3"/>
      <c r="C10" s="198"/>
      <c r="D10" s="6"/>
      <c r="E10" s="14"/>
    </row>
    <row r="11" spans="2:9" s="2" customFormat="1" ht="12.75" customHeight="1">
      <c r="B11" s="3"/>
      <c r="C11" s="198"/>
      <c r="D11" s="6"/>
      <c r="E11" s="11"/>
    </row>
    <row r="12" spans="2:9" s="2" customFormat="1" ht="12.75" customHeight="1">
      <c r="B12" s="3"/>
      <c r="C12" s="198"/>
      <c r="D12" s="6"/>
      <c r="E12" s="11"/>
    </row>
    <row r="13" spans="2:9" s="2" customFormat="1" ht="12.75" customHeight="1">
      <c r="B13" s="3"/>
      <c r="C13" s="5"/>
      <c r="D13" s="6"/>
      <c r="E13" s="11"/>
    </row>
    <row r="14" spans="2:9" s="2" customFormat="1" ht="12.75" customHeight="1">
      <c r="B14" s="3"/>
      <c r="C14" s="5"/>
      <c r="D14" s="6"/>
      <c r="E14" s="11"/>
    </row>
    <row r="15" spans="2:9" s="2" customFormat="1" ht="12.75" customHeight="1">
      <c r="B15" s="3"/>
      <c r="C15" s="5"/>
      <c r="D15" s="6"/>
      <c r="E15" s="11"/>
    </row>
    <row r="16" spans="2:9" s="2" customFormat="1" ht="12.75" customHeight="1">
      <c r="B16" s="3"/>
      <c r="C16" s="5"/>
      <c r="D16" s="6"/>
      <c r="E16" s="11"/>
    </row>
    <row r="17" spans="2:9" s="2" customFormat="1" ht="12.75" customHeight="1">
      <c r="B17" s="3"/>
      <c r="C17" s="5"/>
      <c r="D17" s="6"/>
      <c r="E17" s="11"/>
    </row>
    <row r="18" spans="2:9" s="2" customFormat="1" ht="12.75" customHeight="1">
      <c r="B18" s="3"/>
      <c r="C18" s="5"/>
      <c r="D18" s="6"/>
      <c r="E18" s="11"/>
      <c r="H18" s="64"/>
      <c r="I18" s="64"/>
    </row>
    <row r="19" spans="2:9" s="2" customFormat="1" ht="12.75" customHeight="1">
      <c r="B19" s="3"/>
      <c r="C19" s="5"/>
      <c r="D19" s="6"/>
      <c r="E19" s="11"/>
      <c r="H19" s="64"/>
      <c r="I19" s="64"/>
    </row>
    <row r="20" spans="2:9" s="2" customFormat="1" ht="12.75" customHeight="1">
      <c r="B20" s="3"/>
      <c r="C20" s="5"/>
      <c r="D20" s="6"/>
      <c r="E20" s="11"/>
    </row>
    <row r="21" spans="2:9" s="2" customFormat="1" ht="12.75" customHeight="1">
      <c r="B21" s="3"/>
      <c r="C21" s="5"/>
      <c r="D21" s="6"/>
      <c r="E21" s="11"/>
    </row>
    <row r="22" spans="2:9">
      <c r="E22" s="15"/>
    </row>
    <row r="23" spans="2:9">
      <c r="E23" s="15"/>
    </row>
    <row r="24" spans="2:9">
      <c r="E24" s="15"/>
    </row>
    <row r="25" spans="2:9" ht="16.149999999999999" customHeight="1">
      <c r="E25" s="42"/>
    </row>
    <row r="82" spans="2:2">
      <c r="B82" s="9"/>
    </row>
  </sheetData>
  <mergeCells count="2">
    <mergeCell ref="C10:C12"/>
    <mergeCell ref="C7:C8"/>
  </mergeCells>
  <printOptions horizontalCentered="1" verticalCentered="1"/>
  <pageMargins left="0.78740157480314965" right="0.78740157480314965" top="0.78740157480314965" bottom="0.98425196850393704" header="0" footer="0"/>
  <pageSetup paperSize="9" orientation="landscape" verticalDpi="300" r:id="rId1"/>
  <headerFooter alignWithMargins="0">
    <oddFooter>&amp;R&amp;A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pageSetUpPr autoPageBreaks="0" fitToPage="1"/>
  </sheetPr>
  <dimension ref="A1:AL72"/>
  <sheetViews>
    <sheetView showGridLines="0" showRowColHeaders="0" zoomScaleNormal="100" workbookViewId="0">
      <selection activeCell="O33" sqref="O33"/>
    </sheetView>
  </sheetViews>
  <sheetFormatPr baseColWidth="10" defaultRowHeight="12.75"/>
  <cols>
    <col min="1" max="1" width="2.7109375" style="30" customWidth="1"/>
    <col min="2" max="2" width="23.7109375" style="30" customWidth="1"/>
    <col min="3" max="3" width="11.42578125" style="30" customWidth="1"/>
    <col min="4" max="8" width="11.42578125" style="30"/>
    <col min="9" max="9" width="11.5703125" style="30" bestFit="1" customWidth="1"/>
    <col min="10" max="14" width="11.42578125" style="30"/>
    <col min="15" max="15" width="17" style="30" bestFit="1" customWidth="1"/>
    <col min="16" max="16384" width="11.42578125" style="30"/>
  </cols>
  <sheetData>
    <row r="1" spans="1:38">
      <c r="L1" s="19" t="s">
        <v>36</v>
      </c>
    </row>
    <row r="2" spans="1:38">
      <c r="L2" s="20" t="s">
        <v>186</v>
      </c>
    </row>
    <row r="4" spans="1:38">
      <c r="A4" s="33"/>
      <c r="B4" s="21" t="s">
        <v>35</v>
      </c>
      <c r="C4" s="33"/>
      <c r="P4" s="77" t="s">
        <v>13</v>
      </c>
      <c r="Q4" s="77" t="s">
        <v>5</v>
      </c>
      <c r="R4" s="77" t="s">
        <v>6</v>
      </c>
      <c r="S4" s="77" t="s">
        <v>7</v>
      </c>
      <c r="T4" s="77" t="s">
        <v>8</v>
      </c>
      <c r="U4" s="77" t="s">
        <v>7</v>
      </c>
      <c r="V4" s="77" t="s">
        <v>9</v>
      </c>
      <c r="W4" s="77" t="s">
        <v>9</v>
      </c>
      <c r="X4" s="77" t="s">
        <v>8</v>
      </c>
      <c r="Y4" s="77" t="s">
        <v>10</v>
      </c>
      <c r="Z4" s="77" t="s">
        <v>11</v>
      </c>
      <c r="AA4" s="77" t="s">
        <v>12</v>
      </c>
      <c r="AB4" s="77" t="s">
        <v>13</v>
      </c>
    </row>
    <row r="5" spans="1:38" s="34" customFormat="1"/>
    <row r="6" spans="1:38" s="34" customFormat="1"/>
    <row r="7" spans="1:38" ht="12.75" customHeight="1">
      <c r="B7" s="198" t="s">
        <v>43</v>
      </c>
      <c r="F7" s="35"/>
      <c r="G7" s="35"/>
      <c r="H7" s="36"/>
      <c r="I7" s="36"/>
      <c r="J7" s="36"/>
      <c r="K7" s="36"/>
      <c r="L7" s="36"/>
      <c r="M7" s="36"/>
      <c r="AC7" s="36"/>
      <c r="AD7" s="36"/>
      <c r="AE7" s="36"/>
      <c r="AF7" s="36"/>
      <c r="AG7" s="36"/>
      <c r="AH7" s="36"/>
      <c r="AI7" s="36"/>
      <c r="AJ7" s="36"/>
      <c r="AK7" s="36"/>
      <c r="AL7" s="36"/>
    </row>
    <row r="8" spans="1:38">
      <c r="B8" s="198"/>
      <c r="F8" s="35"/>
      <c r="G8" s="35"/>
      <c r="H8" s="36"/>
      <c r="I8" s="36"/>
      <c r="J8" s="36"/>
      <c r="K8" s="36"/>
      <c r="L8" s="36"/>
      <c r="M8" s="36"/>
      <c r="AC8" s="36"/>
      <c r="AD8" s="36"/>
      <c r="AE8" s="36"/>
      <c r="AF8" s="36"/>
      <c r="AG8" s="36"/>
      <c r="AH8" s="36"/>
      <c r="AI8" s="36"/>
      <c r="AJ8" s="36"/>
      <c r="AK8" s="36"/>
      <c r="AL8" s="36"/>
    </row>
    <row r="9" spans="1:38">
      <c r="B9" s="52" t="s">
        <v>86</v>
      </c>
      <c r="F9" s="35"/>
      <c r="G9" s="35"/>
    </row>
    <row r="10" spans="1:38">
      <c r="B10" s="198"/>
      <c r="F10" s="35"/>
      <c r="G10" s="35"/>
    </row>
    <row r="11" spans="1:38">
      <c r="B11" s="198"/>
      <c r="F11" s="35"/>
      <c r="G11" s="35"/>
    </row>
    <row r="12" spans="1:38" s="34" customFormat="1">
      <c r="B12" s="198"/>
      <c r="F12" s="35"/>
      <c r="G12" s="35"/>
    </row>
    <row r="13" spans="1:38">
      <c r="B13" s="198"/>
      <c r="F13" s="35"/>
      <c r="G13" s="35"/>
      <c r="H13" s="36"/>
      <c r="I13" s="36"/>
      <c r="J13" s="36"/>
      <c r="K13" s="36"/>
      <c r="L13" s="36"/>
      <c r="M13" s="36"/>
      <c r="AC13" s="36"/>
      <c r="AD13" s="36"/>
      <c r="AE13" s="36"/>
      <c r="AF13" s="36"/>
      <c r="AG13" s="36"/>
      <c r="AH13" s="36"/>
      <c r="AI13" s="36"/>
      <c r="AJ13" s="36"/>
    </row>
    <row r="14" spans="1:38">
      <c r="F14" s="35"/>
      <c r="G14" s="35"/>
    </row>
    <row r="15" spans="1:38">
      <c r="F15" s="35"/>
      <c r="G15" s="35"/>
    </row>
    <row r="16" spans="1:38">
      <c r="F16" s="35"/>
      <c r="G16" s="35"/>
    </row>
    <row r="17" spans="6:7">
      <c r="F17" s="35"/>
      <c r="G17" s="35"/>
    </row>
    <row r="18" spans="6:7">
      <c r="F18" s="35"/>
      <c r="G18" s="35"/>
    </row>
    <row r="19" spans="6:7">
      <c r="F19" s="35"/>
      <c r="G19" s="35"/>
    </row>
    <row r="20" spans="6:7">
      <c r="F20" s="35"/>
      <c r="G20" s="35"/>
    </row>
    <row r="21" spans="6:7">
      <c r="F21" s="35"/>
      <c r="G21" s="35"/>
    </row>
    <row r="22" spans="6:7">
      <c r="F22" s="35"/>
      <c r="G22" s="35"/>
    </row>
    <row r="23" spans="6:7">
      <c r="F23" s="35"/>
      <c r="G23" s="35"/>
    </row>
    <row r="24" spans="6:7">
      <c r="F24" s="35"/>
      <c r="G24" s="35"/>
    </row>
    <row r="25" spans="6:7">
      <c r="F25" s="35"/>
      <c r="G25" s="35"/>
    </row>
    <row r="26" spans="6:7">
      <c r="F26" s="35"/>
      <c r="G26" s="35"/>
    </row>
    <row r="27" spans="6:7">
      <c r="F27" s="35"/>
      <c r="G27" s="35"/>
    </row>
    <row r="28" spans="6:7">
      <c r="F28" s="35"/>
      <c r="G28" s="35"/>
    </row>
    <row r="29" spans="6:7">
      <c r="F29" s="35"/>
      <c r="G29" s="35"/>
    </row>
    <row r="30" spans="6:7">
      <c r="F30" s="35"/>
      <c r="G30" s="35"/>
    </row>
    <row r="31" spans="6:7">
      <c r="F31" s="35"/>
      <c r="G31" s="35"/>
    </row>
    <row r="32" spans="6:7">
      <c r="F32" s="35"/>
      <c r="G32" s="35"/>
    </row>
    <row r="33" spans="1:7">
      <c r="F33" s="35"/>
      <c r="G33" s="35"/>
    </row>
    <row r="34" spans="1:7">
      <c r="F34" s="35"/>
      <c r="G34" s="35"/>
    </row>
    <row r="35" spans="1:7">
      <c r="F35" s="35"/>
      <c r="G35" s="35"/>
    </row>
    <row r="36" spans="1:7" ht="12.75" customHeight="1"/>
    <row r="40" spans="1:7" s="22" customFormat="1">
      <c r="A40" s="30"/>
      <c r="B40" s="30"/>
    </row>
    <row r="41" spans="1:7" s="22" customFormat="1">
      <c r="A41" s="30"/>
      <c r="B41" s="30"/>
    </row>
    <row r="42" spans="1:7" s="22" customFormat="1">
      <c r="A42" s="30"/>
      <c r="B42" s="30"/>
    </row>
    <row r="57" spans="10:16">
      <c r="J57" s="31"/>
      <c r="K57" s="38"/>
      <c r="L57" s="39"/>
      <c r="M57" s="39"/>
      <c r="N57" s="38"/>
      <c r="O57" s="38"/>
    </row>
    <row r="58" spans="10:16">
      <c r="K58" s="31"/>
      <c r="L58" s="38"/>
      <c r="M58" s="39"/>
      <c r="N58" s="39"/>
      <c r="O58" s="38"/>
      <c r="P58" s="38"/>
    </row>
    <row r="59" spans="10:16">
      <c r="K59" s="31"/>
      <c r="L59" s="38"/>
      <c r="M59" s="39"/>
      <c r="N59" s="39"/>
      <c r="O59" s="38"/>
      <c r="P59" s="38"/>
    </row>
    <row r="60" spans="10:16">
      <c r="K60" s="31"/>
      <c r="L60" s="38"/>
      <c r="M60" s="39"/>
      <c r="N60" s="39"/>
      <c r="O60" s="38"/>
      <c r="P60" s="38"/>
    </row>
    <row r="61" spans="10:16">
      <c r="K61" s="31"/>
      <c r="L61" s="38"/>
      <c r="M61" s="39"/>
      <c r="N61" s="39"/>
      <c r="O61" s="38"/>
      <c r="P61" s="38"/>
    </row>
    <row r="62" spans="10:16">
      <c r="K62" s="31"/>
      <c r="L62" s="38"/>
      <c r="M62" s="39"/>
      <c r="N62" s="39"/>
      <c r="O62" s="38"/>
      <c r="P62" s="38"/>
    </row>
    <row r="63" spans="10:16">
      <c r="K63" s="31"/>
      <c r="L63" s="38"/>
      <c r="M63" s="39"/>
      <c r="N63" s="39"/>
      <c r="O63" s="38"/>
      <c r="P63" s="38"/>
    </row>
    <row r="64" spans="10:16">
      <c r="K64" s="31"/>
      <c r="L64" s="38"/>
      <c r="M64" s="39"/>
      <c r="N64" s="39"/>
      <c r="O64" s="38"/>
      <c r="P64" s="38"/>
    </row>
    <row r="65" spans="1:16">
      <c r="K65" s="31"/>
      <c r="L65" s="38"/>
      <c r="M65" s="39"/>
      <c r="N65" s="39"/>
      <c r="O65" s="38"/>
      <c r="P65" s="38"/>
    </row>
    <row r="66" spans="1:16">
      <c r="K66" s="31"/>
      <c r="L66" s="38"/>
      <c r="M66" s="39"/>
      <c r="N66" s="39"/>
      <c r="O66" s="38"/>
      <c r="P66" s="38"/>
    </row>
    <row r="67" spans="1:16" s="22" customFormat="1">
      <c r="B67" s="30"/>
      <c r="C67" s="30"/>
      <c r="D67" s="30"/>
      <c r="E67" s="30"/>
      <c r="F67" s="30"/>
      <c r="G67" s="30"/>
      <c r="H67" s="30"/>
      <c r="I67" s="30"/>
      <c r="J67" s="30"/>
      <c r="K67" s="31"/>
      <c r="L67" s="38"/>
      <c r="M67" s="39"/>
      <c r="N67" s="40"/>
      <c r="O67" s="38"/>
      <c r="P67" s="38"/>
    </row>
    <row r="68" spans="1:16" s="22" customFormat="1">
      <c r="B68" s="30"/>
      <c r="C68" s="30"/>
      <c r="D68" s="30"/>
      <c r="E68" s="30"/>
      <c r="F68" s="30"/>
      <c r="G68" s="30"/>
      <c r="H68" s="30"/>
      <c r="I68" s="30"/>
      <c r="J68" s="30"/>
      <c r="K68" s="30"/>
      <c r="L68" s="38"/>
      <c r="M68" s="40"/>
      <c r="N68" s="40"/>
      <c r="O68" s="38"/>
      <c r="P68" s="38"/>
    </row>
    <row r="69" spans="1:16">
      <c r="A69" s="22"/>
      <c r="K69" s="32"/>
      <c r="M69" s="39"/>
      <c r="N69" s="39"/>
      <c r="O69" s="38"/>
      <c r="P69" s="38"/>
    </row>
    <row r="70" spans="1:16">
      <c r="A70" s="22"/>
      <c r="B70" s="22"/>
      <c r="C70" s="22"/>
      <c r="D70" s="40"/>
      <c r="E70" s="40"/>
      <c r="F70" s="40"/>
      <c r="G70" s="40"/>
      <c r="H70" s="40"/>
      <c r="J70" s="37"/>
    </row>
    <row r="71" spans="1:16">
      <c r="J71" s="37"/>
    </row>
    <row r="72" spans="1:16">
      <c r="F72" s="35"/>
      <c r="G72" s="35"/>
      <c r="J72" s="37"/>
    </row>
  </sheetData>
  <mergeCells count="2">
    <mergeCell ref="B7:B8"/>
    <mergeCell ref="B10:B13"/>
  </mergeCells>
  <conditionalFormatting sqref="K69">
    <cfRule type="cellIs" dxfId="6" priority="1" operator="notBetween">
      <formula>0.001</formula>
      <formula>-0.001</formula>
    </cfRule>
  </conditionalFormatting>
  <printOptions horizontalCentered="1" verticalCentered="1"/>
  <pageMargins left="0.78740157480314965" right="0.78740157480314965" top="0.98425196850393704" bottom="0.98425196850393704" header="0" footer="0"/>
  <pageSetup paperSize="9" scale="55" orientation="landscape" horizontalDpi="355" verticalDpi="355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13</vt:i4>
      </vt:variant>
    </vt:vector>
  </HeadingPairs>
  <TitlesOfParts>
    <vt:vector size="30" baseType="lpstr">
      <vt:lpstr>Indice</vt:lpstr>
      <vt:lpstr>M1</vt:lpstr>
      <vt:lpstr>M2</vt:lpstr>
      <vt:lpstr>M3</vt:lpstr>
      <vt:lpstr>M4</vt:lpstr>
      <vt:lpstr>M5</vt:lpstr>
      <vt:lpstr>M6</vt:lpstr>
      <vt:lpstr>M7</vt:lpstr>
      <vt:lpstr>M8</vt:lpstr>
      <vt:lpstr>M9</vt:lpstr>
      <vt:lpstr>M10</vt:lpstr>
      <vt:lpstr>M11</vt:lpstr>
      <vt:lpstr>M12</vt:lpstr>
      <vt:lpstr>M13</vt:lpstr>
      <vt:lpstr>M14</vt:lpstr>
      <vt:lpstr>Data 1</vt:lpstr>
      <vt:lpstr>Data 2</vt:lpstr>
      <vt:lpstr>'M1'!Área_de_impresión</vt:lpstr>
      <vt:lpstr>'M10'!Área_de_impresión</vt:lpstr>
      <vt:lpstr>'M11'!Área_de_impresión</vt:lpstr>
      <vt:lpstr>'M12'!Área_de_impresión</vt:lpstr>
      <vt:lpstr>'M13'!Área_de_impresión</vt:lpstr>
      <vt:lpstr>'M14'!Área_de_impresión</vt:lpstr>
      <vt:lpstr>'M2'!Área_de_impresión</vt:lpstr>
      <vt:lpstr>'M3'!Área_de_impresión</vt:lpstr>
      <vt:lpstr>'M5'!Área_de_impresión</vt:lpstr>
      <vt:lpstr>'M6'!Área_de_impresión</vt:lpstr>
      <vt:lpstr>'M7'!Área_de_impresión</vt:lpstr>
      <vt:lpstr>'M8'!Área_de_impresión</vt:lpstr>
      <vt:lpstr>'M9'!Área_de_impresión</vt:lpstr>
    </vt:vector>
  </TitlesOfParts>
  <Company>Red Eléctrica de España, S.A.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Operación del Sistema Eléctrico. Informe 1998 (4)</dc:title>
  <dc:creator>Red Eléctrica de España (www.ree.es)</dc:creator>
  <cp:lastModifiedBy>de la Fuente Perez, Roberto</cp:lastModifiedBy>
  <cp:lastPrinted>2016-08-30T06:59:14Z</cp:lastPrinted>
  <dcterms:created xsi:type="dcterms:W3CDTF">1999-07-09T11:45:32Z</dcterms:created>
  <dcterms:modified xsi:type="dcterms:W3CDTF">2018-03-15T10:04:28Z</dcterms:modified>
</cp:coreProperties>
</file>