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2\ENE\INF_ELABORADA\"/>
    </mc:Choice>
  </mc:AlternateContent>
  <xr:revisionPtr revIDLastSave="0" documentId="13_ncr:1_{C2D12B00-4E5B-41D9-8F05-A0BB34EB89E6}" xr6:coauthVersionLast="47" xr6:coauthVersionMax="47" xr10:uidLastSave="{00000000-0000-0000-0000-000000000000}"/>
  <bookViews>
    <workbookView xWindow="-108" yWindow="-108" windowWidth="23256" windowHeight="12576"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10" sheetId="83" r:id="rId11"/>
    <sheet name="M9" sheetId="77" r:id="rId12"/>
    <sheet name="M11" sheetId="85" r:id="rId13"/>
    <sheet name="M12" sheetId="86" r:id="rId14"/>
    <sheet name="M13" sheetId="84" r:id="rId15"/>
    <sheet name="M14" sheetId="87" r:id="rId16"/>
    <sheet name="Data 1" sheetId="98" state="hidden" r:id="rId17"/>
    <sheet name="Data 2" sheetId="99" state="hidden" r:id="rId18"/>
    <sheet name="OMIE" sheetId="97" r:id="rId19"/>
    <sheet name="Dat_01" sheetId="96" r:id="rId20"/>
  </sheets>
  <externalReferences>
    <externalReference r:id="rId21"/>
    <externalReference r:id="rId22"/>
    <externalReference r:id="rId23"/>
  </externalReferences>
  <definedNames>
    <definedName name="_xlnm.Print_Area" localSheetId="18">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Dat_01!$A$173:$N$176</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Dat_01!$A$119:$C$127</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Dat_01!$A$223:$N$227</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99" l="1"/>
  <c r="E24" i="99"/>
  <c r="F24" i="99"/>
  <c r="G24" i="99"/>
  <c r="H24" i="99"/>
  <c r="I24" i="99"/>
  <c r="J24" i="99"/>
  <c r="K24" i="99"/>
  <c r="L24" i="99"/>
  <c r="M24" i="99"/>
  <c r="N24" i="99"/>
  <c r="O24" i="99"/>
  <c r="D23" i="99"/>
  <c r="E23" i="99"/>
  <c r="F23" i="99"/>
  <c r="G23" i="99"/>
  <c r="H23" i="99"/>
  <c r="I23" i="99"/>
  <c r="J23" i="99"/>
  <c r="K23" i="99"/>
  <c r="L23" i="99"/>
  <c r="M23" i="99"/>
  <c r="N23" i="99"/>
  <c r="O23" i="99"/>
  <c r="O182" i="96"/>
  <c r="O181" i="96"/>
  <c r="T94" i="98" l="1"/>
  <c r="U94" i="98"/>
  <c r="V94" i="98"/>
  <c r="W94" i="98"/>
  <c r="X94" i="98"/>
  <c r="Y94" i="98"/>
  <c r="Z94" i="98"/>
  <c r="AA94" i="98"/>
  <c r="AB94" i="98"/>
  <c r="AC94" i="98"/>
  <c r="AD94" i="98"/>
  <c r="D19" i="99"/>
  <c r="E19" i="99"/>
  <c r="F19" i="99"/>
  <c r="G19" i="99"/>
  <c r="H19" i="99"/>
  <c r="I19" i="99"/>
  <c r="J19" i="99"/>
  <c r="K19" i="99"/>
  <c r="L19" i="99"/>
  <c r="M19" i="99"/>
  <c r="N19" i="99"/>
  <c r="O19" i="99"/>
  <c r="D20" i="99"/>
  <c r="E20" i="99"/>
  <c r="F20" i="99"/>
  <c r="G20" i="99"/>
  <c r="H20" i="99"/>
  <c r="I20" i="99"/>
  <c r="J20" i="99"/>
  <c r="K20" i="99"/>
  <c r="L20" i="99"/>
  <c r="M20" i="99"/>
  <c r="N20" i="99"/>
  <c r="O20" i="99"/>
  <c r="D17" i="99"/>
  <c r="E17" i="99"/>
  <c r="F17" i="99"/>
  <c r="G17" i="99"/>
  <c r="H17" i="99"/>
  <c r="I17" i="99"/>
  <c r="J17" i="99"/>
  <c r="K17" i="99"/>
  <c r="L17" i="99"/>
  <c r="M17" i="99"/>
  <c r="N17" i="99"/>
  <c r="O17" i="99"/>
  <c r="H108" i="98" l="1"/>
  <c r="F9" i="76" s="1"/>
  <c r="C130" i="98"/>
  <c r="D130" i="98"/>
  <c r="C131" i="98"/>
  <c r="D131" i="98"/>
  <c r="C132" i="98"/>
  <c r="D132" i="98"/>
  <c r="B130" i="98"/>
  <c r="B131" i="98"/>
  <c r="B132" i="98"/>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D16" i="99" l="1"/>
  <c r="E16" i="99"/>
  <c r="F16" i="99"/>
  <c r="G16" i="99"/>
  <c r="H16" i="99"/>
  <c r="I16" i="99"/>
  <c r="J16" i="99"/>
  <c r="K16" i="99"/>
  <c r="L16" i="99"/>
  <c r="M16" i="99"/>
  <c r="N16" i="99"/>
  <c r="O16" i="99"/>
  <c r="D70" i="99" l="1"/>
  <c r="C35" i="98" l="1"/>
  <c r="D35" i="98"/>
  <c r="E35" i="98"/>
  <c r="E107" i="99" l="1"/>
  <c r="F107" i="99"/>
  <c r="G107" i="99"/>
  <c r="H107" i="99"/>
  <c r="I107" i="99"/>
  <c r="J107" i="99"/>
  <c r="K107" i="99"/>
  <c r="L107" i="99"/>
  <c r="M107" i="99"/>
  <c r="N107" i="99"/>
  <c r="O107" i="99"/>
  <c r="P107" i="99"/>
  <c r="E108" i="99"/>
  <c r="F108" i="99"/>
  <c r="G108" i="99"/>
  <c r="H108" i="99"/>
  <c r="I108" i="99"/>
  <c r="J108" i="99"/>
  <c r="K108" i="99"/>
  <c r="L108" i="99"/>
  <c r="M108" i="99"/>
  <c r="N108" i="99"/>
  <c r="O108" i="99"/>
  <c r="P108" i="99"/>
  <c r="D108" i="99"/>
  <c r="D107" i="99"/>
  <c r="E105" i="99"/>
  <c r="F105" i="99"/>
  <c r="G105" i="99"/>
  <c r="H105" i="99"/>
  <c r="I105" i="99"/>
  <c r="J105" i="99"/>
  <c r="K105" i="99"/>
  <c r="L105" i="99"/>
  <c r="M105" i="99"/>
  <c r="N105" i="99"/>
  <c r="O105" i="99"/>
  <c r="P105" i="99"/>
  <c r="D105" i="99"/>
  <c r="D104" i="99"/>
  <c r="E104" i="99"/>
  <c r="F104" i="99"/>
  <c r="G104" i="99"/>
  <c r="H104" i="99"/>
  <c r="I104" i="99"/>
  <c r="J104" i="99"/>
  <c r="K104" i="99"/>
  <c r="L104" i="99"/>
  <c r="M104" i="99"/>
  <c r="N104" i="99"/>
  <c r="O104" i="99"/>
  <c r="P104" i="99"/>
  <c r="C105" i="99"/>
  <c r="C104" i="99"/>
  <c r="G57" i="98" l="1"/>
  <c r="E57" i="98"/>
  <c r="D57" i="98"/>
  <c r="C57" i="98"/>
  <c r="F57" i="98"/>
  <c r="H57" i="98"/>
  <c r="I57" i="98"/>
  <c r="J57" i="98"/>
  <c r="A67" i="96"/>
  <c r="J67" i="96" s="1"/>
  <c r="B67" i="96"/>
  <c r="C67" i="96"/>
  <c r="F67" i="96"/>
  <c r="G67" i="96"/>
  <c r="I67" i="96"/>
  <c r="A68" i="96"/>
  <c r="J68" i="96" s="1"/>
  <c r="B68" i="96"/>
  <c r="C68" i="96"/>
  <c r="F68" i="96"/>
  <c r="G68" i="96"/>
  <c r="I68" i="96"/>
  <c r="A69" i="96"/>
  <c r="J69" i="96" s="1"/>
  <c r="B69" i="96"/>
  <c r="C69" i="96"/>
  <c r="F69" i="96"/>
  <c r="G69" i="96"/>
  <c r="I69" i="96"/>
  <c r="A70" i="96"/>
  <c r="J70" i="96" s="1"/>
  <c r="B70" i="96"/>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Y299" i="97"/>
  <c r="E39" i="98"/>
  <c r="D70" i="96" l="1"/>
  <c r="D71" i="96"/>
  <c r="D67" i="96"/>
  <c r="D69" i="96"/>
  <c r="D73" i="96"/>
  <c r="D76" i="96"/>
  <c r="D68" i="96"/>
  <c r="D78" i="96"/>
  <c r="D75" i="96"/>
  <c r="D74" i="96"/>
  <c r="D77" i="96"/>
  <c r="D72" i="96"/>
  <c r="A2" i="96" l="1"/>
  <c r="B35" i="98" l="1"/>
  <c r="E148" i="98"/>
  <c r="E147" i="98"/>
  <c r="E140" i="98"/>
  <c r="E141" i="98"/>
  <c r="E142" i="98"/>
  <c r="E143"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P148" i="98"/>
  <c r="O148" i="98"/>
  <c r="N148" i="98"/>
  <c r="M148" i="98"/>
  <c r="L148" i="98"/>
  <c r="K148" i="98"/>
  <c r="J148" i="98"/>
  <c r="I148" i="98"/>
  <c r="H148" i="98"/>
  <c r="G148" i="98"/>
  <c r="F148" i="98"/>
  <c r="D148" i="98"/>
  <c r="E162" i="98" l="1"/>
  <c r="E163" i="98"/>
  <c r="E161" i="98"/>
  <c r="C258"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D129" i="99" l="1"/>
  <c r="H129" i="99"/>
  <c r="I129" i="99"/>
  <c r="P129" i="99"/>
  <c r="O129" i="99"/>
  <c r="G129" i="99"/>
  <c r="N129" i="99"/>
  <c r="F129" i="99"/>
  <c r="L129" i="99"/>
  <c r="E129" i="99"/>
  <c r="K129" i="99"/>
  <c r="M129" i="99"/>
  <c r="J129" i="99"/>
  <c r="G39" i="98" l="1"/>
  <c r="B34" i="98" l="1"/>
  <c r="B33" i="98"/>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D96" i="99"/>
  <c r="D97" i="99"/>
  <c r="D98" i="99"/>
  <c r="D99" i="99"/>
  <c r="D100" i="99"/>
  <c r="D101" i="99"/>
  <c r="D102" i="99"/>
  <c r="D103" i="99"/>
  <c r="C96" i="99"/>
  <c r="C97" i="99"/>
  <c r="C98" i="99"/>
  <c r="C99" i="99"/>
  <c r="C100" i="99"/>
  <c r="C101" i="99"/>
  <c r="C102" i="99"/>
  <c r="C103" i="99"/>
  <c r="C95" i="99"/>
  <c r="E94" i="99"/>
  <c r="F94" i="99"/>
  <c r="G94" i="99"/>
  <c r="H94" i="99"/>
  <c r="I94" i="99"/>
  <c r="J94" i="99"/>
  <c r="K94" i="99"/>
  <c r="L94" i="99"/>
  <c r="M94" i="99"/>
  <c r="N94" i="99"/>
  <c r="O94" i="99"/>
  <c r="P94" i="99"/>
  <c r="D95" i="99"/>
  <c r="D94" i="99"/>
  <c r="D120" i="99" s="1"/>
  <c r="C94" i="99"/>
  <c r="P114" i="99" l="1"/>
  <c r="P115" i="99"/>
  <c r="P113" i="99"/>
  <c r="P112" i="99"/>
  <c r="P120" i="99"/>
  <c r="P405" i="96"/>
  <c r="O120" i="99"/>
  <c r="O405" i="96"/>
  <c r="F120" i="99"/>
  <c r="F405" i="96"/>
  <c r="M120" i="99"/>
  <c r="M405" i="96"/>
  <c r="E120" i="99"/>
  <c r="E405" i="96"/>
  <c r="L124" i="99"/>
  <c r="L406" i="96"/>
  <c r="K120" i="99"/>
  <c r="K405" i="96"/>
  <c r="J124" i="99"/>
  <c r="J406" i="96"/>
  <c r="G124" i="99"/>
  <c r="G406" i="96"/>
  <c r="N124" i="99"/>
  <c r="N406" i="96"/>
  <c r="E124" i="99"/>
  <c r="E406" i="96"/>
  <c r="K124" i="99"/>
  <c r="K406" i="96"/>
  <c r="D405" i="96"/>
  <c r="J120" i="99"/>
  <c r="J405" i="96"/>
  <c r="D124" i="99"/>
  <c r="D406" i="96"/>
  <c r="I124" i="99"/>
  <c r="I406" i="96"/>
  <c r="H120" i="99"/>
  <c r="H405" i="96"/>
  <c r="O124" i="99"/>
  <c r="O406" i="96"/>
  <c r="G120" i="99"/>
  <c r="G405" i="96"/>
  <c r="F124" i="99"/>
  <c r="F406" i="96"/>
  <c r="N120" i="99"/>
  <c r="N405" i="96"/>
  <c r="M124" i="99"/>
  <c r="M406" i="96"/>
  <c r="L120" i="99"/>
  <c r="L405" i="96"/>
  <c r="I120" i="99"/>
  <c r="I405" i="96"/>
  <c r="P124" i="99"/>
  <c r="P406" i="96"/>
  <c r="H124" i="99"/>
  <c r="H406" i="96"/>
  <c r="O231" i="96"/>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5" i="98"/>
  <c r="E36" i="98" l="1"/>
  <c r="D258" i="96"/>
  <c r="E258" i="96"/>
  <c r="F258" i="96"/>
  <c r="G258" i="96"/>
  <c r="H258" i="96"/>
  <c r="I258" i="96"/>
  <c r="J258" i="96"/>
  <c r="K258" i="96"/>
  <c r="L258" i="96"/>
  <c r="M258" i="96"/>
  <c r="N258" i="96"/>
  <c r="O258"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3"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9" i="98" l="1"/>
  <c r="F10" i="76" s="1"/>
  <c r="H110" i="98"/>
  <c r="F13" i="76" s="1"/>
  <c r="H111" i="98"/>
  <c r="F12" i="76" s="1"/>
  <c r="H112" i="98"/>
  <c r="F14" i="76" s="1"/>
  <c r="H113" i="98"/>
  <c r="H114" i="98"/>
  <c r="H115" i="98"/>
  <c r="H116" i="98"/>
  <c r="H117" i="98"/>
  <c r="F16" i="76" s="1"/>
  <c r="D117" i="98"/>
  <c r="G16" i="76" s="1"/>
  <c r="D116" i="98"/>
  <c r="D109" i="98"/>
  <c r="D110" i="98"/>
  <c r="D111" i="98"/>
  <c r="D112" i="98"/>
  <c r="D113" i="98"/>
  <c r="D114" i="98"/>
  <c r="D115" i="98"/>
  <c r="D108" i="98"/>
  <c r="F15" i="76" l="1"/>
  <c r="F11" i="76"/>
  <c r="G15" i="76"/>
  <c r="F17" i="76" l="1"/>
  <c r="G14" i="76"/>
  <c r="G13" i="76"/>
  <c r="G12" i="76"/>
  <c r="G10" i="76"/>
  <c r="G9" i="76"/>
  <c r="G11" i="76" l="1"/>
  <c r="G17" i="76" l="1"/>
  <c r="G18" i="76" l="1"/>
  <c r="AJ11" i="97"/>
  <c r="B68" i="97"/>
  <c r="B38" i="97"/>
  <c r="D125" i="96" l="1"/>
  <c r="D124" i="96"/>
  <c r="D122" i="96"/>
  <c r="C34" i="98" l="1"/>
  <c r="D34" i="98"/>
  <c r="B83" i="96" l="1"/>
  <c r="P370"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P77" i="99" l="1"/>
  <c r="P78" i="99"/>
  <c r="E157" i="98" l="1"/>
  <c r="F157" i="98"/>
  <c r="G157" i="98"/>
  <c r="H157" i="98"/>
  <c r="I157" i="98"/>
  <c r="J157" i="98"/>
  <c r="K157" i="98"/>
  <c r="L157" i="98"/>
  <c r="M157" i="98"/>
  <c r="N157" i="98"/>
  <c r="O157" i="98"/>
  <c r="P157" i="98"/>
  <c r="E158" i="98"/>
  <c r="F158" i="98"/>
  <c r="G158" i="98"/>
  <c r="H158" i="98"/>
  <c r="I158" i="98"/>
  <c r="J158" i="98"/>
  <c r="K158" i="98"/>
  <c r="L158" i="98"/>
  <c r="M158" i="98"/>
  <c r="N158" i="98"/>
  <c r="O158" i="98"/>
  <c r="P158" i="98"/>
  <c r="D158" i="98"/>
  <c r="D157" i="98"/>
  <c r="E164" i="98" l="1"/>
  <c r="E165" i="98"/>
  <c r="B74" i="98"/>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H18" i="99"/>
  <c r="L18" i="99"/>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C24" i="99"/>
  <c r="O30" i="99" s="1"/>
  <c r="C23" i="99"/>
  <c r="O29" i="99" s="1"/>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29" i="98"/>
  <c r="B127" i="98"/>
  <c r="B126"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6" i="98"/>
  <c r="D129" i="98"/>
  <c r="D127" i="98"/>
  <c r="C129" i="98"/>
  <c r="C128" i="98" s="1"/>
  <c r="C127" i="98"/>
  <c r="C126"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O87" i="98" l="1"/>
  <c r="O85" i="98"/>
  <c r="O86" i="98"/>
  <c r="O89" i="98"/>
  <c r="C85" i="98"/>
  <c r="C125" i="98"/>
  <c r="D125" i="98"/>
  <c r="H86" i="98"/>
  <c r="E87" i="98"/>
  <c r="M87" i="98"/>
  <c r="I85" i="98"/>
  <c r="N89" i="98"/>
  <c r="G89" i="98"/>
  <c r="L88" i="98"/>
  <c r="D88" i="98"/>
  <c r="J89" i="98"/>
  <c r="J87" i="98"/>
  <c r="I89" i="98"/>
  <c r="K87" i="98"/>
  <c r="N88" i="98"/>
  <c r="L87" i="98"/>
  <c r="E88" i="98"/>
  <c r="G86" i="98"/>
  <c r="F87" i="98"/>
  <c r="N87" i="98"/>
  <c r="H85" i="98"/>
  <c r="M89" i="98"/>
  <c r="F89" i="98"/>
  <c r="K88" i="98"/>
  <c r="C88" i="98"/>
  <c r="M85" i="98"/>
  <c r="C86" i="98"/>
  <c r="O88" i="98"/>
  <c r="I86" i="98"/>
  <c r="N86" i="98"/>
  <c r="F86" i="98"/>
  <c r="G87" i="98"/>
  <c r="G85" i="98"/>
  <c r="L89" i="98"/>
  <c r="E89" i="98"/>
  <c r="J88" i="98"/>
  <c r="I87" i="98"/>
  <c r="E85" i="98"/>
  <c r="H88" i="98"/>
  <c r="D85" i="98"/>
  <c r="C87" i="98"/>
  <c r="H89" i="98"/>
  <c r="D87" i="98"/>
  <c r="M86" i="98"/>
  <c r="E86" i="98"/>
  <c r="H87" i="98"/>
  <c r="N85" i="98"/>
  <c r="F85" i="98"/>
  <c r="K89" i="98"/>
  <c r="D89" i="98"/>
  <c r="I88" i="98"/>
  <c r="D86" i="98"/>
  <c r="C89" i="98"/>
  <c r="K86" i="98"/>
  <c r="L85" i="98"/>
  <c r="G88" i="98"/>
  <c r="K85" i="98"/>
  <c r="F88" i="98"/>
  <c r="J85" i="98"/>
  <c r="M88" i="98"/>
  <c r="L86" i="98"/>
  <c r="J86" i="98"/>
  <c r="D128" i="98"/>
  <c r="K144" i="98"/>
  <c r="L144" i="98"/>
  <c r="E144" i="98"/>
  <c r="D144" i="98"/>
  <c r="M144" i="98"/>
  <c r="F144" i="98"/>
  <c r="N144" i="98"/>
  <c r="G144" i="98"/>
  <c r="O144" i="98"/>
  <c r="H144" i="98"/>
  <c r="P144" i="98"/>
  <c r="I144" i="98"/>
  <c r="J144" i="98"/>
  <c r="P76" i="99"/>
  <c r="P75" i="99"/>
  <c r="P74" i="99"/>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6" i="99"/>
  <c r="O28" i="99"/>
  <c r="C13" i="99"/>
  <c r="C18" i="99"/>
  <c r="R80" i="98"/>
  <c r="D105" i="98"/>
  <c r="H105" i="98"/>
  <c r="D18" i="99"/>
  <c r="O18" i="99"/>
  <c r="K18" i="99"/>
  <c r="G18" i="99"/>
  <c r="N18" i="99"/>
  <c r="J18" i="99"/>
  <c r="F18" i="99"/>
  <c r="M18" i="99"/>
  <c r="I18" i="99"/>
  <c r="E18" i="99"/>
  <c r="N84" i="98"/>
  <c r="K84" i="98"/>
  <c r="J84" i="98"/>
  <c r="H84" i="98"/>
  <c r="G84" i="98"/>
  <c r="F84" i="98"/>
  <c r="E84" i="98"/>
  <c r="D84" i="98"/>
  <c r="C84" i="98"/>
  <c r="D78" i="98"/>
  <c r="O83" i="98"/>
  <c r="K78" i="98" s="1"/>
  <c r="L83" i="98"/>
  <c r="K83" i="98"/>
  <c r="H83" i="98"/>
  <c r="G83" i="98"/>
  <c r="D83" i="98"/>
  <c r="C83" i="98"/>
  <c r="M82" i="98"/>
  <c r="L82" i="98"/>
  <c r="J82" i="98"/>
  <c r="I82" i="98"/>
  <c r="H82" i="98"/>
  <c r="E82" i="98"/>
  <c r="D82" i="98"/>
  <c r="C78" i="98"/>
  <c r="M84" i="98"/>
  <c r="L84" i="98"/>
  <c r="I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C90" i="98" l="1"/>
  <c r="D124" i="98"/>
  <c r="G8" i="76"/>
  <c r="C124" i="98"/>
  <c r="F8" i="76"/>
  <c r="E78" i="98"/>
  <c r="F90" i="98"/>
  <c r="J78" i="98"/>
  <c r="O84" i="98"/>
  <c r="O90" i="98" s="1"/>
  <c r="J90" i="98"/>
  <c r="E90" i="98"/>
  <c r="I90" i="98"/>
  <c r="M90" i="98"/>
  <c r="D90" i="98"/>
  <c r="H90" i="98"/>
  <c r="L90" i="98"/>
  <c r="N90" i="98"/>
  <c r="J62" i="98"/>
  <c r="H78" i="98" l="1"/>
  <c r="M78" i="98" s="1"/>
  <c r="K90" i="98"/>
  <c r="E18" i="76"/>
  <c r="H119" i="98"/>
  <c r="H120" i="98" s="1"/>
  <c r="G90" i="98"/>
  <c r="B343" i="97"/>
  <c r="B307" i="96"/>
  <c r="Y365" i="97"/>
  <c r="X365" i="97"/>
  <c r="W365" i="97"/>
  <c r="V365" i="97"/>
  <c r="U365" i="97"/>
  <c r="T365" i="97"/>
  <c r="S365" i="97"/>
  <c r="R365" i="97"/>
  <c r="Q365" i="97"/>
  <c r="P365" i="97"/>
  <c r="O365" i="97"/>
  <c r="N365" i="97"/>
  <c r="M365" i="97"/>
  <c r="AL365" i="97" s="1"/>
  <c r="L365" i="97"/>
  <c r="AK365" i="97" s="1"/>
  <c r="K365" i="97"/>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D119" i="98" l="1"/>
  <c r="O92" i="98"/>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AY245" i="97"/>
  <c r="BG15" i="97" s="1"/>
  <c r="AC272" i="97"/>
  <c r="AG272" i="97"/>
  <c r="AF273" i="97"/>
  <c r="AR273" i="97"/>
  <c r="AA288" i="97"/>
  <c r="AM296" i="97"/>
  <c r="AY200" i="97"/>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7" i="96"/>
  <c r="M307" i="96"/>
  <c r="L307" i="96"/>
  <c r="K307" i="96"/>
  <c r="J307" i="96"/>
  <c r="I307" i="96"/>
  <c r="H307" i="96"/>
  <c r="G307" i="96"/>
  <c r="F307" i="96"/>
  <c r="E307" i="96"/>
  <c r="D307" i="96"/>
  <c r="C307" i="96"/>
  <c r="AY253" i="97" l="1"/>
  <c r="BG23" i="97" s="1"/>
  <c r="AY258" i="97"/>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AY280" i="97"/>
  <c r="BK17" i="97" s="1"/>
  <c r="AY271" i="97"/>
  <c r="BK8" i="97" s="1"/>
  <c r="AY161" i="97"/>
  <c r="BD30" i="97" s="1"/>
  <c r="AY155" i="97"/>
  <c r="BD24" i="97" s="1"/>
  <c r="BM39" i="97"/>
  <c r="O266" i="96"/>
  <c r="N266" i="96"/>
  <c r="M266" i="96"/>
  <c r="L266" i="96"/>
  <c r="K266" i="96"/>
  <c r="J266" i="96"/>
  <c r="I266" i="96"/>
  <c r="H266" i="96"/>
  <c r="G266" i="96"/>
  <c r="F266" i="96"/>
  <c r="E266" i="96"/>
  <c r="D266" i="96"/>
  <c r="C266" i="96"/>
  <c r="O233" i="96"/>
  <c r="N233" i="96"/>
  <c r="M233" i="96"/>
  <c r="L233" i="96"/>
  <c r="K233" i="96"/>
  <c r="J233" i="96"/>
  <c r="I233" i="96"/>
  <c r="H233" i="96"/>
  <c r="G233" i="96"/>
  <c r="F233" i="96"/>
  <c r="E233" i="96"/>
  <c r="D233" i="96"/>
  <c r="C233" i="96"/>
  <c r="O185" i="96"/>
  <c r="N185" i="96"/>
  <c r="M185" i="96"/>
  <c r="L185" i="96"/>
  <c r="K185" i="96"/>
  <c r="J185" i="96"/>
  <c r="I185" i="96"/>
  <c r="H185" i="96"/>
  <c r="G185" i="96"/>
  <c r="F185" i="96"/>
  <c r="E185" i="96"/>
  <c r="D185" i="96"/>
  <c r="C185" i="96"/>
  <c r="C166" i="96"/>
  <c r="D166" i="96"/>
  <c r="E166" i="96"/>
  <c r="F166" i="96"/>
  <c r="G166" i="96"/>
  <c r="H166" i="96"/>
  <c r="I166" i="96"/>
  <c r="J166" i="96"/>
  <c r="K166" i="96"/>
  <c r="L166" i="96"/>
  <c r="M166" i="96"/>
  <c r="N166" i="96"/>
  <c r="B166" i="96"/>
  <c r="BG39" i="97" l="1"/>
  <c r="BN12" i="97"/>
  <c r="BJ39" i="97"/>
  <c r="C123" i="98"/>
  <c r="D123"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30" i="96"/>
  <c r="E130" i="96"/>
  <c r="F130" i="96"/>
  <c r="G130" i="96"/>
  <c r="H130" i="96"/>
  <c r="I130" i="96"/>
  <c r="J130" i="96"/>
  <c r="K130" i="96"/>
  <c r="L130" i="96"/>
  <c r="M130" i="96"/>
  <c r="N130" i="96"/>
  <c r="O130" i="96"/>
  <c r="C130" i="96"/>
  <c r="BN39" i="97" l="1"/>
  <c r="BL38" i="97" s="1"/>
  <c r="BJ38" i="97" l="1"/>
  <c r="BH38" i="97"/>
  <c r="BG38" i="97"/>
  <c r="BE38" i="97"/>
  <c r="BM38" i="97"/>
  <c r="BI38" i="97"/>
  <c r="BF38" i="97"/>
  <c r="BK38" i="97"/>
  <c r="B94" i="96"/>
  <c r="C94" i="96"/>
  <c r="I94" i="96"/>
  <c r="H94" i="96"/>
  <c r="F94" i="96"/>
  <c r="E94" i="96"/>
  <c r="B79" i="96"/>
  <c r="C74" i="98" s="1"/>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E67" i="96" s="1"/>
  <c r="H67" i="96" s="1"/>
  <c r="N83" i="96"/>
  <c r="M83" i="96"/>
  <c r="L83" i="96"/>
  <c r="K83" i="96"/>
  <c r="J83" i="96"/>
  <c r="I83" i="96"/>
  <c r="H83" i="96"/>
  <c r="G83" i="96"/>
  <c r="F83" i="96"/>
  <c r="E83" i="96"/>
  <c r="D83" i="96"/>
  <c r="C83" i="96"/>
  <c r="C62" i="98"/>
  <c r="C82" i="96"/>
  <c r="D82" i="96"/>
  <c r="E82" i="96"/>
  <c r="F82" i="96"/>
  <c r="G82" i="96"/>
  <c r="H82" i="96"/>
  <c r="I82" i="96"/>
  <c r="J82" i="96"/>
  <c r="K82" i="96"/>
  <c r="L82" i="96"/>
  <c r="M82" i="96"/>
  <c r="N82" i="96"/>
  <c r="B82" i="96"/>
  <c r="I79" i="96"/>
  <c r="J74" i="98" s="1"/>
  <c r="J73" i="98"/>
  <c r="J72" i="98"/>
  <c r="J71" i="98"/>
  <c r="J70" i="98"/>
  <c r="J69" i="98"/>
  <c r="J68" i="98"/>
  <c r="J67" i="98"/>
  <c r="J66" i="98"/>
  <c r="J65" i="98"/>
  <c r="J64" i="98"/>
  <c r="J63" i="98"/>
  <c r="G79" i="96"/>
  <c r="H74" i="98" s="1"/>
  <c r="H73" i="98"/>
  <c r="H72" i="98"/>
  <c r="H71" i="98"/>
  <c r="H70" i="98"/>
  <c r="H69" i="98"/>
  <c r="H68" i="98"/>
  <c r="H67" i="98"/>
  <c r="H66" i="98"/>
  <c r="H65" i="98"/>
  <c r="H64" i="98"/>
  <c r="H63" i="98"/>
  <c r="H62" i="98"/>
  <c r="F79" i="96"/>
  <c r="G74" i="98" s="1"/>
  <c r="G73" i="98"/>
  <c r="G72" i="98"/>
  <c r="G71" i="98"/>
  <c r="G70" i="98"/>
  <c r="G69" i="98"/>
  <c r="G68" i="98"/>
  <c r="G67" i="98"/>
  <c r="G66" i="98"/>
  <c r="G65" i="98"/>
  <c r="G64" i="98"/>
  <c r="G63" i="98"/>
  <c r="G62" i="98"/>
  <c r="C79" i="96"/>
  <c r="D74" i="98" s="1"/>
  <c r="D73" i="98"/>
  <c r="D72" i="98"/>
  <c r="D71" i="98"/>
  <c r="D70" i="98"/>
  <c r="D69" i="98"/>
  <c r="D68" i="98"/>
  <c r="D67" i="98"/>
  <c r="D66" i="98"/>
  <c r="D65" i="98"/>
  <c r="D64" i="98"/>
  <c r="D63" i="98"/>
  <c r="D62" i="98"/>
  <c r="C73" i="98"/>
  <c r="C71" i="98"/>
  <c r="C70" i="98"/>
  <c r="C69" i="98"/>
  <c r="C68" i="98"/>
  <c r="C66" i="98"/>
  <c r="C65" i="98"/>
  <c r="C63" i="98"/>
  <c r="A79" i="96"/>
  <c r="J79" i="96" s="1"/>
  <c r="O90" i="96" l="1"/>
  <c r="E77" i="96"/>
  <c r="H77" i="96" s="1"/>
  <c r="E69" i="96"/>
  <c r="H69" i="96" s="1"/>
  <c r="E70" i="96"/>
  <c r="H70" i="96" s="1"/>
  <c r="E78" i="96"/>
  <c r="H78" i="96" s="1"/>
  <c r="E71" i="96"/>
  <c r="H71" i="96" s="1"/>
  <c r="E72" i="96"/>
  <c r="H72" i="96" s="1"/>
  <c r="BD38" i="97"/>
  <c r="E73" i="96"/>
  <c r="H73" i="96" s="1"/>
  <c r="E74" i="96"/>
  <c r="H74" i="96" s="1"/>
  <c r="E75" i="96"/>
  <c r="H75" i="96" s="1"/>
  <c r="E68" i="96"/>
  <c r="H68" i="96" s="1"/>
  <c r="E76" i="96"/>
  <c r="H76" i="96" s="1"/>
  <c r="E67" i="98"/>
  <c r="C67" i="98"/>
  <c r="E64" i="98"/>
  <c r="C64" i="98"/>
  <c r="E72" i="98"/>
  <c r="C72" i="98"/>
  <c r="E68" i="98"/>
  <c r="D79" i="96"/>
  <c r="E74" i="98" s="1"/>
  <c r="E70" i="98"/>
  <c r="E65" i="98"/>
  <c r="F62" i="98"/>
  <c r="E79" i="96"/>
  <c r="E69" i="98"/>
  <c r="E73" i="98"/>
  <c r="E63" i="98"/>
  <c r="D94" i="96"/>
  <c r="E71" i="98"/>
  <c r="E62" i="98"/>
  <c r="E66" i="98"/>
  <c r="D95" i="96" l="1"/>
  <c r="F73" i="98"/>
  <c r="K73" i="98" s="1"/>
  <c r="F66" i="98"/>
  <c r="K66" i="98" s="1"/>
  <c r="F65" i="98"/>
  <c r="K65" i="98" s="1"/>
  <c r="F70" i="98"/>
  <c r="K70" i="98" s="1"/>
  <c r="F68" i="98"/>
  <c r="K68" i="98" s="1"/>
  <c r="F69" i="98"/>
  <c r="K69" i="98" s="1"/>
  <c r="F71" i="98"/>
  <c r="K71" i="98" s="1"/>
  <c r="F63" i="98"/>
  <c r="K63" i="98" s="1"/>
  <c r="K62" i="98"/>
  <c r="BN38" i="97"/>
  <c r="I67" i="98"/>
  <c r="F67" i="98"/>
  <c r="K67" i="98" s="1"/>
  <c r="I64" i="98"/>
  <c r="F64" i="98"/>
  <c r="K64" i="98" s="1"/>
  <c r="G94" i="96"/>
  <c r="L94" i="96" s="1"/>
  <c r="F74" i="98"/>
  <c r="K74" i="98" s="1"/>
  <c r="I72" i="98"/>
  <c r="F72" i="98"/>
  <c r="K72" i="98" s="1"/>
  <c r="I68" i="98"/>
  <c r="I65" i="98"/>
  <c r="I71" i="98"/>
  <c r="H79" i="96"/>
  <c r="I66" i="98"/>
  <c r="I62" i="98"/>
  <c r="I70" i="98"/>
  <c r="I63" i="98"/>
  <c r="I69" i="98"/>
  <c r="I73" i="98"/>
  <c r="K79" i="96" l="1"/>
  <c r="L79" i="96"/>
  <c r="M79" i="96"/>
  <c r="I74" i="98"/>
  <c r="L74" i="98" s="1"/>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<sst xmlns="http://schemas.openxmlformats.org/spreadsheetml/2006/main" count="2720" uniqueCount="398">
  <si>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</si>
  <si>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</si>
  <si>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</si>
  <si>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</si>
  <si>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</si>
  <si>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</si>
  <si>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</si>
  <si>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</si>
  <si>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</si>
  <si>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</si>
  <si>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</si>
  <si>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</si>
  <si>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</si>
  <si>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</si>
  <si>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</si>
  <si>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</si>
  <si>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</si>
  <si>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</si>
  <si>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</si>
  <si>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</si>
  <si>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</si>
  <si>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</si>
  <si>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</si>
  <si>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</si>
  <si>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</si>
  <si>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</si>
  <si>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</si>
  <si>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</si>
  <si>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</si>
  <si>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</si>
  <si>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</si>
  <si>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</si>
  <si>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</si>
  <si>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</si>
  <si>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</si>
  <si>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</si>
  <si>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</si>
  <si>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</si>
  <si>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</si>
  <si>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</si>
  <si>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</si>
  <si>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</si>
  <si>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</si>
  <si>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</si>
  <si>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</si>
  <si>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</si>
  <si>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</si>
  <si>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</si>
  <si>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</si>
  <si>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</si>
  <si>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</si>
  <si>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</si>
  <si>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</si>
  <si>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</si>
  <si>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</si>
  <si>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</si>
  <si>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</si>
  <si>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</si>
  <si>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</si>
  <si>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</si>
  <si>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</si>
  <si>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</si>
  <si>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</si>
  <si>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</si>
  <si>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</si>
  <si>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</si>
  <si>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</si>
  <si>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</si>
  <si>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</si>
  <si>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</si>
  <si>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</si>
  <si>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</si>
  <si>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</si>
  <si>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</si>
  <si>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</si>
  <si>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</si>
  <si>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</si>
  <si>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</si>
  <si>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</si>
  <si>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</si>
  <si>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</si>
  <si>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</si>
  <si>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</si>
  <si>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</si>
  <si>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</si>
  <si>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</si>
  <si>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</si>
  <si>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</si>
  <si>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</si>
  <si>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</si>
  <si>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</si>
  <si>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</si>
  <si>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</si>
  <si>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</si>
  <si>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</si>
  <si>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</si>
  <si>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</si>
  <si>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</si>
  <si>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</si>
  <si>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</si>
  <si>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</si>
  <si>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</si>
  <si>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</si>
  <si>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</si>
  <si>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</si>
  <si>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</si>
  <si>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</si>
  <si>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</si>
  <si>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</si>
  <si>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</si>
  <si>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</si>
  <si>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</si>
  <si>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</si>
  <si>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</si>
  <si>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</si>
  <si>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</si>
  <si>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</si>
  <si>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</si>
  <si>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</si>
  <si>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</si>
  <si>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</si>
  <si>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</si>
  <si>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</si>
  <si>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</si>
  <si>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</si>
  <si>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</si>
  <si>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</si>
  <si>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</si>
  <si>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</si>
  <si>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</si>
  <si>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</si>
  <si>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</si>
  <si>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</si>
  <si>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</si>
  <si>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</si>
  <si>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</si>
  <si>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</si>
  <si>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</si>
  <si>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</si>
  <si>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</si>
  <si>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</si>
  <si>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</si>
  <si>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</si>
  <si>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</si>
  <si>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</si>
  <si>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</si>
  <si>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</si>
  <si>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</si>
  <si>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</si>
  <si>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</si>
  <si>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</si>
  <si>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</si>
  <si>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</si>
  <si>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</si>
  <si>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</si>
  <si>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</si>
  <si>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</si>
  <si>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</si>
  <si>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</si>
  <si>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</si>
  <si>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</si>
  <si>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</si>
  <si>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</si>
  <si>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</si>
  <si>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</si>
  <si>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</si>
  <si>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</si>
  <si>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</si>
  <si>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</si>
  <si>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</si>
  <si>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</si>
  <si>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</si>
  <si>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</si>
  <si>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</si>
  <si>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</si>
  <si>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</si>
  <si>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</si>
  <si>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</si>
  <si>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</si>
  <si>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</si>
  <si>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</si>
  <si>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</si>
  <si>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</si>
  <si>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</si>
  <si>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</si>
  <si>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</si>
  <si>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</si>
  <si>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</si>
  <si>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</si>
  <si>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</si>
  <si>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</si>
  <si>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</si>
  <si>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</si>
  <si>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</si>
  <si>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</si>
  <si>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</si>
  <si>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</si>
  <si>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</si>
  <si>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</si>
  <si>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</si>
  <si>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</si>
  <si>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</si>
  <si>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</si>
  <si>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</si>
  <si>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</si>
  <si>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</si>
  <si>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</si>
  <si>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</si>
  <si>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</si>
  <si>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</si>
  <si>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</si>
  <si>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</si>
  <si>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</si>
  <si>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</si>
  <si>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</si>
  <si>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</si>
  <si>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</si>
  <si>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</si>
  <si>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</si>
  <si>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</si>
  <si>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</si>
  <si>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</si>
  <si>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</si>
  <si>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</si>
  <si>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</si>
  <si>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</si>
  <si>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</si>
  <si>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</si>
  <si>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</si>
  <si>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</si>
  <si>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</si>
  <si>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</si>
  <si>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</si>
  <si>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</si>
  <si>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</si>
  <si>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</si>
  <si>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</si>
  <si>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</si>
  <si>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</si>
  <si>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</si>
  <si>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</si>
  <si>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</si>
  <si>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</si>
  <si>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</si>
  <si>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</si>
  <si>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</si>
  <si>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</si>
  <si>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</si>
  <si>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</si>
  <si>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</si>
  <si>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</si>
  <si>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</si>
  <si>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</si>
  <si>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</si>
  <si>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</si>
  <si>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</si>
  <si>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</si>
  <si>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</si>
  <si>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</si>
  <si>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</si>
  <si>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Reserva de sustitución (RR)</t>
  </si>
  <si>
    <t>Precio Medio Ponderado (€/MWh) según Mercados</t>
  </si>
  <si>
    <t>(*) Incluye incumplimento de energía de balance, saldo de desvíos y desvíos entre sistemas</t>
  </si>
  <si>
    <t>Otros (*)</t>
  </si>
  <si>
    <t>RR/Gestión de desvíos (MWh y €/MWh)</t>
  </si>
  <si>
    <t>ya no se usa</t>
  </si>
  <si>
    <t>energía subir fase I</t>
  </si>
  <si>
    <t>Energía bajar fase I</t>
  </si>
  <si>
    <t>Total Servicios ajuste</t>
  </si>
  <si>
    <t>Asignación Energía (MWh)</t>
  </si>
  <si>
    <t>Energia Gestionada</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</si>
  <si>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</si>
  <si>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</si>
  <si>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</si>
  <si>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</si>
  <si>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</si>
  <si>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</si>
  <si>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</si>
  <si>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</si>
  <si>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</si>
  <si>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</si>
  <si>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</si>
  <si>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</si>
  <si>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</si>
  <si>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</si>
  <si>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</si>
  <si>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</si>
  <si>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</si>
  <si>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</si>
  <si>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</si>
  <si>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</si>
  <si>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</si>
  <si>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</si>
  <si>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</si>
  <si>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Necesidades de energía cubiertas por los servicios de ajuste</t>
  </si>
  <si>
    <t>29</t>
  </si>
  <si>
    <t>30</t>
  </si>
  <si>
    <t>2021 Marzo</t>
  </si>
  <si>
    <t>MAR-21</t>
  </si>
  <si>
    <t>Reservas de sustitución</t>
  </si>
  <si>
    <t>Reserva de sustitución</t>
  </si>
  <si>
    <t>Restricciones en TR</t>
  </si>
  <si>
    <t>2021 Abril</t>
  </si>
  <si>
    <t>ABR-21</t>
  </si>
  <si>
    <t>2021 Mayo</t>
  </si>
  <si>
    <t>MAY-21</t>
  </si>
  <si>
    <t>2021 Junio</t>
  </si>
  <si>
    <t>JUN-21</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</si>
  <si>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</si>
  <si>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</si>
  <si>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</si>
  <si>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</si>
  <si>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</si>
  <si>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</si>
  <si>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</si>
  <si>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</si>
  <si>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</si>
  <si>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</si>
  <si>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</si>
  <si>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</si>
  <si>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</si>
  <si>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</si>
  <si>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Nuevo(a) Elemento derivados</t>
  </si>
  <si>
    <t>Energía limitada por restricciones (MWh)</t>
  </si>
  <si>
    <t>Energía Asignada (MWh) - Mercado de Secundaria</t>
  </si>
  <si>
    <t>2021 Noviembre</t>
  </si>
  <si>
    <t>NOV-21</t>
  </si>
  <si>
    <t>31</t>
  </si>
  <si>
    <t>2021 Diciembre</t>
  </si>
  <si>
    <t>DIC-21</t>
  </si>
  <si>
    <t>2022 Enero</t>
  </si>
  <si>
    <t>Incumplimiento energías de balance (I)</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</si>
  <si>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ut="02/07/2022 16:06:26"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msgID="DBF1D59911EC882F310D0080EFC5BABB"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nrr="325" nrc="130"&gt;&lt;pg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</si>
  <si>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&lt;mi app="e" ver="22"&gt;&lt;rptloc guid="a65f0ef059d6478ab9382011e3952596" rank="0" ds="1"&gt;&lt;ri hasPG="0" name="Secundaria. Banda media mensual y precio ponderado" id="28220CC742C68167A258D3BDA5F25F21" path="Public Objects\Reports\Informes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li="MADCONSO" am="s" /&gt;&lt;lu ut="02/07/2022 16:34:06"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msgID="13C3836B11EC8833310D0080EFE5F9B9"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nrr="180" nrc="780"&gt;&lt;pg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</si>
  <si>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Energia (GWh) a bajar</t>
  </si>
  <si>
    <t>Energia (GWh) a subir</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</si>
  <si>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ut="02/07/2022 16:47:35"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msgID="3734EB0D11EC8835310D0080EFA579BA"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nrr="2006" nrc="767"&gt;&lt;pg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</si>
  <si>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guid="8959a44701024c3b84ade6ddefc24ff1" rank="0" ds="1"&gt;&lt;ri hasPG="0" name="Asignaciones SEPE(Periodo-simple)" id="7CB4457A46480F3DF90C8DACCCE838FC" path="Public Objects\Reports\Informes Específicos\Estadística\INFORMES MACROS\Office\Boletín\Asignaciones SEPE(Periodo-simple)" cf="0" prompt="1" ve="0" vm="0" flashpth="d:\Usuarios\ARACABIV\AppData\Local\Temp\" fimagepth="d:\Usuarios\ARACABIV\AppData\Local\Temp\" swfn="DashboardViewer.swf" fvars="" dvis=""&gt;&lt;ans /&gt;&lt;ci ps="BI" srv="apcpr65b" prj="SIOSbi" prjid="A04572404A6ABF2446090B938515E87E" li="MADCONSO" am="s" /&gt;&lt;lu ut="02/07/2022 16:52:26"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msgID="4DFD55C711EC8836310D0080EF55D9BA"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rows="24" cols="15" /&gt;&lt;esdo ews="" ece="" ptn="" /&gt;&lt;/excel&gt;&lt;pgs&gt;&lt;pg rows="21" cols="13" nrr="1366" nrc="858"&gt;&lt;pg /&gt;&lt;bls&gt;&lt;bl sr="1" sc="1" rfetch="21" cfetch="13" posid="1" darows="0" dacols="1"&gt;&lt;excel&gt;&lt;epo ews="Dat_01" ece="A233" enr="MSTR.Asignaciones_Desvíos" ptn="" qtn="" rows="24" cols="15" /&gt;&lt;esdo ews="" ece="" ptn="" /&gt;&lt;/excel&gt;&lt;gridRng&gt;&lt;sect id="TITLE_AREA" rngprop="1:1:3:2" /&gt;&lt;sect id="ROWHEADERS_AREA" rngprop="4:1:21:2" /&gt;&lt;sect id="COLUMNHEADERS_AREA" rngprop="1:3:3:13" /&gt;&lt;sect id="DATA_AREA" rngprop="4:3:21:13" /&gt;&lt;/gridRng&gt;&lt;shapes /&gt;&lt;/bl&gt;&lt;/bls&gt;&lt;/pg&gt;&lt;/pgs&gt;&lt;/rptloc&gt;&lt;/mi&gt;</t>
  </si>
  <si>
    <t>&lt;mi app="e" ver="22"&gt;&lt;rptloc guid="81330f6bd54d43928185d23b657067bb" rank="0" ds="1"&gt;&lt;ri hasPG="0" name="Asignaciones Tiempo Real" id="B899BAE34AF0E79B8C5082A4571C5DFC" path="Public Objects\Reports\Informes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ut="02/07/2022 17:00:41"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msgID="4E14CBB611EC8836310D0080EFE5F9B9"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nrr="1401" nrc="741"&gt;&lt;pg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</si>
  <si>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&lt;mi app="e" ver="22"&gt;&lt;rptloc guid="7512e3085c0b41a4b24d39bcdbf3d3f1" rank="0" ds="1"&gt;&lt;ri hasPG="0" name="Asignaciones (Periodo-simple)" id="76CAA2D8411FD7C940DA539DA2A53C19"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ut="02/07/2022 17:12:24"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msgID="1791B98511EC8839310D0080EF853ABC"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nrr="42" nrc="270"&gt;&lt;pg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</si>
  <si>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ut="02/07/2022 17:15:08"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msgID="17DB87B311EC8839310D0080EF1559B9"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nrr="144" nrc="231"&gt;&lt;pg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</si>
  <si>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guid="d89d720b2e2a41f4a632829f629ceed7" rank="0" ds="1"&gt;&lt;ri hasPG="0" name="Asignaciones Reserva a subir por combustible" id="8B0703AD4AD09F035137C8B8BFBC89E1" path="Public Objects\Reports\Informes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li="MADCONSO" am="s" /&gt;&lt;lu ut="02/07/2022 17:18:14"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msgID="179ED01111EC8839310D0080EF65FABC"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nrr="976" nrc="793"&gt;&lt;pg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</si>
  <si>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&lt;mi app="e" ver="22"&gt;&lt;rptloc guid="bb997cd5054c4c058297588f18145517" rank="0" ds="1"&gt;&lt;ri hasPG="0" name="Precios Medios Ponderados Mensuales de medidas" id="37BCE17D46B51F54560883B68195C814" path="Public Objects\Reports\Informes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li="MADCONSO" am="s" /&gt;&lt;lu ut="02/07/2022 17:22:45"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msgID="17BD5B5311EC8839310D0080EFB599BB"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nrr="738" nrc="533"&gt;&lt;pg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</si>
  <si>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guid="5913d7658c724940a2e6cf1a718b951d" rank="0" ds="1"&gt;&lt;ri hasPG="1" name="Precios Medios Ponderados Mensuales" id="932760E5464DE2BFBECEE5BB8D664643" path="Public Objects\Reports\Informes Específicos\Estadística\INFORMES MACROS\Office\Boletín\Precios Medios Ponderados Mensuales" cf="0" prompt="1" ve="0" vm="0" flashpth="d:\Usuarios\MADCONMA\AppData\Local\Temp\" fimagepth="d:\Usuarios\MADCONMA\AppData\Local\Temp\" swfn="DashboardViewer.swf" fvars="" dvis=""&gt;&lt;ans /&gt;&lt;ci ps="BI" srv="apcpr65b" prj="SIOSbi" prjid="A04572404A6ABF2446090B938515E87E" li="MADCONSO" am="s" /&gt;&lt;lu ut="02/07/2022 17:27:10" si="2.000000019c2e07564b7044edf197db560953d4e36314207029ecbe5565076c86493e3729d2caa731516b4d0f9ef3267be098ec6b6126fe68b8ee57cbab1307c908caeb6ce2f9089e9d21db9beb71f8f71ad325fc3b59e12844b8cda7815fc4afb2855ae5c4d47e1f14c1c4088d81c08a09f86d50b552c02e7dd02c355de4c5120e6df997e4aababa208df37dbc71f9ceb654296e6c4ef6955ff9e97a87c457888852.p.8192.1.1.Europe/Madrid.upriv*_1*_pidn2*_13*_session*-lat*_1.00000001eb0a4cbb65392a7a5371782a70b7be3031cdd82ef00d8a9bc5d48b060b83fb07eb9cdc81dcf0c7c290a9ebd961fc6a99f6c4758a.0000000185569c93ee0e428efd0494a3671d19d031cdd82e768ba3190e6e0b11863217f7f326f496a5d4760eb774db1ab0b56e73d82dd73f.0.1.1.SIOSbi.A04572404A6ABF2446090B938515E87E.0-1033.1.1_-0.1.0_-1033.1.1_5.5.0.*0.00000001234af79c4203a4da83c1da1dec27ec27c911585a02b2a5f0adba9de1313d457cb50aff8b.0.23.11*.2*.0400*.31152J.e.00000001ab242c14453f840907d288b8b9f4aa44c911585a3c213315a382feb209868d575d62345f.0.10*.131*.122*.122.0.0" msgID="17E9AB4411EC8839310D0080EFA57ABC"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nrr="23" nrc="236"&gt;&lt;pg&gt;&lt;attEl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</si>
  <si>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ENE-22</t>
  </si>
  <si>
    <t>Energía programada por seguridad</t>
  </si>
  <si>
    <t>Energía utilizada por balances</t>
  </si>
  <si>
    <t>IGCC</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</si>
  <si>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ut="02/09/2022 09:57:23"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msgID="9BFC82CB11EC898E310D0080EFD5DBBD"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nrr="998" nrc="806"&gt;&lt;pg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</si>
  <si>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Secundaria Banda</t>
  </si>
  <si>
    <t>&lt;mi app="e" ver="22"&gt;&lt;rptloc guid="03ddb5cf38d9442b9fa5e1e801daabe6" rank="0" ds="1"&gt;&lt;ri hasPG="0" name="Energia de Regulación Secundaria" id="8E803CB745C8D8B5472977B69C35F6D9" path="Public Objects\Reports\Informes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li="MADCONSO" am="s" /&gt;&lt;lu ut="02/09/2022 10:16:18"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msgID="4C5A6B8111EC8991310D0080EF65FABC"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cols="12" /&gt;&lt;esdo ews="" ece="" ptn="" /&gt;&lt;/excel&gt;&lt;pgs&gt;&lt;pg rows="2" cols="11" nrr="124" nrc="796"&gt;&lt;pg /&gt;&lt;bls&gt;&lt;bl sr="1" sc="1" rfetch="2" cfetch="11" posid="1" darows="0" dacols="1"&gt;&lt;excel&gt;&lt;epo ews="Dat_01" ece="$A$172" enr="MSTR.Energia_de_Regulación_Secundaria" ptn="" qtn="" rows="4" cols="12" /&gt;&lt;esdo ews="" ece="" ptn="" /&gt;&lt;/excel&gt;&lt;gridRng&gt;&lt;sect id="TITLE_AREA" rngprop="1:1:2:1" /&gt;&lt;sect id="ROWHEADERS_AREA" rngprop="3:1:2:1" /&gt;&lt;sect id="COLUMNHEADERS_AREA" rngprop="1:2:2:11" /&gt;&lt;sect id="DATA_AREA" rngprop="3:2:2:11" /&gt;&lt;/gridRng&gt;&lt;shapes /&gt;&lt;/bl&gt;&lt;/bls&gt;&lt;/pg&gt;&lt;/pgs&gt;&lt;/rptloc&gt;&lt;/mi&gt;</t>
  </si>
  <si>
    <t>iGCC</t>
  </si>
  <si>
    <t>&lt;mi app="e" ver="22"&gt;&lt;rptloc guid="9b2e5227b30741379d882d827211412e" rank="0" ds="1"&gt;&lt;ri hasPG="0" name="Precio Mercado Diario" id="C1FA4C8E4C9BA7AA73F777A98EE0A436" path="Public Objects\Reports\Informes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ut="02/09/2022 12:00:20"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msgID="CDD6871311EC899F310D0080EF8538B8"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nrr="1958" nrc="2085"&gt;&lt;pg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</si>
  <si>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ut="02/09/2022 12:15:04"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msgID="D0D8CAF411EC89A1310D0080EF55DABC"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nrr="1332" nrc="962"&gt;&lt;pg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</si>
  <si>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guid="cfc49b6a9c7d46869539b7d4768011a4" rank="0" ds="1"&gt;&lt;ri hasPG="0" name="Liquidación por Segmentos" id="DB3701854A401B688F15A988692F3D25"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ut="02/09/2022 12:18:28"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msgID="51E63A2811EC89A2310D0080EF45B9BA"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rows="12" cols="3" /&gt;&lt;esdo ews="" ece="" ptn="" /&gt;&lt;/excel&gt;&lt;pgs&gt;&lt;pg rows="9" cols="2" nrr="680" nrc="90"&gt;&lt;pg /&gt;&lt;bls&gt;&lt;bl sr="1" sc="1" rfetch="9" cfetch="2" posid="1" darows="0" dacols="1"&gt;&lt;excel&gt;&lt;epo ews="Dat_01" ece="A97" enr="MSTR.Liquidación_por_Segmentos" ptn="" qtn="" rows="12" cols="3" /&gt;&lt;esdo ews="" ece="" ptn="" /&gt;&lt;/excel&gt;&lt;gridRng&gt;&lt;sect id="TITLE_AREA" rngprop="1:1:3:1" /&gt;&lt;sect id="ROWHEADERS_AREA" rngprop="4:1:9:1" /&gt;&lt;sect id="COLUMNHEADERS_AREA" rngprop="1:2:3:2" /&gt;&lt;sect id="DATA_AREA" rngprop="4:2:9:2" /&gt;&lt;/gridRng&gt;&lt;shapes /&gt;&lt;/bl&gt;&lt;/bls&gt;&lt;/pg&gt;&lt;/pgs&gt;&lt;/rptloc&gt;&lt;/mi&gt;</t>
  </si>
  <si>
    <t>&lt;mi app="e" ver="22"&gt;&lt;rptloc guid="e1758d7f13994e84b937a301c31fecb5" rank="0" ds="1"&gt;&lt;ri hasPG="0" name="Liquidación por Segmentos" id="308CA8CD4C79162E7C280FA85DD5B809"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ut="02/09/2022 12:20:34"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msgID="A935CF3D11EC89A2310D0080EFB59ABD"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cols="12" /&gt;&lt;esdo ews="" ece="" ptn="" /&gt;&lt;/excel&gt;&lt;pgs&gt;&lt;pg rows="2" cols="11" nrr="124" nrc="794"&gt;&lt;pg /&gt;&lt;bls&gt;&lt;bl sr="1" sc="1" rfetch="2" cfetch="11" posid="1" darows="0" dacols="1"&gt;&lt;excel&gt;&lt;epo ews="Dat_01" ece="A177" enr="MSTR.Precio_por_segmentos_Secundaria" ptn="" qtn="" rows="5" cols="12" /&gt;&lt;esdo ews="" ece="" ptn="" /&gt;&lt;/excel&gt;&lt;gridRng&gt;&lt;sect id="TITLE_AREA" rngprop="1:1:3:1" /&gt;&lt;sect id="ROWHEADERS_AREA" rngprop="4:1:2:1" /&gt;&lt;sect id="COLUMNHEADERS_AREA" rngprop="1:2:3:11" /&gt;&lt;sect id="DATA_AREA" rngprop="4:2:2:11" /&gt;&lt;/gridRng&gt;&lt;shapes /&gt;&lt;/bl&gt;&lt;/bls&gt;&lt;/pg&gt;&lt;/pgs&gt;&lt;/rptloc&gt;&lt;/mi&gt;</t>
  </si>
  <si>
    <t>&lt;mi app="e" ver="22"&gt;&lt;rptloc guid="10f389a82f2f4ded8cc0ebe9e756dec3" rank="0" ds="1"&gt;&lt;ri hasPG="0" name="Liquidación por Segmentos" id="583F2E494C5430311274FA807F49FE83"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ut="02/09/2022 12:22:20"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msgID="A925C39511EC89A2310D0080EF1559B9"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nrr="122" nrc="699"&gt;&lt;pg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</si>
  <si>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27f1d83b2c2c4412895259f05ee49384</t>
  </si>
  <si>
    <t>&lt;mi app="e" ver="22"&gt;&lt;rptloc guid="aff06b557104405ea1773b6ca79cc42e" rank="0" ds="1"&gt;&lt;ri hasPG="0" name="Liquidación por Segmentos" id="3AA225D0453CCCA57A43F888D3B31751"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ut="02/09/2022 12:24:31" si="2.000000015eee3846175b890fec0e2cd87418105c5c735605a3abb1180f4be919b03fdaedc51058ae8ea8d05c4cd477c4033b63ed1d17da3c24e8fd1978ed62d2321c4489afcf03679e367347ea00038b30b158f27cfa8bf5430b0d89bd5a8b862fafc6c520a1eed926c22f72b515c6ac28b8df1ced9216cb70c8e7c0fac86584802f3802b053761ba5612dd5ed11e0212168f27cda4ecd81ad7f489277a1be75a4c7.p.8192.1.1.Europe/Madrid.upriv*_1*_pidn2*_22*_session*-lat*_1.00000001e991f4124c01eb46f283bf607c0a05c731cdd82e35f5d84b2652f06384e67540c9de7ea08d6b0fbc19a8a96608b8f36d91e6a472.00000001ae0298ec30e834245b636f27b29abc6b31cdd82ea55340282c17c45d2a9a933f8ba675498eaaa00ed646eeddcbb918e2e2d0260a.0.1.1.SIOSbi.A04572404A6ABF2446090B938515E87E.0-1033.1.1_-0.1.0_-1033.1.1_5.5.0.*0.00000001691bae5cb20fdecad7b6b348d67233dcc911585a8ffae27b395349ef8d9967944375be8d.0.23.11*.2*.0400*.31152J.e.0000000194f4fb021eb9b16979904b0a836838c1c911585a82ccacc25f798c4a7ff4205d052adf3b.0.10*.131*.122*.122.0.0" msgID="A925AFC611EC89A2310D0080EF955ABC"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nrr="116" nrc="754"&gt;&lt;pg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</si>
  <si>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01/01/22</t>
  </si>
  <si>
    <t>02/01/22</t>
  </si>
  <si>
    <t>03/01/22</t>
  </si>
  <si>
    <t>04/01/22</t>
  </si>
  <si>
    <t>HI
RE</t>
  </si>
  <si>
    <t>05/01/22</t>
  </si>
  <si>
    <t>RE
TCC</t>
  </si>
  <si>
    <t>HI
TCC</t>
  </si>
  <si>
    <t>06/01/22</t>
  </si>
  <si>
    <t>07/01/22</t>
  </si>
  <si>
    <t>BG
HI
RE</t>
  </si>
  <si>
    <t>08/01/22</t>
  </si>
  <si>
    <t>09/01/22</t>
  </si>
  <si>
    <t>10/01/22</t>
  </si>
  <si>
    <t>11/01/22</t>
  </si>
  <si>
    <t>12/01/22</t>
  </si>
  <si>
    <t>13/01/22</t>
  </si>
  <si>
    <t>14/01/22</t>
  </si>
  <si>
    <t>15/01/22</t>
  </si>
  <si>
    <t>16/01/22</t>
  </si>
  <si>
    <t>17/01/22</t>
  </si>
  <si>
    <t>BG
HI</t>
  </si>
  <si>
    <t>18/01/22</t>
  </si>
  <si>
    <t>19/01/22</t>
  </si>
  <si>
    <t>20/01/22</t>
  </si>
  <si>
    <t>21/01/22</t>
  </si>
  <si>
    <t>BG
RE
TCC</t>
  </si>
  <si>
    <t>22/01/22</t>
  </si>
  <si>
    <t>23/01/22</t>
  </si>
  <si>
    <t>24/01/22</t>
  </si>
  <si>
    <t>BG
HI
RE
TCC</t>
  </si>
  <si>
    <t>BG
TCC</t>
  </si>
  <si>
    <t>25/01/22</t>
  </si>
  <si>
    <t>26/01/22</t>
  </si>
  <si>
    <t>27/01/22</t>
  </si>
  <si>
    <t>28/01/22</t>
  </si>
  <si>
    <t>29/01/22</t>
  </si>
  <si>
    <t>30/01/22</t>
  </si>
  <si>
    <t>31/01/22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</si>
</sst>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7">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s>
  <borders count="27">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right/>
      <top style="thin">
        <color indexed="63"/>
      </top>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7" fillId="0" borderId="0" applyNumberFormat="0" applyFill="0" applyBorder="0" applyAlignment="0" applyProtection="0"/>
    <xf numFmtId="0" fontId="68" fillId="0" borderId="0"/>
    <xf numFmtId="0" fontId="75" fillId="0" borderId="0"/>
  </cellStyleXfs>
  <cellXfs count="325">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1"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2" fillId="0" borderId="0" xfId="0" applyFont="1" applyFill="1" applyBorder="1" applyProtection="1"/>
    <xf numFmtId="2" fontId="62"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2" fillId="17" borderId="0" xfId="0" applyNumberFormat="1" applyFont="1" applyFill="1" applyBorder="1" applyProtection="1"/>
    <xf numFmtId="0" fontId="63" fillId="0" borderId="0" xfId="0" applyFont="1"/>
    <xf numFmtId="170" fontId="63" fillId="0" borderId="0" xfId="0" applyNumberFormat="1" applyFont="1" applyAlignment="1"/>
    <xf numFmtId="164" fontId="63" fillId="0" borderId="0" xfId="0" applyNumberFormat="1" applyFont="1" applyAlignment="1"/>
    <xf numFmtId="4" fontId="63" fillId="0" borderId="0" xfId="0" applyNumberFormat="1" applyFont="1" applyAlignment="1"/>
    <xf numFmtId="2" fontId="23" fillId="5" borderId="0" xfId="0" applyNumberFormat="1" applyFont="1" applyFill="1" applyBorder="1" applyAlignment="1" applyProtection="1">
      <alignment horizontal="right" vertical="center"/>
    </xf>
    <xf numFmtId="4" fontId="62"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4" fillId="0" borderId="0" xfId="11" applyFont="1"/>
    <xf numFmtId="166" fontId="24" fillId="5" borderId="3" xfId="0" applyNumberFormat="1" applyFont="1" applyFill="1" applyBorder="1" applyAlignment="1">
      <alignment horizontal="right" vertical="center"/>
    </xf>
    <xf numFmtId="0" fontId="64" fillId="0" borderId="0" xfId="12" applyFont="1"/>
    <xf numFmtId="168" fontId="64"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5"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5"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6" fillId="4" borderId="0" xfId="0" applyNumberFormat="1" applyFont="1" applyFill="1"/>
    <xf numFmtId="2" fontId="61"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5" fillId="0" borderId="0" xfId="51" applyFont="1" applyFill="1" applyBorder="1"/>
    <xf numFmtId="0" fontId="64" fillId="0" borderId="0" xfId="11" applyFont="1" applyFill="1" applyBorder="1"/>
    <xf numFmtId="164" fontId="65"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6" fillId="0" borderId="0" xfId="0" applyFont="1"/>
    <xf numFmtId="166" fontId="0" fillId="0" borderId="0" xfId="0" applyNumberFormat="1" applyFont="1"/>
    <xf numFmtId="49" fontId="24" fillId="5" borderId="0" xfId="0" applyNumberFormat="1" applyFont="1" applyFill="1" applyBorder="1"/>
    <xf numFmtId="0" fontId="67" fillId="0" borderId="0" xfId="71" applyFill="1" applyBorder="1" applyProtection="1"/>
    <xf numFmtId="0" fontId="68" fillId="0" borderId="0" xfId="72"/>
    <xf numFmtId="0" fontId="69" fillId="0" borderId="0" xfId="72" applyFont="1"/>
    <xf numFmtId="0" fontId="70" fillId="0" borderId="0" xfId="72" applyFont="1"/>
    <xf numFmtId="0" fontId="71" fillId="0" borderId="0" xfId="72" applyFont="1"/>
    <xf numFmtId="0" fontId="72" fillId="0" borderId="0" xfId="72" applyFont="1"/>
    <xf numFmtId="0" fontId="9" fillId="0" borderId="0" xfId="4"/>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3" fontId="65"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9" fillId="0" borderId="0" xfId="11" applyAlignment="1">
      <alignment vertical="top" wrapText="1"/>
    </xf>
    <xf numFmtId="0" fontId="76" fillId="5" borderId="0" xfId="20" applyFont="1" applyFill="1" applyBorder="1"/>
    <xf numFmtId="164" fontId="76"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164" fontId="23" fillId="0" borderId="0" xfId="0" applyNumberFormat="1" applyFont="1" applyFill="1" applyBorder="1" applyAlignment="1" applyProtection="1">
      <alignment horizontal="right"/>
    </xf>
    <xf numFmtId="0" fontId="21" fillId="3" borderId="2" xfId="62" quotePrefix="1" applyAlignment="1">
      <alignment horizontal="center"/>
    </xf>
    <xf numFmtId="0" fontId="21" fillId="3" borderId="2" xfId="62" applyAlignment="1">
      <alignment horizontal="center"/>
    </xf>
    <xf numFmtId="0" fontId="21" fillId="3" borderId="0" xfId="62" quotePrefix="1" applyBorder="1" applyAlignment="1">
      <alignment horizontal="center"/>
    </xf>
    <xf numFmtId="0" fontId="0" fillId="0" borderId="14" xfId="0" applyBorder="1" applyAlignment="1">
      <alignment horizontal="left" vertical="center"/>
    </xf>
    <xf numFmtId="0" fontId="21" fillId="3" borderId="2" xfId="62" quotePrefix="1" applyAlignment="1">
      <alignment horizontal="center"/>
    </xf>
    <xf numFmtId="0" fontId="21" fillId="3" borderId="2" xfId="62" applyAlignment="1">
      <alignment horizontal="center"/>
    </xf>
    <xf numFmtId="4" fontId="23" fillId="5" borderId="0" xfId="0" applyNumberFormat="1" applyFont="1" applyFill="1" applyBorder="1" applyAlignment="1">
      <alignment horizontal="left" vertical="center"/>
    </xf>
    <xf numFmtId="3" fontId="13" fillId="5" borderId="26" xfId="0" applyNumberFormat="1" applyFont="1" applyFill="1" applyBorder="1" applyAlignment="1">
      <alignment horizontal="left" vertical="center"/>
    </xf>
    <xf numFmtId="4" fontId="23" fillId="5" borderId="0" xfId="0" applyNumberFormat="1" applyFont="1" applyFill="1" applyBorder="1" applyAlignment="1">
      <alignment horizontal="right" vertical="center"/>
    </xf>
    <xf numFmtId="0" fontId="20" fillId="2" borderId="23" xfId="65" quotePrefix="1" applyBorder="1" applyAlignment="1">
      <alignment horizontal="left" vertical="center"/>
    </xf>
    <xf numFmtId="0" fontId="21" fillId="3" borderId="11" xfId="56" applyAlignment="1">
      <alignment vertical="center"/>
    </xf>
    <xf numFmtId="4" fontId="20" fillId="2" borderId="2" xfId="55">
      <alignment horizontal="right" vertical="center"/>
    </xf>
    <xf numFmtId="164" fontId="23" fillId="0" borderId="0" xfId="0" applyNumberFormat="1" applyFont="1" applyFill="1" applyBorder="1" applyAlignment="1" applyProtection="1">
      <alignment horizontal="left" vertical="top" wrapText="1"/>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xf numFmtId="0" fontId="21" fillId="3" borderId="11" xfId="62" quotePrefix="1" applyBorder="1" applyAlignment="1">
      <alignment horizontal="center"/>
    </xf>
    <xf numFmtId="0" fontId="0" fillId="0" borderId="10" xfId="0" applyBorder="1" applyAlignment="1">
      <alignment horizontal="center"/>
    </xf>
    <xf numFmtId="0" fontId="73" fillId="17" borderId="0" xfId="0" applyFont="1" applyFill="1" applyAlignment="1">
      <alignment horizontal="center" vertical="center" wrapText="1"/>
    </xf>
    <xf numFmtId="0" fontId="21" fillId="3" borderId="2" xfId="62" applyAlignment="1">
      <alignment horizontal="center"/>
    </xf>
    <xf numFmtId="0" fontId="0" fillId="0" borderId="7" xfId="0" applyBorder="1" applyAlignment="1">
      <alignment horizontal="center"/>
    </xf>
    <xf numFmtId="0" fontId="21" fillId="3" borderId="24" xfId="62" quotePrefix="1" applyBorder="1" applyAlignment="1">
      <alignment horizontal="center"/>
    </xf>
    <xf numFmtId="0" fontId="0" fillId="0" borderId="25" xfId="0" applyBorder="1" applyAlignment="1">
      <alignment horizontal="center"/>
    </xf>
    <xf numFmtId="0" fontId="20" fillId="2" borderId="13" xfId="65" quotePrefix="1" applyBorder="1" applyAlignment="1">
      <alignment horizontal="left" vertical="center"/>
    </xf>
    <xf numFmtId="0" fontId="0" fillId="0" borderId="14" xfId="0" applyBorder="1" applyAlignment="1">
      <alignment horizontal="left" vertical="center"/>
    </xf>
    <xf numFmtId="0" fontId="21" fillId="3" borderId="2" xfId="62" quotePrefix="1" applyAlignment="1">
      <alignment horizontal="center"/>
    </xf>
    <xf numFmtId="0" fontId="0" fillId="0" borderId="15" xfId="0" applyBorder="1" applyAlignment="1">
      <alignment horizontal="left" vertical="center"/>
    </xf>
    <xf numFmtId="0" fontId="20" fillId="2" borderId="14" xfId="65" quotePrefix="1" applyBorder="1" applyAlignment="1">
      <alignment horizontal="left" vertical="center"/>
    </xf>
    <xf numFmtId="169" fontId="20" fillId="2" borderId="13" xfId="68" quotePrefix="1" applyBorder="1" applyAlignment="1">
      <alignment horizontal="left" vertical="center"/>
    </xf>
    <xf numFmtId="169" fontId="20" fillId="2" borderId="14" xfId="68" quotePrefix="1" applyBorder="1" applyAlignment="1">
      <alignment horizontal="left" vertic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D39695"/>
      <color rgb="FF99CCFF"/>
      <color rgb="FFFFFF99"/>
      <color rgb="FFCCECFF"/>
      <color rgb="FF92D050"/>
      <color rgb="FFFF99CC"/>
      <color rgb="FF9BBB59"/>
      <color rgb="FFFFCC66"/>
      <color rgb="FFFFDD00"/>
      <color rgb="FF0090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1"/>
                <c:pt idx="0">
                  <c:v>190.81</c:v>
                </c:pt>
                <c:pt idx="1">
                  <c:v>209.1</c:v>
                </c:pt>
                <c:pt idx="2">
                  <c:v>189.26</c:v>
                </c:pt>
                <c:pt idx="3">
                  <c:v>190</c:v>
                </c:pt>
                <c:pt idx="4">
                  <c:v>250.34</c:v>
                </c:pt>
                <c:pt idx="5">
                  <c:v>278.36</c:v>
                </c:pt>
                <c:pt idx="6">
                  <c:v>260</c:v>
                </c:pt>
                <c:pt idx="7">
                  <c:v>270.02</c:v>
                </c:pt>
                <c:pt idx="8">
                  <c:v>240</c:v>
                </c:pt>
                <c:pt idx="9">
                  <c:v>294.98</c:v>
                </c:pt>
                <c:pt idx="10">
                  <c:v>262.66000000000003</c:v>
                </c:pt>
                <c:pt idx="11">
                  <c:v>261.38</c:v>
                </c:pt>
                <c:pt idx="12">
                  <c:v>262.95</c:v>
                </c:pt>
                <c:pt idx="13">
                  <c:v>235.01</c:v>
                </c:pt>
                <c:pt idx="14">
                  <c:v>267.02999999999997</c:v>
                </c:pt>
                <c:pt idx="15">
                  <c:v>265.36</c:v>
                </c:pt>
                <c:pt idx="16">
                  <c:v>285.68</c:v>
                </c:pt>
                <c:pt idx="17">
                  <c:v>272.22000000000003</c:v>
                </c:pt>
                <c:pt idx="18">
                  <c:v>259.81</c:v>
                </c:pt>
                <c:pt idx="19">
                  <c:v>239.38</c:v>
                </c:pt>
                <c:pt idx="20">
                  <c:v>214.7</c:v>
                </c:pt>
                <c:pt idx="21">
                  <c:v>245.27</c:v>
                </c:pt>
                <c:pt idx="22">
                  <c:v>249</c:v>
                </c:pt>
                <c:pt idx="23">
                  <c:v>297.33</c:v>
                </c:pt>
                <c:pt idx="24">
                  <c:v>256.36</c:v>
                </c:pt>
                <c:pt idx="25">
                  <c:v>250</c:v>
                </c:pt>
                <c:pt idx="26">
                  <c:v>249.01</c:v>
                </c:pt>
                <c:pt idx="27">
                  <c:v>255.38</c:v>
                </c:pt>
                <c:pt idx="28">
                  <c:v>263.02999999999997</c:v>
                </c:pt>
                <c:pt idx="29">
                  <c:v>268.64999999999998</c:v>
                </c:pt>
                <c:pt idx="30">
                  <c:v>260</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1"/>
                <c:pt idx="0">
                  <c:v>70.05</c:v>
                </c:pt>
                <c:pt idx="1">
                  <c:v>103.7</c:v>
                </c:pt>
                <c:pt idx="2">
                  <c:v>100.36</c:v>
                </c:pt>
                <c:pt idx="3">
                  <c:v>105</c:v>
                </c:pt>
                <c:pt idx="4">
                  <c:v>75.38</c:v>
                </c:pt>
                <c:pt idx="5">
                  <c:v>170.1</c:v>
                </c:pt>
                <c:pt idx="6">
                  <c:v>162.80000000000001</c:v>
                </c:pt>
                <c:pt idx="7">
                  <c:v>147.94</c:v>
                </c:pt>
                <c:pt idx="8">
                  <c:v>14</c:v>
                </c:pt>
                <c:pt idx="9">
                  <c:v>158.69999999999999</c:v>
                </c:pt>
                <c:pt idx="10">
                  <c:v>193</c:v>
                </c:pt>
                <c:pt idx="11">
                  <c:v>178.33</c:v>
                </c:pt>
                <c:pt idx="12">
                  <c:v>182.88</c:v>
                </c:pt>
                <c:pt idx="13">
                  <c:v>180.3</c:v>
                </c:pt>
                <c:pt idx="14">
                  <c:v>193.04</c:v>
                </c:pt>
                <c:pt idx="15">
                  <c:v>186.6</c:v>
                </c:pt>
                <c:pt idx="16">
                  <c:v>209.55</c:v>
                </c:pt>
                <c:pt idx="17">
                  <c:v>193.99</c:v>
                </c:pt>
                <c:pt idx="18">
                  <c:v>179.64</c:v>
                </c:pt>
                <c:pt idx="19">
                  <c:v>160.69</c:v>
                </c:pt>
                <c:pt idx="20">
                  <c:v>154.69999999999999</c:v>
                </c:pt>
                <c:pt idx="21">
                  <c:v>166.9</c:v>
                </c:pt>
                <c:pt idx="22">
                  <c:v>179.04</c:v>
                </c:pt>
                <c:pt idx="23">
                  <c:v>177.46</c:v>
                </c:pt>
                <c:pt idx="24">
                  <c:v>196.24</c:v>
                </c:pt>
                <c:pt idx="25">
                  <c:v>225.01</c:v>
                </c:pt>
                <c:pt idx="26">
                  <c:v>215.75</c:v>
                </c:pt>
                <c:pt idx="27">
                  <c:v>190</c:v>
                </c:pt>
                <c:pt idx="28">
                  <c:v>181.97</c:v>
                </c:pt>
                <c:pt idx="29">
                  <c:v>206.5</c:v>
                </c:pt>
                <c:pt idx="30">
                  <c:v>167.8</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strCache>
            </c:strRef>
          </c:cat>
          <c:val>
            <c:numRef>
              <c:f>[0]!M1_Pro</c:f>
              <c:numCache>
                <c:formatCode>#,##0.00</c:formatCode>
                <c:ptCount val="31"/>
                <c:pt idx="0">
                  <c:v>121.8936055133</c:v>
                </c:pt>
                <c:pt idx="1">
                  <c:v>137.24406068330001</c:v>
                </c:pt>
                <c:pt idx="2">
                  <c:v>149.6516012708</c:v>
                </c:pt>
                <c:pt idx="3">
                  <c:v>154.9490755276</c:v>
                </c:pt>
                <c:pt idx="4">
                  <c:v>182.68691332340001</c:v>
                </c:pt>
                <c:pt idx="5">
                  <c:v>213.41369880990001</c:v>
                </c:pt>
                <c:pt idx="6">
                  <c:v>218.44177533999999</c:v>
                </c:pt>
                <c:pt idx="7">
                  <c:v>201.3340542679</c:v>
                </c:pt>
                <c:pt idx="8">
                  <c:v>116.5477026806</c:v>
                </c:pt>
                <c:pt idx="9">
                  <c:v>219.4583616621</c:v>
                </c:pt>
                <c:pt idx="10">
                  <c:v>224.8328803691</c:v>
                </c:pt>
                <c:pt idx="11">
                  <c:v>207.32298884260001</c:v>
                </c:pt>
                <c:pt idx="12">
                  <c:v>217.82801228080001</c:v>
                </c:pt>
                <c:pt idx="13">
                  <c:v>203.04002230949999</c:v>
                </c:pt>
                <c:pt idx="14">
                  <c:v>219.81847973640001</c:v>
                </c:pt>
                <c:pt idx="15">
                  <c:v>214.25166683879999</c:v>
                </c:pt>
                <c:pt idx="16">
                  <c:v>246.20906203089999</c:v>
                </c:pt>
                <c:pt idx="17">
                  <c:v>224.63285296629999</c:v>
                </c:pt>
                <c:pt idx="18">
                  <c:v>213.8526652379</c:v>
                </c:pt>
                <c:pt idx="19">
                  <c:v>191.2765617124</c:v>
                </c:pt>
                <c:pt idx="20">
                  <c:v>179.50939367300001</c:v>
                </c:pt>
                <c:pt idx="21">
                  <c:v>191.52969615750001</c:v>
                </c:pt>
                <c:pt idx="22">
                  <c:v>203.5479337214</c:v>
                </c:pt>
                <c:pt idx="23">
                  <c:v>230.88546927830001</c:v>
                </c:pt>
                <c:pt idx="24">
                  <c:v>225.872078711</c:v>
                </c:pt>
                <c:pt idx="25">
                  <c:v>237.30354925200001</c:v>
                </c:pt>
                <c:pt idx="26">
                  <c:v>233.27378319339999</c:v>
                </c:pt>
                <c:pt idx="27">
                  <c:v>225.61380612260001</c:v>
                </c:pt>
                <c:pt idx="28">
                  <c:v>224.19755003840001</c:v>
                </c:pt>
                <c:pt idx="29">
                  <c:v>232.70119070909999</c:v>
                </c:pt>
                <c:pt idx="30">
                  <c:v>223.44977961320001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40"/>
        <c:minorUnit val="10"/>
      </c:valAx>
      <c:spPr>
        <a:noFill/>
        <a:ln w="25400">
          <a:noFill/>
        </a:ln>
      </c:spPr>
    </c:plotArea>
    <c:legend>
      <c:legendPos val="t"/>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Dat_01!$B$178:$L$178</c:f>
              <c:numCache>
                <c:formatCode>General</c:formatCode>
                <c:ptCount val="11"/>
                <c:pt idx="0">
                  <c:v>0</c:v>
                </c:pt>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Dat_01!$B$175:$N$175</c:f>
              <c:numCache>
                <c:formatCode>#,##0</c:formatCode>
                <c:ptCount val="13"/>
                <c:pt idx="0">
                  <c:v>138.33170000000001</c:v>
                </c:pt>
                <c:pt idx="1">
                  <c:v>85.107199999999992</c:v>
                </c:pt>
                <c:pt idx="2">
                  <c:v>101.9431</c:v>
                </c:pt>
                <c:pt idx="3">
                  <c:v>121.01819999999999</c:v>
                </c:pt>
                <c:pt idx="4">
                  <c:v>120.37689999999999</c:v>
                </c:pt>
                <c:pt idx="5">
                  <c:v>160.57760000000002</c:v>
                </c:pt>
                <c:pt idx="6">
                  <c:v>143.6601</c:v>
                </c:pt>
                <c:pt idx="7">
                  <c:v>127.3412</c:v>
                </c:pt>
                <c:pt idx="8">
                  <c:v>119.6232</c:v>
                </c:pt>
                <c:pt idx="9">
                  <c:v>110.7739</c:v>
                </c:pt>
                <c:pt idx="10">
                  <c:v>163.4803</c:v>
                </c:pt>
                <c:pt idx="11">
                  <c:v>148.6361</c:v>
                </c:pt>
                <c:pt idx="12">
                  <c:v>145.38856899999999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2"/>
          <c:order val="2"/>
          <c:tx>
            <c:v>Precio medio bajar</c:v>
          </c:tx>
          <c:spPr>
            <a:ln>
              <a:solidFill>
                <a:srgbClr val="404040"/>
              </a:solidFill>
            </a:ln>
          </c:spPr>
          <c:marker>
            <c:symbol val="circle"/>
            <c:size val="6"/>
            <c:spPr>
              <a:noFill/>
              <a:ln>
                <a:noFill/>
              </a:ln>
            </c:spPr>
          </c:marker>
          <c:val>
            <c:numRef>
              <c:f>Dat_01!$B$182:$N$182</c:f>
              <c:numCache>
                <c:formatCode>#,##0.00</c:formatCode>
                <c:ptCount val="13"/>
                <c:pt idx="0">
                  <c:v>59.951908228599997</c:v>
                </c:pt>
                <c:pt idx="1">
                  <c:v>17.655055665900001</c:v>
                </c:pt>
                <c:pt idx="2">
                  <c:v>35.931237126500001</c:v>
                </c:pt>
                <c:pt idx="3">
                  <c:v>56.916393445799997</c:v>
                </c:pt>
                <c:pt idx="4">
                  <c:v>59.402698533699997</c:v>
                </c:pt>
                <c:pt idx="5">
                  <c:v>70.049151887899995</c:v>
                </c:pt>
                <c:pt idx="6">
                  <c:v>76.443767935500006</c:v>
                </c:pt>
                <c:pt idx="7">
                  <c:v>88.488353008800004</c:v>
                </c:pt>
                <c:pt idx="8">
                  <c:v>130.76360995760001</c:v>
                </c:pt>
                <c:pt idx="9">
                  <c:v>163.59991653629999</c:v>
                </c:pt>
                <c:pt idx="10">
                  <c:v>170.5480600436</c:v>
                </c:pt>
                <c:pt idx="11">
                  <c:v>217.2346750303</c:v>
                </c:pt>
                <c:pt idx="12">
                  <c:v>176.02500627129999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00"/>
        </c:scaling>
        <c:delete val="0"/>
        <c:axPos val="r"/>
        <c:numFmt formatCode="#,##0" sourceLinked="0"/>
        <c:majorTickMark val="out"/>
        <c:minorTickMark val="none"/>
        <c:tickLblPos val="nextTo"/>
        <c:spPr>
          <a:ln>
            <a:noFill/>
          </a:ln>
        </c:spPr>
        <c:crossAx val="403148064"/>
        <c:crosses val="max"/>
        <c:crossBetween val="between"/>
        <c:majorUnit val="6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Dat_01!$A$169</c:f>
              <c:strCache>
                <c:ptCount val="1"/>
                <c:pt idx="0">
                  <c:v>Energia (MWh) a subir</c:v>
                </c:pt>
              </c:strCache>
            </c:strRef>
          </c:tx>
          <c:spPr>
            <a:solidFill>
              <a:srgbClr val="007AB0"/>
            </a:solidFill>
            <a:ln>
              <a:noFill/>
            </a:ln>
            <a:effectLst/>
          </c:spPr>
          <c:invertIfNegative val="0"/>
          <c:cat>
            <c:strRef>
              <c:f>Dat_01!$B$166:$N$166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Dat_01!$B$169:$N$169</c:f>
              <c:numCache>
                <c:formatCode>#,##0</c:formatCode>
                <c:ptCount val="13"/>
                <c:pt idx="0">
                  <c:v>607.87231182799997</c:v>
                </c:pt>
                <c:pt idx="1">
                  <c:v>595.99107142859998</c:v>
                </c:pt>
                <c:pt idx="2">
                  <c:v>595.54104979809995</c:v>
                </c:pt>
                <c:pt idx="3">
                  <c:v>569.27083333329995</c:v>
                </c:pt>
                <c:pt idx="4">
                  <c:v>557.38978494620005</c:v>
                </c:pt>
                <c:pt idx="5">
                  <c:v>576.58888888889999</c:v>
                </c:pt>
                <c:pt idx="6">
                  <c:v>568.41801075269996</c:v>
                </c:pt>
                <c:pt idx="7">
                  <c:v>571.75806451610003</c:v>
                </c:pt>
                <c:pt idx="8">
                  <c:v>574.15694444439998</c:v>
                </c:pt>
                <c:pt idx="9">
                  <c:v>583.01610738260001</c:v>
                </c:pt>
                <c:pt idx="10">
                  <c:v>586.37777777780002</c:v>
                </c:pt>
                <c:pt idx="11">
                  <c:v>579.84677419349998</c:v>
                </c:pt>
                <c:pt idx="12">
                  <c:v>595.42338709679996</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Dat_01!$A$171</c:f>
              <c:strCache>
                <c:ptCount val="1"/>
                <c:pt idx="0">
                  <c:v>Precio ( €/MWh)</c:v>
                </c:pt>
              </c:strCache>
            </c:strRef>
          </c:tx>
          <c:spPr>
            <a:ln w="28575" cap="rnd">
              <a:solidFill>
                <a:srgbClr val="004563"/>
              </a:solidFill>
              <a:round/>
            </a:ln>
            <a:effectLst/>
          </c:spPr>
          <c:marker>
            <c:symbol val="none"/>
          </c:marker>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Dat_01!$B$171:$N$171</c:f>
              <c:numCache>
                <c:formatCode>#,##0.0</c:formatCode>
                <c:ptCount val="13"/>
                <c:pt idx="0">
                  <c:v>16.655519515600002</c:v>
                </c:pt>
                <c:pt idx="1">
                  <c:v>27.540775143800001</c:v>
                </c:pt>
                <c:pt idx="2">
                  <c:v>14.375630389099999</c:v>
                </c:pt>
                <c:pt idx="3">
                  <c:v>12.330096533400001</c:v>
                </c:pt>
                <c:pt idx="4">
                  <c:v>21.259185153099999</c:v>
                </c:pt>
                <c:pt idx="5">
                  <c:v>16.212260548500002</c:v>
                </c:pt>
                <c:pt idx="6">
                  <c:v>17.7897737316</c:v>
                </c:pt>
                <c:pt idx="7">
                  <c:v>27.3192267268</c:v>
                </c:pt>
                <c:pt idx="8">
                  <c:v>27.8295922826</c:v>
                </c:pt>
                <c:pt idx="9">
                  <c:v>41.450569314399999</c:v>
                </c:pt>
                <c:pt idx="10">
                  <c:v>35.946007103900001</c:v>
                </c:pt>
                <c:pt idx="11">
                  <c:v>35.1796402517</c:v>
                </c:pt>
                <c:pt idx="12">
                  <c:v>24.032215305299999</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Dat_01!$B$170:$N$170</c:f>
              <c:numCache>
                <c:formatCode>#,##0</c:formatCode>
                <c:ptCount val="13"/>
                <c:pt idx="0">
                  <c:v>495.70698924729999</c:v>
                </c:pt>
                <c:pt idx="1">
                  <c:v>494.87797619050002</c:v>
                </c:pt>
                <c:pt idx="2">
                  <c:v>503.95289367430001</c:v>
                </c:pt>
                <c:pt idx="3">
                  <c:v>491.24305555559999</c:v>
                </c:pt>
                <c:pt idx="4">
                  <c:v>489.0994623656</c:v>
                </c:pt>
                <c:pt idx="5">
                  <c:v>489.18611111109999</c:v>
                </c:pt>
                <c:pt idx="6">
                  <c:v>487.0416666667</c:v>
                </c:pt>
                <c:pt idx="7">
                  <c:v>487.6088709677</c:v>
                </c:pt>
                <c:pt idx="8">
                  <c:v>490.68055555559999</c:v>
                </c:pt>
                <c:pt idx="9">
                  <c:v>493.04563758389997</c:v>
                </c:pt>
                <c:pt idx="10">
                  <c:v>494.00972222220003</c:v>
                </c:pt>
                <c:pt idx="11">
                  <c:v>494.26881720429998</c:v>
                </c:pt>
                <c:pt idx="12">
                  <c:v>496</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Dat_01!$B$165:$N$165</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Dat_01!$B$165:$N$165</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Dat_01!$B$207</c:f>
              <c:strCache>
                <c:ptCount val="1"/>
                <c:pt idx="0">
                  <c:v>Carbón</c:v>
                </c:pt>
              </c:strCache>
            </c:strRef>
          </c:tx>
          <c:spPr>
            <a:solidFill>
              <a:srgbClr val="993300"/>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Dat_01!$C$207:$O$207</c:f>
              <c:numCache>
                <c:formatCode>#,##0.0</c:formatCode>
                <c:ptCount val="13"/>
                <c:pt idx="0">
                  <c:v>832.3</c:v>
                </c:pt>
                <c:pt idx="1">
                  <c:v>290.89999999999998</c:v>
                </c:pt>
                <c:pt idx="2">
                  <c:v>194.4</c:v>
                </c:pt>
                <c:pt idx="3">
                  <c:v>497</c:v>
                </c:pt>
                <c:pt idx="4">
                  <c:v>816.9</c:v>
                </c:pt>
                <c:pt idx="5">
                  <c:v>125</c:v>
                </c:pt>
                <c:pt idx="6">
                  <c:v>443.9</c:v>
                </c:pt>
                <c:pt idx="7">
                  <c:v>358.3</c:v>
                </c:pt>
                <c:pt idx="8">
                  <c:v>432.5</c:v>
                </c:pt>
                <c:pt idx="9">
                  <c:v>1070.2</c:v>
                </c:pt>
                <c:pt idx="10">
                  <c:v>341.2</c:v>
                </c:pt>
                <c:pt idx="11">
                  <c:v>2480.9</c:v>
                </c:pt>
                <c:pt idx="12">
                  <c:v>386</c:v>
                </c:pt>
              </c:numCache>
            </c:numRef>
          </c:val>
          <c:extLst>
            <c:ext xmlns:c16="http://schemas.microsoft.com/office/drawing/2014/chart" uri="{C3380CC4-5D6E-409C-BE32-E72D297353CC}">
              <c16:uniqueId val="{00000000-BED9-452D-8454-5CC367FCBEF2}"/>
            </c:ext>
          </c:extLst>
        </c:ser>
        <c:ser>
          <c:idx val="3"/>
          <c:order val="2"/>
          <c:tx>
            <c:strRef>
              <c:f>Dat_01!$B$208</c:f>
              <c:strCache>
                <c:ptCount val="1"/>
                <c:pt idx="0">
                  <c:v>Ciclo Combinado</c:v>
                </c:pt>
              </c:strCache>
            </c:strRef>
          </c:tx>
          <c:spPr>
            <a:solidFill>
              <a:srgbClr val="FFC000"/>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Dat_01!$C$208:$O$208</c:f>
              <c:numCache>
                <c:formatCode>#,##0.0</c:formatCode>
                <c:ptCount val="13"/>
                <c:pt idx="0">
                  <c:v>13484.6</c:v>
                </c:pt>
                <c:pt idx="1">
                  <c:v>5414.7</c:v>
                </c:pt>
                <c:pt idx="2">
                  <c:v>14321.4</c:v>
                </c:pt>
                <c:pt idx="3">
                  <c:v>13326.5</c:v>
                </c:pt>
                <c:pt idx="4">
                  <c:v>15964.6</c:v>
                </c:pt>
                <c:pt idx="5">
                  <c:v>13328.5</c:v>
                </c:pt>
                <c:pt idx="6">
                  <c:v>12856.8</c:v>
                </c:pt>
                <c:pt idx="7">
                  <c:v>13944.3</c:v>
                </c:pt>
                <c:pt idx="8">
                  <c:v>33982.699999999997</c:v>
                </c:pt>
                <c:pt idx="9">
                  <c:v>25365.1</c:v>
                </c:pt>
                <c:pt idx="10">
                  <c:v>15370.8</c:v>
                </c:pt>
                <c:pt idx="11">
                  <c:v>17195.400000000001</c:v>
                </c:pt>
                <c:pt idx="12">
                  <c:v>28336.3</c:v>
                </c:pt>
              </c:numCache>
            </c:numRef>
          </c:val>
          <c:extLst>
            <c:ext xmlns:c16="http://schemas.microsoft.com/office/drawing/2014/chart" uri="{C3380CC4-5D6E-409C-BE32-E72D297353CC}">
              <c16:uniqueId val="{00000001-BED9-452D-8454-5CC367FCBEF2}"/>
            </c:ext>
          </c:extLst>
        </c:ser>
        <c:ser>
          <c:idx val="4"/>
          <c:order val="3"/>
          <c:tx>
            <c:strRef>
              <c:f>Dat_01!$B$209</c:f>
              <c:strCache>
                <c:ptCount val="1"/>
                <c:pt idx="0">
                  <c:v>Cogeneración</c:v>
                </c:pt>
              </c:strCache>
            </c:strRef>
          </c:tx>
          <c:spPr>
            <a:solidFill>
              <a:srgbClr val="CFA2CA"/>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Dat_01!$C$209:$O$209</c:f>
              <c:numCache>
                <c:formatCode>#,##0.0</c:formatCode>
                <c:ptCount val="13"/>
                <c:pt idx="0">
                  <c:v>1323.9</c:v>
                </c:pt>
                <c:pt idx="1">
                  <c:v>1039.3</c:v>
                </c:pt>
                <c:pt idx="2">
                  <c:v>355</c:v>
                </c:pt>
                <c:pt idx="3">
                  <c:v>103.5</c:v>
                </c:pt>
                <c:pt idx="4">
                  <c:v>58.1</c:v>
                </c:pt>
                <c:pt idx="5">
                  <c:v>122.6</c:v>
                </c:pt>
                <c:pt idx="6">
                  <c:v>51.4</c:v>
                </c:pt>
                <c:pt idx="7">
                  <c:v>52.2</c:v>
                </c:pt>
                <c:pt idx="8">
                  <c:v>275.39999999999998</c:v>
                </c:pt>
                <c:pt idx="9">
                  <c:v>217.3</c:v>
                </c:pt>
                <c:pt idx="10">
                  <c:v>69.7</c:v>
                </c:pt>
                <c:pt idx="11">
                  <c:v>77</c:v>
                </c:pt>
                <c:pt idx="12">
                  <c:v>129.1</c:v>
                </c:pt>
              </c:numCache>
            </c:numRef>
          </c:val>
          <c:extLst>
            <c:ext xmlns:c16="http://schemas.microsoft.com/office/drawing/2014/chart" uri="{C3380CC4-5D6E-409C-BE32-E72D297353CC}">
              <c16:uniqueId val="{00000002-BED9-452D-8454-5CC367FCBEF2}"/>
            </c:ext>
          </c:extLst>
        </c:ser>
        <c:ser>
          <c:idx val="5"/>
          <c:order val="4"/>
          <c:tx>
            <c:strRef>
              <c:f>Dat_01!$B$210</c:f>
              <c:strCache>
                <c:ptCount val="1"/>
                <c:pt idx="0">
                  <c:v>Consumo Bombeo</c:v>
                </c:pt>
              </c:strCache>
            </c:strRef>
          </c:tx>
          <c:spPr>
            <a:solidFill>
              <a:srgbClr val="2C4D75"/>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Dat_01!$C$210:$O$210</c:f>
              <c:numCache>
                <c:formatCode>#,##0.0</c:formatCode>
                <c:ptCount val="13"/>
                <c:pt idx="0">
                  <c:v>46979.1</c:v>
                </c:pt>
                <c:pt idx="1">
                  <c:v>71354.3</c:v>
                </c:pt>
                <c:pt idx="2">
                  <c:v>86677.9</c:v>
                </c:pt>
                <c:pt idx="3">
                  <c:v>34613.599999999999</c:v>
                </c:pt>
                <c:pt idx="4">
                  <c:v>64569.1</c:v>
                </c:pt>
                <c:pt idx="5">
                  <c:v>23776.9</c:v>
                </c:pt>
                <c:pt idx="6">
                  <c:v>35974.9</c:v>
                </c:pt>
                <c:pt idx="7">
                  <c:v>26551</c:v>
                </c:pt>
                <c:pt idx="8">
                  <c:v>34800.5</c:v>
                </c:pt>
                <c:pt idx="9">
                  <c:v>37208.400000000001</c:v>
                </c:pt>
                <c:pt idx="10">
                  <c:v>27553.5</c:v>
                </c:pt>
                <c:pt idx="11">
                  <c:v>34176.699999999997</c:v>
                </c:pt>
                <c:pt idx="12">
                  <c:v>40939.4</c:v>
                </c:pt>
              </c:numCache>
            </c:numRef>
          </c:val>
          <c:extLst>
            <c:ext xmlns:c16="http://schemas.microsoft.com/office/drawing/2014/chart" uri="{C3380CC4-5D6E-409C-BE32-E72D297353CC}">
              <c16:uniqueId val="{00000003-BED9-452D-8454-5CC367FCBEF2}"/>
            </c:ext>
          </c:extLst>
        </c:ser>
        <c:ser>
          <c:idx val="7"/>
          <c:order val="5"/>
          <c:tx>
            <c:strRef>
              <c:f>Dat_01!$B$212</c:f>
              <c:strCache>
                <c:ptCount val="1"/>
                <c:pt idx="0">
                  <c:v>Eólica</c:v>
                </c:pt>
              </c:strCache>
            </c:strRef>
          </c:tx>
          <c:spPr>
            <a:solidFill>
              <a:srgbClr val="70AD47"/>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Dat_01!$C$212:$O$212</c:f>
              <c:numCache>
                <c:formatCode>#,##0.0</c:formatCode>
                <c:ptCount val="13"/>
                <c:pt idx="0">
                  <c:v>42652.2</c:v>
                </c:pt>
                <c:pt idx="1">
                  <c:v>62656.2</c:v>
                </c:pt>
                <c:pt idx="2">
                  <c:v>19233.2</c:v>
                </c:pt>
                <c:pt idx="3">
                  <c:v>11466.2</c:v>
                </c:pt>
                <c:pt idx="4">
                  <c:v>40532</c:v>
                </c:pt>
                <c:pt idx="5">
                  <c:v>9080.2999999999993</c:v>
                </c:pt>
                <c:pt idx="6">
                  <c:v>5660.8</c:v>
                </c:pt>
                <c:pt idx="7">
                  <c:v>2617.8000000000002</c:v>
                </c:pt>
                <c:pt idx="8">
                  <c:v>8747.7000000000007</c:v>
                </c:pt>
                <c:pt idx="9">
                  <c:v>34251.5</c:v>
                </c:pt>
                <c:pt idx="10">
                  <c:v>13534.1</c:v>
                </c:pt>
                <c:pt idx="11">
                  <c:v>21256.400000000001</c:v>
                </c:pt>
                <c:pt idx="12">
                  <c:v>6907.9</c:v>
                </c:pt>
              </c:numCache>
            </c:numRef>
          </c:val>
          <c:extLst>
            <c:ext xmlns:c16="http://schemas.microsoft.com/office/drawing/2014/chart" uri="{C3380CC4-5D6E-409C-BE32-E72D297353CC}">
              <c16:uniqueId val="{00000004-BED9-452D-8454-5CC367FCBEF2}"/>
            </c:ext>
          </c:extLst>
        </c:ser>
        <c:ser>
          <c:idx val="9"/>
          <c:order val="7"/>
          <c:tx>
            <c:strRef>
              <c:f>Dat_01!$B$214</c:f>
              <c:strCache>
                <c:ptCount val="1"/>
                <c:pt idx="0">
                  <c:v>Hidráulica</c:v>
                </c:pt>
              </c:strCache>
            </c:strRef>
          </c:tx>
          <c:spPr>
            <a:solidFill>
              <a:srgbClr val="0090D1"/>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Dat_01!$C$214:$O$214</c:f>
              <c:numCache>
                <c:formatCode>#,##0.0</c:formatCode>
                <c:ptCount val="13"/>
                <c:pt idx="0">
                  <c:v>27436.3</c:v>
                </c:pt>
                <c:pt idx="1">
                  <c:v>15580.6</c:v>
                </c:pt>
                <c:pt idx="2">
                  <c:v>20084.3</c:v>
                </c:pt>
                <c:pt idx="3">
                  <c:v>29022</c:v>
                </c:pt>
                <c:pt idx="4">
                  <c:v>33588.6</c:v>
                </c:pt>
                <c:pt idx="5">
                  <c:v>27743.8</c:v>
                </c:pt>
                <c:pt idx="6">
                  <c:v>6548.3</c:v>
                </c:pt>
                <c:pt idx="7">
                  <c:v>4480.2</c:v>
                </c:pt>
                <c:pt idx="8">
                  <c:v>20855.2</c:v>
                </c:pt>
                <c:pt idx="9">
                  <c:v>4376.1000000000004</c:v>
                </c:pt>
                <c:pt idx="10">
                  <c:v>10283</c:v>
                </c:pt>
                <c:pt idx="11">
                  <c:v>6504.8</c:v>
                </c:pt>
                <c:pt idx="12">
                  <c:v>4462.8999999999996</c:v>
                </c:pt>
              </c:numCache>
            </c:numRef>
          </c:val>
          <c:extLst>
            <c:ext xmlns:c16="http://schemas.microsoft.com/office/drawing/2014/chart" uri="{C3380CC4-5D6E-409C-BE32-E72D297353CC}">
              <c16:uniqueId val="{00000005-BED9-452D-8454-5CC367FCBEF2}"/>
            </c:ext>
          </c:extLst>
        </c:ser>
        <c:ser>
          <c:idx val="11"/>
          <c:order val="9"/>
          <c:tx>
            <c:strRef>
              <c:f>Dat_01!$B$216</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Dat_01!$C$216:$O$216</c:f>
              <c:numCache>
                <c:formatCode>#,##0.0</c:formatCode>
                <c:ptCount val="13"/>
                <c:pt idx="0">
                  <c:v>0</c:v>
                </c:pt>
                <c:pt idx="1">
                  <c:v>0.4</c:v>
                </c:pt>
                <c:pt idx="2">
                  <c:v>0</c:v>
                </c:pt>
                <c:pt idx="3">
                  <c:v>198.3</c:v>
                </c:pt>
                <c:pt idx="4">
                  <c:v>234.5</c:v>
                </c:pt>
                <c:pt idx="5">
                  <c:v>576.9</c:v>
                </c:pt>
                <c:pt idx="6">
                  <c:v>0</c:v>
                </c:pt>
                <c:pt idx="7">
                  <c:v>0</c:v>
                </c:pt>
                <c:pt idx="8">
                  <c:v>39.1</c:v>
                </c:pt>
                <c:pt idx="9">
                  <c:v>0</c:v>
                </c:pt>
                <c:pt idx="10">
                  <c:v>0</c:v>
                </c:pt>
                <c:pt idx="11">
                  <c:v>0</c:v>
                </c:pt>
                <c:pt idx="12">
                  <c:v>34.4</c:v>
                </c:pt>
              </c:numCache>
            </c:numRef>
          </c:val>
          <c:extLst>
            <c:ext xmlns:c16="http://schemas.microsoft.com/office/drawing/2014/chart" uri="{C3380CC4-5D6E-409C-BE32-E72D297353CC}">
              <c16:uniqueId val="{00000006-BED9-452D-8454-5CC367FCBEF2}"/>
            </c:ext>
          </c:extLst>
        </c:ser>
        <c:ser>
          <c:idx val="12"/>
          <c:order val="10"/>
          <c:tx>
            <c:strRef>
              <c:f>Dat_01!$B$217</c:f>
              <c:strCache>
                <c:ptCount val="1"/>
                <c:pt idx="0">
                  <c:v>Otras Renovables</c:v>
                </c:pt>
              </c:strCache>
            </c:strRef>
          </c:tx>
          <c:spPr>
            <a:solidFill>
              <a:srgbClr val="9A5CBC"/>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Dat_01!$C$217:$O$217</c:f>
              <c:numCache>
                <c:formatCode>#,##0.0</c:formatCode>
                <c:ptCount val="13"/>
                <c:pt idx="0">
                  <c:v>295.89999999999998</c:v>
                </c:pt>
                <c:pt idx="1">
                  <c:v>126.6</c:v>
                </c:pt>
                <c:pt idx="2">
                  <c:v>0</c:v>
                </c:pt>
                <c:pt idx="3">
                  <c:v>0</c:v>
                </c:pt>
                <c:pt idx="4">
                  <c:v>0</c:v>
                </c:pt>
                <c:pt idx="5">
                  <c:v>0</c:v>
                </c:pt>
                <c:pt idx="6">
                  <c:v>0</c:v>
                </c:pt>
                <c:pt idx="7">
                  <c:v>0</c:v>
                </c:pt>
                <c:pt idx="8">
                  <c:v>0</c:v>
                </c:pt>
                <c:pt idx="9">
                  <c:v>0</c:v>
                </c:pt>
                <c:pt idx="10">
                  <c:v>0</c:v>
                </c:pt>
                <c:pt idx="11">
                  <c:v>19.8</c:v>
                </c:pt>
                <c:pt idx="12">
                  <c:v>0</c:v>
                </c:pt>
              </c:numCache>
            </c:numRef>
          </c:val>
          <c:extLst>
            <c:ext xmlns:c16="http://schemas.microsoft.com/office/drawing/2014/chart" uri="{C3380CC4-5D6E-409C-BE32-E72D297353CC}">
              <c16:uniqueId val="{00000007-BED9-452D-8454-5CC367FCBEF2}"/>
            </c:ext>
          </c:extLst>
        </c:ser>
        <c:ser>
          <c:idx val="14"/>
          <c:order val="12"/>
          <c:tx>
            <c:strRef>
              <c:f>Dat_01!$B$219</c:f>
              <c:strCache>
                <c:ptCount val="1"/>
                <c:pt idx="0">
                  <c:v>Solar fotovoltaica</c:v>
                </c:pt>
              </c:strCache>
              <c:extLst xmlns:c15="http://schemas.microsoft.com/office/drawing/2012/chart"/>
            </c:strRef>
          </c:tx>
          <c:spPr>
            <a:solidFill>
              <a:srgbClr val="EE6112"/>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Dat_01!$C$219:$O$219</c:f>
              <c:numCache>
                <c:formatCode>#,##0.0</c:formatCode>
                <c:ptCount val="13"/>
                <c:pt idx="0">
                  <c:v>0.1</c:v>
                </c:pt>
                <c:pt idx="1">
                  <c:v>22.2</c:v>
                </c:pt>
                <c:pt idx="2">
                  <c:v>0</c:v>
                </c:pt>
                <c:pt idx="3">
                  <c:v>0</c:v>
                </c:pt>
                <c:pt idx="4">
                  <c:v>1.7</c:v>
                </c:pt>
                <c:pt idx="5">
                  <c:v>0.4</c:v>
                </c:pt>
                <c:pt idx="6">
                  <c:v>0</c:v>
                </c:pt>
                <c:pt idx="7">
                  <c:v>4.2</c:v>
                </c:pt>
                <c:pt idx="8">
                  <c:v>120.5</c:v>
                </c:pt>
                <c:pt idx="9">
                  <c:v>112</c:v>
                </c:pt>
                <c:pt idx="10">
                  <c:v>11.9</c:v>
                </c:pt>
                <c:pt idx="11">
                  <c:v>89.3</c:v>
                </c:pt>
                <c:pt idx="12">
                  <c:v>32.700000000000003</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Dat_01!$B$220</c:f>
              <c:strCache>
                <c:ptCount val="1"/>
                <c:pt idx="0">
                  <c:v>Solar térmica</c:v>
                </c:pt>
              </c:strCache>
              <c:extLst xmlns:c15="http://schemas.microsoft.com/office/drawing/2012/chart"/>
            </c:strRef>
          </c:tx>
          <c:spPr>
            <a:solidFill>
              <a:srgbClr val="FF0000"/>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Dat_01!$C$220:$O$220</c:f>
              <c:numCache>
                <c:formatCode>#,##0.0</c:formatCode>
                <c:ptCount val="13"/>
                <c:pt idx="0">
                  <c:v>23.4</c:v>
                </c:pt>
                <c:pt idx="1">
                  <c:v>105.4</c:v>
                </c:pt>
                <c:pt idx="2">
                  <c:v>61.3</c:v>
                </c:pt>
                <c:pt idx="3">
                  <c:v>0</c:v>
                </c:pt>
                <c:pt idx="4">
                  <c:v>9.5</c:v>
                </c:pt>
                <c:pt idx="5">
                  <c:v>1</c:v>
                </c:pt>
                <c:pt idx="6">
                  <c:v>36.299999999999997</c:v>
                </c:pt>
                <c:pt idx="7">
                  <c:v>28.6</c:v>
                </c:pt>
                <c:pt idx="8">
                  <c:v>16.899999999999999</c:v>
                </c:pt>
                <c:pt idx="9">
                  <c:v>4.5</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Dat_01!$B$221</c:f>
              <c:strCache>
                <c:ptCount val="1"/>
                <c:pt idx="0">
                  <c:v>Turbinación bombeo</c:v>
                </c:pt>
              </c:strCache>
            </c:strRef>
          </c:tx>
          <c:spPr>
            <a:solidFill>
              <a:srgbClr val="95B3D7"/>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Dat_01!$C$221:$O$221</c:f>
              <c:numCache>
                <c:formatCode>#,##0.0</c:formatCode>
                <c:ptCount val="13"/>
                <c:pt idx="0">
                  <c:v>17846.5</c:v>
                </c:pt>
                <c:pt idx="1">
                  <c:v>21298.3</c:v>
                </c:pt>
                <c:pt idx="2">
                  <c:v>15895.8</c:v>
                </c:pt>
                <c:pt idx="3">
                  <c:v>13686.1</c:v>
                </c:pt>
                <c:pt idx="4">
                  <c:v>9651</c:v>
                </c:pt>
                <c:pt idx="5">
                  <c:v>3658.6</c:v>
                </c:pt>
                <c:pt idx="6">
                  <c:v>3239.8</c:v>
                </c:pt>
                <c:pt idx="7">
                  <c:v>4317.3999999999996</c:v>
                </c:pt>
                <c:pt idx="8">
                  <c:v>2614.1</c:v>
                </c:pt>
                <c:pt idx="9">
                  <c:v>8448.7000000000007</c:v>
                </c:pt>
                <c:pt idx="10">
                  <c:v>3198.9</c:v>
                </c:pt>
                <c:pt idx="11">
                  <c:v>7509.1</c:v>
                </c:pt>
                <c:pt idx="12">
                  <c:v>5705.4</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Dat_01!$C$206:$O$206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Dat_01!$C$213:$O$213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Dat_01!$B$215</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Dat_01!$C$215:$O$215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Dat_01!$B$218</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Dat_01!$C$218:$O$218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Dat_01!$B$229:$N$229</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Dat_01!$C$377:$O$377</c:f>
              <c:numCache>
                <c:formatCode>#,##0.00</c:formatCode>
                <c:ptCount val="13"/>
                <c:pt idx="0">
                  <c:v>33.638654760999998</c:v>
                </c:pt>
                <c:pt idx="1">
                  <c:v>10.9593926761</c:v>
                </c:pt>
                <c:pt idx="2">
                  <c:v>24.629684491999999</c:v>
                </c:pt>
                <c:pt idx="3">
                  <c:v>47.342571020999998</c:v>
                </c:pt>
                <c:pt idx="4">
                  <c:v>38.491493961000003</c:v>
                </c:pt>
                <c:pt idx="5">
                  <c:v>60.991801974099999</c:v>
                </c:pt>
                <c:pt idx="6">
                  <c:v>68.295439593200001</c:v>
                </c:pt>
                <c:pt idx="7">
                  <c:v>77.530400542500004</c:v>
                </c:pt>
                <c:pt idx="8">
                  <c:v>117.7213000787</c:v>
                </c:pt>
                <c:pt idx="9">
                  <c:v>94.849630089200005</c:v>
                </c:pt>
                <c:pt idx="10">
                  <c:v>129.243849404</c:v>
                </c:pt>
                <c:pt idx="11">
                  <c:v>124.5650575415</c:v>
                </c:pt>
                <c:pt idx="12">
                  <c:v>152.43601567159999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Dat_01!$B$190</c:f>
              <c:strCache>
                <c:ptCount val="1"/>
                <c:pt idx="0">
                  <c:v>Carbón</c:v>
                </c:pt>
              </c:strCache>
            </c:strRef>
          </c:tx>
          <c:spPr>
            <a:solidFill>
              <a:srgbClr val="993300"/>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Dat_01!$C$190:$O$190</c:f>
              <c:numCache>
                <c:formatCode>#,##0.0</c:formatCode>
                <c:ptCount val="13"/>
                <c:pt idx="0">
                  <c:v>3748.2</c:v>
                </c:pt>
                <c:pt idx="1">
                  <c:v>157.30000000000001</c:v>
                </c:pt>
                <c:pt idx="2">
                  <c:v>78</c:v>
                </c:pt>
                <c:pt idx="3">
                  <c:v>2888.1</c:v>
                </c:pt>
                <c:pt idx="4">
                  <c:v>2053.3000000000002</c:v>
                </c:pt>
                <c:pt idx="5">
                  <c:v>3099.9</c:v>
                </c:pt>
                <c:pt idx="6">
                  <c:v>3046.5</c:v>
                </c:pt>
                <c:pt idx="7">
                  <c:v>1481.1</c:v>
                </c:pt>
                <c:pt idx="8">
                  <c:v>929.2</c:v>
                </c:pt>
                <c:pt idx="9">
                  <c:v>2449.3000000000002</c:v>
                </c:pt>
                <c:pt idx="10">
                  <c:v>1901</c:v>
                </c:pt>
                <c:pt idx="11">
                  <c:v>3972.3</c:v>
                </c:pt>
                <c:pt idx="12">
                  <c:v>1857.5</c:v>
                </c:pt>
              </c:numCache>
            </c:numRef>
          </c:val>
          <c:extLst>
            <c:ext xmlns:c16="http://schemas.microsoft.com/office/drawing/2014/chart" uri="{C3380CC4-5D6E-409C-BE32-E72D297353CC}">
              <c16:uniqueId val="{00000000-2655-43B4-8799-F66FBECD481A}"/>
            </c:ext>
          </c:extLst>
        </c:ser>
        <c:ser>
          <c:idx val="3"/>
          <c:order val="2"/>
          <c:tx>
            <c:strRef>
              <c:f>Dat_01!$B$191</c:f>
              <c:strCache>
                <c:ptCount val="1"/>
                <c:pt idx="0">
                  <c:v>Ciclo Combinado</c:v>
                </c:pt>
              </c:strCache>
            </c:strRef>
          </c:tx>
          <c:spPr>
            <a:solidFill>
              <a:srgbClr val="FFCC66"/>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Dat_01!$C$191:$O$191</c:f>
              <c:numCache>
                <c:formatCode>#,##0.0</c:formatCode>
                <c:ptCount val="13"/>
                <c:pt idx="0">
                  <c:v>68568.899999999994</c:v>
                </c:pt>
                <c:pt idx="1">
                  <c:v>26400.799999999999</c:v>
                </c:pt>
                <c:pt idx="2">
                  <c:v>53067.4</c:v>
                </c:pt>
                <c:pt idx="3">
                  <c:v>73739.7</c:v>
                </c:pt>
                <c:pt idx="4">
                  <c:v>67958.399999999994</c:v>
                </c:pt>
                <c:pt idx="5">
                  <c:v>73420.800000000003</c:v>
                </c:pt>
                <c:pt idx="6">
                  <c:v>87665.5</c:v>
                </c:pt>
                <c:pt idx="7">
                  <c:v>147327</c:v>
                </c:pt>
                <c:pt idx="8">
                  <c:v>120567.6</c:v>
                </c:pt>
                <c:pt idx="9">
                  <c:v>91772.5</c:v>
                </c:pt>
                <c:pt idx="10">
                  <c:v>124474.7</c:v>
                </c:pt>
                <c:pt idx="11">
                  <c:v>68425.3</c:v>
                </c:pt>
                <c:pt idx="12">
                  <c:v>53248.9</c:v>
                </c:pt>
              </c:numCache>
            </c:numRef>
          </c:val>
          <c:extLst>
            <c:ext xmlns:c16="http://schemas.microsoft.com/office/drawing/2014/chart" uri="{C3380CC4-5D6E-409C-BE32-E72D297353CC}">
              <c16:uniqueId val="{00000001-2655-43B4-8799-F66FBECD481A}"/>
            </c:ext>
          </c:extLst>
        </c:ser>
        <c:ser>
          <c:idx val="4"/>
          <c:order val="3"/>
          <c:tx>
            <c:strRef>
              <c:f>Dat_01!$B$192</c:f>
              <c:strCache>
                <c:ptCount val="1"/>
                <c:pt idx="0">
                  <c:v>Cogeneración</c:v>
                </c:pt>
              </c:strCache>
            </c:strRef>
          </c:tx>
          <c:spPr>
            <a:solidFill>
              <a:srgbClr val="CFA2CA"/>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Dat_01!$C$192:$O$192</c:f>
              <c:numCache>
                <c:formatCode>#,##0.0</c:formatCode>
                <c:ptCount val="13"/>
                <c:pt idx="0">
                  <c:v>1069.7</c:v>
                </c:pt>
                <c:pt idx="1">
                  <c:v>340.9</c:v>
                </c:pt>
                <c:pt idx="2">
                  <c:v>76.2</c:v>
                </c:pt>
                <c:pt idx="3">
                  <c:v>28.3</c:v>
                </c:pt>
                <c:pt idx="4">
                  <c:v>263.7</c:v>
                </c:pt>
                <c:pt idx="5">
                  <c:v>945.7</c:v>
                </c:pt>
                <c:pt idx="6">
                  <c:v>1010.8</c:v>
                </c:pt>
                <c:pt idx="7">
                  <c:v>1240.2</c:v>
                </c:pt>
                <c:pt idx="8">
                  <c:v>582.6</c:v>
                </c:pt>
                <c:pt idx="9">
                  <c:v>539.6</c:v>
                </c:pt>
                <c:pt idx="10">
                  <c:v>919.8</c:v>
                </c:pt>
                <c:pt idx="11">
                  <c:v>1069.5</c:v>
                </c:pt>
                <c:pt idx="12">
                  <c:v>859.7</c:v>
                </c:pt>
              </c:numCache>
            </c:numRef>
          </c:val>
          <c:extLst>
            <c:ext xmlns:c16="http://schemas.microsoft.com/office/drawing/2014/chart" uri="{C3380CC4-5D6E-409C-BE32-E72D297353CC}">
              <c16:uniqueId val="{00000002-2655-43B4-8799-F66FBECD481A}"/>
            </c:ext>
          </c:extLst>
        </c:ser>
        <c:ser>
          <c:idx val="5"/>
          <c:order val="4"/>
          <c:tx>
            <c:strRef>
              <c:f>Dat_01!$B$193</c:f>
              <c:strCache>
                <c:ptCount val="1"/>
                <c:pt idx="0">
                  <c:v>Consumo Bombeo</c:v>
                </c:pt>
              </c:strCache>
            </c:strRef>
          </c:tx>
          <c:spPr>
            <a:solidFill>
              <a:srgbClr val="2C4D75"/>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Dat_01!$C$193:$O$193</c:f>
              <c:numCache>
                <c:formatCode>#,##0.0</c:formatCode>
                <c:ptCount val="13"/>
                <c:pt idx="0">
                  <c:v>17152.7</c:v>
                </c:pt>
                <c:pt idx="1">
                  <c:v>18712.8</c:v>
                </c:pt>
                <c:pt idx="2">
                  <c:v>9280.7999999999993</c:v>
                </c:pt>
                <c:pt idx="3">
                  <c:v>12095.3</c:v>
                </c:pt>
                <c:pt idx="4">
                  <c:v>14305.7</c:v>
                </c:pt>
                <c:pt idx="5">
                  <c:v>5396.8</c:v>
                </c:pt>
                <c:pt idx="6">
                  <c:v>5572.7</c:v>
                </c:pt>
                <c:pt idx="7">
                  <c:v>17886.3</c:v>
                </c:pt>
                <c:pt idx="8">
                  <c:v>3027.8</c:v>
                </c:pt>
                <c:pt idx="9">
                  <c:v>8249.9</c:v>
                </c:pt>
                <c:pt idx="10">
                  <c:v>8069.5</c:v>
                </c:pt>
                <c:pt idx="11">
                  <c:v>13639.4</c:v>
                </c:pt>
                <c:pt idx="12">
                  <c:v>20175.8</c:v>
                </c:pt>
              </c:numCache>
            </c:numRef>
          </c:val>
          <c:extLst>
            <c:ext xmlns:c16="http://schemas.microsoft.com/office/drawing/2014/chart" uri="{C3380CC4-5D6E-409C-BE32-E72D297353CC}">
              <c16:uniqueId val="{00000003-2655-43B4-8799-F66FBECD481A}"/>
            </c:ext>
          </c:extLst>
        </c:ser>
        <c:ser>
          <c:idx val="7"/>
          <c:order val="6"/>
          <c:tx>
            <c:strRef>
              <c:f>Dat_01!$B$195</c:f>
              <c:strCache>
                <c:ptCount val="1"/>
                <c:pt idx="0">
                  <c:v>Eólica</c:v>
                </c:pt>
              </c:strCache>
            </c:strRef>
          </c:tx>
          <c:spPr>
            <a:solidFill>
              <a:srgbClr val="70AD47"/>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Dat_01!$C$195:$O$195</c:f>
              <c:numCache>
                <c:formatCode>#,##0.0</c:formatCode>
                <c:ptCount val="13"/>
                <c:pt idx="0">
                  <c:v>8410.7000000000007</c:v>
                </c:pt>
                <c:pt idx="1">
                  <c:v>15219.5</c:v>
                </c:pt>
                <c:pt idx="2">
                  <c:v>9333.2999999999993</c:v>
                </c:pt>
                <c:pt idx="3">
                  <c:v>8894.2000000000007</c:v>
                </c:pt>
                <c:pt idx="4">
                  <c:v>14218.9</c:v>
                </c:pt>
                <c:pt idx="5">
                  <c:v>10467.9</c:v>
                </c:pt>
                <c:pt idx="6">
                  <c:v>8671.4</c:v>
                </c:pt>
                <c:pt idx="7">
                  <c:v>9117.1</c:v>
                </c:pt>
                <c:pt idx="8">
                  <c:v>7256.6</c:v>
                </c:pt>
                <c:pt idx="9">
                  <c:v>8677.5</c:v>
                </c:pt>
                <c:pt idx="10">
                  <c:v>12499.1</c:v>
                </c:pt>
                <c:pt idx="11">
                  <c:v>9010.9</c:v>
                </c:pt>
                <c:pt idx="12">
                  <c:v>10885.7</c:v>
                </c:pt>
              </c:numCache>
            </c:numRef>
          </c:val>
          <c:extLst>
            <c:ext xmlns:c16="http://schemas.microsoft.com/office/drawing/2014/chart" uri="{C3380CC4-5D6E-409C-BE32-E72D297353CC}">
              <c16:uniqueId val="{00000004-2655-43B4-8799-F66FBECD481A}"/>
            </c:ext>
          </c:extLst>
        </c:ser>
        <c:ser>
          <c:idx val="9"/>
          <c:order val="8"/>
          <c:tx>
            <c:strRef>
              <c:f>Dat_01!$B$197</c:f>
              <c:strCache>
                <c:ptCount val="1"/>
                <c:pt idx="0">
                  <c:v>Hidráulica</c:v>
                </c:pt>
              </c:strCache>
            </c:strRef>
          </c:tx>
          <c:spPr>
            <a:solidFill>
              <a:srgbClr val="0090D1"/>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Dat_01!$C$197:$O$197</c:f>
              <c:numCache>
                <c:formatCode>#,##0.0</c:formatCode>
                <c:ptCount val="13"/>
                <c:pt idx="0">
                  <c:v>36501.599999999999</c:v>
                </c:pt>
                <c:pt idx="1">
                  <c:v>9567.7999999999993</c:v>
                </c:pt>
                <c:pt idx="2">
                  <c:v>56450.9</c:v>
                </c:pt>
                <c:pt idx="3">
                  <c:v>77474.8</c:v>
                </c:pt>
                <c:pt idx="4">
                  <c:v>46046.2</c:v>
                </c:pt>
                <c:pt idx="5">
                  <c:v>59211</c:v>
                </c:pt>
                <c:pt idx="6">
                  <c:v>41981.5</c:v>
                </c:pt>
                <c:pt idx="7">
                  <c:v>30800.2</c:v>
                </c:pt>
                <c:pt idx="8">
                  <c:v>27279.3</c:v>
                </c:pt>
                <c:pt idx="9">
                  <c:v>26982.9</c:v>
                </c:pt>
                <c:pt idx="10">
                  <c:v>40973.4</c:v>
                </c:pt>
                <c:pt idx="11">
                  <c:v>31863.1</c:v>
                </c:pt>
                <c:pt idx="12">
                  <c:v>63478.2</c:v>
                </c:pt>
              </c:numCache>
            </c:numRef>
          </c:val>
          <c:extLst>
            <c:ext xmlns:c16="http://schemas.microsoft.com/office/drawing/2014/chart" uri="{C3380CC4-5D6E-409C-BE32-E72D297353CC}">
              <c16:uniqueId val="{00000005-2655-43B4-8799-F66FBECD481A}"/>
            </c:ext>
          </c:extLst>
        </c:ser>
        <c:ser>
          <c:idx val="11"/>
          <c:order val="9"/>
          <c:tx>
            <c:strRef>
              <c:f>Dat_01!$B$199</c:f>
              <c:strCache>
                <c:ptCount val="1"/>
                <c:pt idx="0">
                  <c:v>Nuclear</c:v>
                </c:pt>
              </c:strCache>
            </c:strRef>
          </c:tx>
          <c:spPr>
            <a:solidFill>
              <a:srgbClr val="464394"/>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Dat_01!$C$199:$O$199</c:f>
              <c:numCache>
                <c:formatCode>#,##0.0</c:formatCode>
                <c:ptCount val="13"/>
                <c:pt idx="0">
                  <c:v>0</c:v>
                </c:pt>
                <c:pt idx="1">
                  <c:v>385.9</c:v>
                </c:pt>
                <c:pt idx="2">
                  <c:v>0</c:v>
                </c:pt>
                <c:pt idx="3">
                  <c:v>318.8</c:v>
                </c:pt>
                <c:pt idx="4">
                  <c:v>17.7</c:v>
                </c:pt>
                <c:pt idx="5">
                  <c:v>213.6</c:v>
                </c:pt>
                <c:pt idx="6">
                  <c:v>296.5</c:v>
                </c:pt>
                <c:pt idx="7">
                  <c:v>0</c:v>
                </c:pt>
                <c:pt idx="8">
                  <c:v>289.10000000000002</c:v>
                </c:pt>
                <c:pt idx="9">
                  <c:v>0</c:v>
                </c:pt>
                <c:pt idx="10">
                  <c:v>0.4</c:v>
                </c:pt>
                <c:pt idx="11">
                  <c:v>841.6</c:v>
                </c:pt>
                <c:pt idx="12">
                  <c:v>410.2</c:v>
                </c:pt>
              </c:numCache>
            </c:numRef>
          </c:val>
          <c:extLst>
            <c:ext xmlns:c16="http://schemas.microsoft.com/office/drawing/2014/chart" uri="{C3380CC4-5D6E-409C-BE32-E72D297353CC}">
              <c16:uniqueId val="{00000006-2655-43B4-8799-F66FBECD481A}"/>
            </c:ext>
          </c:extLst>
        </c:ser>
        <c:ser>
          <c:idx val="12"/>
          <c:order val="10"/>
          <c:tx>
            <c:strRef>
              <c:f>Dat_01!$B$200</c:f>
              <c:strCache>
                <c:ptCount val="1"/>
                <c:pt idx="0">
                  <c:v>Otras Renovables</c:v>
                </c:pt>
              </c:strCache>
            </c:strRef>
          </c:tx>
          <c:spPr>
            <a:solidFill>
              <a:srgbClr val="9999FF"/>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Dat_01!$C$200:$O$200</c:f>
              <c:numCache>
                <c:formatCode>#,##0.0</c:formatCode>
                <c:ptCount val="13"/>
                <c:pt idx="0">
                  <c:v>0</c:v>
                </c:pt>
                <c:pt idx="1">
                  <c:v>10.9</c:v>
                </c:pt>
                <c:pt idx="2">
                  <c:v>0</c:v>
                </c:pt>
                <c:pt idx="3">
                  <c:v>0</c:v>
                </c:pt>
                <c:pt idx="4">
                  <c:v>0</c:v>
                </c:pt>
                <c:pt idx="5">
                  <c:v>0</c:v>
                </c:pt>
                <c:pt idx="6">
                  <c:v>0</c:v>
                </c:pt>
                <c:pt idx="7">
                  <c:v>0</c:v>
                </c:pt>
                <c:pt idx="8">
                  <c:v>9.8000000000000007</c:v>
                </c:pt>
                <c:pt idx="9">
                  <c:v>3.2</c:v>
                </c:pt>
                <c:pt idx="10">
                  <c:v>0</c:v>
                </c:pt>
                <c:pt idx="11">
                  <c:v>0.5</c:v>
                </c:pt>
                <c:pt idx="12">
                  <c:v>0</c:v>
                </c:pt>
              </c:numCache>
            </c:numRef>
          </c:val>
          <c:extLst>
            <c:ext xmlns:c16="http://schemas.microsoft.com/office/drawing/2014/chart" uri="{C3380CC4-5D6E-409C-BE32-E72D297353CC}">
              <c16:uniqueId val="{00000007-2655-43B4-8799-F66FBECD481A}"/>
            </c:ext>
          </c:extLst>
        </c:ser>
        <c:ser>
          <c:idx val="14"/>
          <c:order val="12"/>
          <c:tx>
            <c:strRef>
              <c:f>Dat_01!$B$202</c:f>
              <c:strCache>
                <c:ptCount val="1"/>
                <c:pt idx="0">
                  <c:v>Solar fotovoltaica</c:v>
                </c:pt>
              </c:strCache>
              <c:extLst xmlns:c15="http://schemas.microsoft.com/office/drawing/2012/chart"/>
            </c:strRef>
          </c:tx>
          <c:spPr>
            <a:solidFill>
              <a:srgbClr val="EE6112"/>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Dat_01!$C$202:$O$202</c:f>
              <c:numCache>
                <c:formatCode>#,##0.0</c:formatCode>
                <c:ptCount val="13"/>
                <c:pt idx="0">
                  <c:v>17.100000000000001</c:v>
                </c:pt>
                <c:pt idx="1">
                  <c:v>5.9</c:v>
                </c:pt>
                <c:pt idx="2">
                  <c:v>10.4</c:v>
                </c:pt>
                <c:pt idx="3">
                  <c:v>38.299999999999997</c:v>
                </c:pt>
                <c:pt idx="4">
                  <c:v>25.2</c:v>
                </c:pt>
                <c:pt idx="5">
                  <c:v>36.799999999999997</c:v>
                </c:pt>
                <c:pt idx="6">
                  <c:v>8.5</c:v>
                </c:pt>
                <c:pt idx="7">
                  <c:v>64.2</c:v>
                </c:pt>
                <c:pt idx="8">
                  <c:v>66.3</c:v>
                </c:pt>
                <c:pt idx="9">
                  <c:v>196.7</c:v>
                </c:pt>
                <c:pt idx="10">
                  <c:v>312.60000000000002</c:v>
                </c:pt>
                <c:pt idx="11">
                  <c:v>182.8</c:v>
                </c:pt>
                <c:pt idx="12">
                  <c:v>271.2</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Dat_01!$B$203</c:f>
              <c:strCache>
                <c:ptCount val="1"/>
                <c:pt idx="0">
                  <c:v>Solar térmica</c:v>
                </c:pt>
              </c:strCache>
              <c:extLst xmlns:c15="http://schemas.microsoft.com/office/drawing/2012/chart"/>
            </c:strRef>
          </c:tx>
          <c:spPr>
            <a:solidFill>
              <a:srgbClr val="FF0000"/>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Dat_01!$C$203:$O$203</c:f>
              <c:numCache>
                <c:formatCode>#,##0.0</c:formatCode>
                <c:ptCount val="13"/>
                <c:pt idx="0">
                  <c:v>0</c:v>
                </c:pt>
                <c:pt idx="1">
                  <c:v>0</c:v>
                </c:pt>
                <c:pt idx="2">
                  <c:v>1.5</c:v>
                </c:pt>
                <c:pt idx="3">
                  <c:v>0</c:v>
                </c:pt>
                <c:pt idx="4">
                  <c:v>0.8</c:v>
                </c:pt>
                <c:pt idx="5">
                  <c:v>55.4</c:v>
                </c:pt>
                <c:pt idx="6">
                  <c:v>116.7</c:v>
                </c:pt>
                <c:pt idx="7">
                  <c:v>91.5</c:v>
                </c:pt>
                <c:pt idx="8">
                  <c:v>68.7</c:v>
                </c:pt>
                <c:pt idx="9">
                  <c:v>36.5</c:v>
                </c:pt>
                <c:pt idx="10">
                  <c:v>0.3</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Dat_01!$B$204</c:f>
              <c:strCache>
                <c:ptCount val="1"/>
                <c:pt idx="0">
                  <c:v>Turbinación bombeo</c:v>
                </c:pt>
              </c:strCache>
            </c:strRef>
          </c:tx>
          <c:spPr>
            <a:solidFill>
              <a:srgbClr val="95B3D7"/>
            </a:solidFill>
            <a:ln>
              <a:noFill/>
            </a:ln>
            <a:effectLst/>
          </c:spPr>
          <c:invertIfNegative val="0"/>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Dat_01!$C$204:$O$204</c:f>
              <c:numCache>
                <c:formatCode>#,##0.0</c:formatCode>
                <c:ptCount val="13"/>
                <c:pt idx="0">
                  <c:v>25434.1</c:v>
                </c:pt>
                <c:pt idx="1">
                  <c:v>26182.799999999999</c:v>
                </c:pt>
                <c:pt idx="2">
                  <c:v>31341</c:v>
                </c:pt>
                <c:pt idx="3">
                  <c:v>31952</c:v>
                </c:pt>
                <c:pt idx="4">
                  <c:v>36356.300000000003</c:v>
                </c:pt>
                <c:pt idx="5">
                  <c:v>41268.199999999997</c:v>
                </c:pt>
                <c:pt idx="6">
                  <c:v>20483.599999999999</c:v>
                </c:pt>
                <c:pt idx="7">
                  <c:v>23170.3</c:v>
                </c:pt>
                <c:pt idx="8">
                  <c:v>24660.799999999999</c:v>
                </c:pt>
                <c:pt idx="9">
                  <c:v>40197.4</c:v>
                </c:pt>
                <c:pt idx="10">
                  <c:v>24114.5</c:v>
                </c:pt>
                <c:pt idx="11">
                  <c:v>53138.5</c:v>
                </c:pt>
                <c:pt idx="12">
                  <c:v>43785.9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Dat_01!$B$189</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Dat_01!$C$189:$O$189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Dat_01!$B$194</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Dat_01!$C$194:$O$194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Dat_01!$B$196</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Dat_01!$C$196:$O$196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Dat_01!$C$201:$O$201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Dat_01!$C$185:$O$185</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Dat_01!$C$368:$O$368</c:f>
              <c:numCache>
                <c:formatCode>#,##0.00</c:formatCode>
                <c:ptCount val="13"/>
                <c:pt idx="0">
                  <c:v>86.006234750100006</c:v>
                </c:pt>
                <c:pt idx="1">
                  <c:v>41.9035054127</c:v>
                </c:pt>
                <c:pt idx="2">
                  <c:v>57.959635929699999</c:v>
                </c:pt>
                <c:pt idx="3">
                  <c:v>79.950315022699996</c:v>
                </c:pt>
                <c:pt idx="4">
                  <c:v>86.127029421900005</c:v>
                </c:pt>
                <c:pt idx="5">
                  <c:v>95.533937782600006</c:v>
                </c:pt>
                <c:pt idx="6">
                  <c:v>103.90109947249999</c:v>
                </c:pt>
                <c:pt idx="7">
                  <c:v>114.935433015</c:v>
                </c:pt>
                <c:pt idx="8">
                  <c:v>170.42318296529999</c:v>
                </c:pt>
                <c:pt idx="9">
                  <c:v>240.80786999840001</c:v>
                </c:pt>
                <c:pt idx="10">
                  <c:v>225.2778716931</c:v>
                </c:pt>
                <c:pt idx="11">
                  <c:v>286.1835643686</c:v>
                </c:pt>
                <c:pt idx="12">
                  <c:v>246.2468363072</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11"/>
          <c:order val="0"/>
          <c:tx>
            <c:strRef>
              <c:f>Dat_01!$B$247</c:f>
              <c:strCache>
                <c:ptCount val="1"/>
                <c:pt idx="0">
                  <c:v>Adquisición de Energía</c:v>
                </c:pt>
              </c:strCache>
            </c:strRef>
          </c:tx>
          <c:spPr>
            <a:solidFill>
              <a:srgbClr val="FFDD00"/>
            </a:solidFill>
            <a:ln>
              <a:noFill/>
            </a:ln>
            <a:effectLst/>
          </c:spPr>
          <c:invertIfNegative val="0"/>
          <c:val>
            <c:numRef>
              <c:f>Dat_01!$C$247:$O$247</c:f>
              <c:numCache>
                <c:formatCode>#,##0.0</c:formatCode>
                <c:ptCount val="13"/>
                <c:pt idx="0">
                  <c:v>0</c:v>
                </c:pt>
                <c:pt idx="1">
                  <c:v>0</c:v>
                </c:pt>
                <c:pt idx="2">
                  <c:v>0</c:v>
                </c:pt>
                <c:pt idx="3">
                  <c:v>0</c:v>
                </c:pt>
                <c:pt idx="4">
                  <c:v>0</c:v>
                </c:pt>
                <c:pt idx="5">
                  <c:v>0</c:v>
                </c:pt>
                <c:pt idx="6">
                  <c:v>0</c:v>
                </c:pt>
                <c:pt idx="7">
                  <c:v>0</c:v>
                </c:pt>
                <c:pt idx="8">
                  <c:v>0</c:v>
                </c:pt>
                <c:pt idx="9">
                  <c:v>0</c:v>
                </c:pt>
                <c:pt idx="10">
                  <c:v>2</c:v>
                </c:pt>
                <c:pt idx="11">
                  <c:v>0</c:v>
                </c:pt>
                <c:pt idx="12">
                  <c:v>0</c:v>
                </c:pt>
              </c:numCache>
            </c:numRef>
          </c:val>
          <c:extLst>
            <c:ext xmlns:c16="http://schemas.microsoft.com/office/drawing/2014/chart" uri="{C3380CC4-5D6E-409C-BE32-E72D297353CC}">
              <c16:uniqueId val="{00000000-EEF7-41E3-86BF-29F562F37D45}"/>
            </c:ext>
          </c:extLst>
        </c:ser>
        <c:ser>
          <c:idx val="0"/>
          <c:order val="1"/>
          <c:tx>
            <c:strRef>
              <c:f>Dat_01!$B$248</c:f>
              <c:strCache>
                <c:ptCount val="1"/>
                <c:pt idx="0">
                  <c:v>Carbón</c:v>
                </c:pt>
              </c:strCache>
            </c:strRef>
          </c:tx>
          <c:spPr>
            <a:solidFill>
              <a:srgbClr val="993300"/>
            </a:solidFill>
            <a:ln>
              <a:noFill/>
            </a:ln>
            <a:effectLst/>
          </c:spPr>
          <c:invertIfNegative val="0"/>
          <c:val>
            <c:numRef>
              <c:f>Dat_01!$C$248:$O$248</c:f>
              <c:numCache>
                <c:formatCode>#,##0.0</c:formatCode>
                <c:ptCount val="13"/>
                <c:pt idx="0">
                  <c:v>624</c:v>
                </c:pt>
                <c:pt idx="1">
                  <c:v>808.1</c:v>
                </c:pt>
                <c:pt idx="2">
                  <c:v>396</c:v>
                </c:pt>
                <c:pt idx="3">
                  <c:v>1103.0999999999999</c:v>
                </c:pt>
                <c:pt idx="4">
                  <c:v>1344.9</c:v>
                </c:pt>
                <c:pt idx="5">
                  <c:v>90</c:v>
                </c:pt>
                <c:pt idx="6">
                  <c:v>1086</c:v>
                </c:pt>
                <c:pt idx="7">
                  <c:v>269</c:v>
                </c:pt>
                <c:pt idx="8">
                  <c:v>301</c:v>
                </c:pt>
                <c:pt idx="9">
                  <c:v>986.1</c:v>
                </c:pt>
                <c:pt idx="10">
                  <c:v>189.6</c:v>
                </c:pt>
                <c:pt idx="11">
                  <c:v>1762.4</c:v>
                </c:pt>
                <c:pt idx="12">
                  <c:v>431.9</c:v>
                </c:pt>
              </c:numCache>
            </c:numRef>
          </c:val>
          <c:extLst>
            <c:ext xmlns:c16="http://schemas.microsoft.com/office/drawing/2014/chart" uri="{C3380CC4-5D6E-409C-BE32-E72D297353CC}">
              <c16:uniqueId val="{00000000-1D9B-4F90-B2B2-4825475971A1}"/>
            </c:ext>
          </c:extLst>
        </c:ser>
        <c:ser>
          <c:idx val="1"/>
          <c:order val="2"/>
          <c:tx>
            <c:strRef>
              <c:f>Dat_01!$B$249</c:f>
              <c:strCache>
                <c:ptCount val="1"/>
                <c:pt idx="0">
                  <c:v>Ciclo Combinado</c:v>
                </c:pt>
              </c:strCache>
            </c:strRef>
          </c:tx>
          <c:spPr>
            <a:solidFill>
              <a:srgbClr val="FFC000"/>
            </a:solidFill>
            <a:ln>
              <a:noFill/>
            </a:ln>
            <a:effectLst/>
          </c:spPr>
          <c:invertIfNegative val="0"/>
          <c:val>
            <c:numRef>
              <c:f>Dat_01!$C$249:$O$249</c:f>
              <c:numCache>
                <c:formatCode>#,##0.0</c:formatCode>
                <c:ptCount val="13"/>
                <c:pt idx="0">
                  <c:v>27339.5</c:v>
                </c:pt>
                <c:pt idx="1">
                  <c:v>4084.4</c:v>
                </c:pt>
                <c:pt idx="2">
                  <c:v>9167.2999999999993</c:v>
                </c:pt>
                <c:pt idx="3">
                  <c:v>21109</c:v>
                </c:pt>
                <c:pt idx="4">
                  <c:v>6857.9</c:v>
                </c:pt>
                <c:pt idx="5">
                  <c:v>6301.3</c:v>
                </c:pt>
                <c:pt idx="6">
                  <c:v>8544.1</c:v>
                </c:pt>
                <c:pt idx="7">
                  <c:v>6775.2</c:v>
                </c:pt>
                <c:pt idx="8">
                  <c:v>25336.5</c:v>
                </c:pt>
                <c:pt idx="9">
                  <c:v>11670.3</c:v>
                </c:pt>
                <c:pt idx="10">
                  <c:v>4322.2</c:v>
                </c:pt>
                <c:pt idx="11">
                  <c:v>10092.700000000001</c:v>
                </c:pt>
                <c:pt idx="12">
                  <c:v>16303.5</c:v>
                </c:pt>
              </c:numCache>
            </c:numRef>
          </c:val>
          <c:extLst>
            <c:ext xmlns:c16="http://schemas.microsoft.com/office/drawing/2014/chart" uri="{C3380CC4-5D6E-409C-BE32-E72D297353CC}">
              <c16:uniqueId val="{00000001-1D9B-4F90-B2B2-4825475971A1}"/>
            </c:ext>
          </c:extLst>
        </c:ser>
        <c:ser>
          <c:idx val="2"/>
          <c:order val="3"/>
          <c:tx>
            <c:strRef>
              <c:f>Dat_01!$B$250</c:f>
              <c:strCache>
                <c:ptCount val="1"/>
                <c:pt idx="0">
                  <c:v>Cogeneración</c:v>
                </c:pt>
              </c:strCache>
            </c:strRef>
          </c:tx>
          <c:spPr>
            <a:solidFill>
              <a:srgbClr val="CFA2CA"/>
            </a:solidFill>
            <a:ln>
              <a:noFill/>
            </a:ln>
            <a:effectLst/>
          </c:spPr>
          <c:invertIfNegative val="0"/>
          <c:val>
            <c:numRef>
              <c:f>Dat_01!$C$250:$O$250</c:f>
              <c:numCache>
                <c:formatCode>#,##0.0</c:formatCode>
                <c:ptCount val="13"/>
                <c:pt idx="0">
                  <c:v>701.7</c:v>
                </c:pt>
                <c:pt idx="1">
                  <c:v>363.4</c:v>
                </c:pt>
                <c:pt idx="2">
                  <c:v>138</c:v>
                </c:pt>
                <c:pt idx="3">
                  <c:v>36</c:v>
                </c:pt>
                <c:pt idx="4">
                  <c:v>104.3</c:v>
                </c:pt>
                <c:pt idx="5">
                  <c:v>611.9</c:v>
                </c:pt>
                <c:pt idx="6">
                  <c:v>632.1</c:v>
                </c:pt>
                <c:pt idx="7">
                  <c:v>801.3</c:v>
                </c:pt>
                <c:pt idx="8">
                  <c:v>2018</c:v>
                </c:pt>
                <c:pt idx="9">
                  <c:v>960.4</c:v>
                </c:pt>
                <c:pt idx="10">
                  <c:v>260</c:v>
                </c:pt>
                <c:pt idx="11">
                  <c:v>511</c:v>
                </c:pt>
                <c:pt idx="12">
                  <c:v>603.6</c:v>
                </c:pt>
              </c:numCache>
            </c:numRef>
          </c:val>
          <c:extLst>
            <c:ext xmlns:c16="http://schemas.microsoft.com/office/drawing/2014/chart" uri="{C3380CC4-5D6E-409C-BE32-E72D297353CC}">
              <c16:uniqueId val="{00000002-1D9B-4F90-B2B2-4825475971A1}"/>
            </c:ext>
          </c:extLst>
        </c:ser>
        <c:ser>
          <c:idx val="3"/>
          <c:order val="4"/>
          <c:tx>
            <c:strRef>
              <c:f>Dat_01!$B$251</c:f>
              <c:strCache>
                <c:ptCount val="1"/>
                <c:pt idx="0">
                  <c:v>Consumo Bombeo</c:v>
                </c:pt>
              </c:strCache>
            </c:strRef>
          </c:tx>
          <c:spPr>
            <a:solidFill>
              <a:srgbClr val="2C4D75"/>
            </a:solidFill>
            <a:ln>
              <a:noFill/>
            </a:ln>
            <a:effectLst/>
          </c:spPr>
          <c:invertIfNegative val="0"/>
          <c:val>
            <c:numRef>
              <c:f>Dat_01!$C$251:$O$251</c:f>
              <c:numCache>
                <c:formatCode>#,##0.0</c:formatCode>
                <c:ptCount val="13"/>
                <c:pt idx="0">
                  <c:v>25190.3</c:v>
                </c:pt>
                <c:pt idx="1">
                  <c:v>34203</c:v>
                </c:pt>
                <c:pt idx="2">
                  <c:v>42992.3</c:v>
                </c:pt>
                <c:pt idx="3">
                  <c:v>31247.5</c:v>
                </c:pt>
                <c:pt idx="4">
                  <c:v>45409</c:v>
                </c:pt>
                <c:pt idx="5">
                  <c:v>10829.5</c:v>
                </c:pt>
                <c:pt idx="6">
                  <c:v>24300.1</c:v>
                </c:pt>
                <c:pt idx="7">
                  <c:v>13110.1</c:v>
                </c:pt>
                <c:pt idx="8">
                  <c:v>25298.1</c:v>
                </c:pt>
                <c:pt idx="9">
                  <c:v>26699.8</c:v>
                </c:pt>
                <c:pt idx="10">
                  <c:v>15706.7</c:v>
                </c:pt>
                <c:pt idx="11">
                  <c:v>39879.1</c:v>
                </c:pt>
                <c:pt idx="12">
                  <c:v>24652</c:v>
                </c:pt>
              </c:numCache>
            </c:numRef>
          </c:val>
          <c:extLst>
            <c:ext xmlns:c16="http://schemas.microsoft.com/office/drawing/2014/chart" uri="{C3380CC4-5D6E-409C-BE32-E72D297353CC}">
              <c16:uniqueId val="{00000003-1D9B-4F90-B2B2-4825475971A1}"/>
            </c:ext>
          </c:extLst>
        </c:ser>
        <c:ser>
          <c:idx val="4"/>
          <c:order val="5"/>
          <c:tx>
            <c:strRef>
              <c:f>Dat_01!$B$252</c:f>
              <c:strCache>
                <c:ptCount val="1"/>
                <c:pt idx="0">
                  <c:v>Eólica</c:v>
                </c:pt>
              </c:strCache>
            </c:strRef>
          </c:tx>
          <c:spPr>
            <a:solidFill>
              <a:srgbClr val="70AD47"/>
            </a:solidFill>
            <a:ln>
              <a:noFill/>
            </a:ln>
            <a:effectLst/>
          </c:spPr>
          <c:invertIfNegative val="0"/>
          <c:val>
            <c:numRef>
              <c:f>Dat_01!$C$252:$O$252</c:f>
              <c:numCache>
                <c:formatCode>#,##0.0</c:formatCode>
                <c:ptCount val="13"/>
                <c:pt idx="0">
                  <c:v>34060.300000000003</c:v>
                </c:pt>
                <c:pt idx="1">
                  <c:v>42936.4</c:v>
                </c:pt>
                <c:pt idx="2">
                  <c:v>28996.799999999999</c:v>
                </c:pt>
                <c:pt idx="3">
                  <c:v>25533.3</c:v>
                </c:pt>
                <c:pt idx="4">
                  <c:v>35527.1</c:v>
                </c:pt>
                <c:pt idx="5">
                  <c:v>13421.8</c:v>
                </c:pt>
                <c:pt idx="6">
                  <c:v>17519.3</c:v>
                </c:pt>
                <c:pt idx="7">
                  <c:v>13483.2</c:v>
                </c:pt>
                <c:pt idx="8">
                  <c:v>23328.3</c:v>
                </c:pt>
                <c:pt idx="9">
                  <c:v>34355.5</c:v>
                </c:pt>
                <c:pt idx="10">
                  <c:v>21872.400000000001</c:v>
                </c:pt>
                <c:pt idx="11">
                  <c:v>36105.199999999997</c:v>
                </c:pt>
                <c:pt idx="12">
                  <c:v>12996.3</c:v>
                </c:pt>
              </c:numCache>
            </c:numRef>
          </c:val>
          <c:extLst>
            <c:ext xmlns:c16="http://schemas.microsoft.com/office/drawing/2014/chart" uri="{C3380CC4-5D6E-409C-BE32-E72D297353CC}">
              <c16:uniqueId val="{00000004-1D9B-4F90-B2B2-4825475971A1}"/>
            </c:ext>
          </c:extLst>
        </c:ser>
        <c:ser>
          <c:idx val="5"/>
          <c:order val="6"/>
          <c:tx>
            <c:strRef>
              <c:f>Dat_01!$B$253</c:f>
              <c:strCache>
                <c:ptCount val="1"/>
                <c:pt idx="0">
                  <c:v>Hidráulica</c:v>
                </c:pt>
              </c:strCache>
            </c:strRef>
          </c:tx>
          <c:spPr>
            <a:solidFill>
              <a:srgbClr val="0090D1"/>
            </a:solidFill>
            <a:ln>
              <a:noFill/>
            </a:ln>
            <a:effectLst/>
          </c:spPr>
          <c:invertIfNegative val="0"/>
          <c:val>
            <c:numRef>
              <c:f>Dat_01!$C$253:$O$253</c:f>
              <c:numCache>
                <c:formatCode>#,##0.0</c:formatCode>
                <c:ptCount val="13"/>
                <c:pt idx="0">
                  <c:v>20705</c:v>
                </c:pt>
                <c:pt idx="1">
                  <c:v>25722.799999999999</c:v>
                </c:pt>
                <c:pt idx="2">
                  <c:v>12201.4</c:v>
                </c:pt>
                <c:pt idx="3">
                  <c:v>23731.599999999999</c:v>
                </c:pt>
                <c:pt idx="4">
                  <c:v>37248.6</c:v>
                </c:pt>
                <c:pt idx="5">
                  <c:v>19673.599999999999</c:v>
                </c:pt>
                <c:pt idx="6">
                  <c:v>8524.2000000000007</c:v>
                </c:pt>
                <c:pt idx="7">
                  <c:v>5930</c:v>
                </c:pt>
                <c:pt idx="8">
                  <c:v>28317.4</c:v>
                </c:pt>
                <c:pt idx="9">
                  <c:v>6189.5</c:v>
                </c:pt>
                <c:pt idx="10">
                  <c:v>7879.7</c:v>
                </c:pt>
                <c:pt idx="11">
                  <c:v>8975.5</c:v>
                </c:pt>
                <c:pt idx="12">
                  <c:v>2005.4</c:v>
                </c:pt>
              </c:numCache>
            </c:numRef>
          </c:val>
          <c:extLst>
            <c:ext xmlns:c16="http://schemas.microsoft.com/office/drawing/2014/chart" uri="{C3380CC4-5D6E-409C-BE32-E72D297353CC}">
              <c16:uniqueId val="{00000005-1D9B-4F90-B2B2-4825475971A1}"/>
            </c:ext>
          </c:extLst>
        </c:ser>
        <c:ser>
          <c:idx val="6"/>
          <c:order val="7"/>
          <c:tx>
            <c:strRef>
              <c:f>Dat_01!$B$254</c:f>
              <c:strCache>
                <c:ptCount val="1"/>
                <c:pt idx="0">
                  <c:v>Nuclear</c:v>
                </c:pt>
              </c:strCache>
            </c:strRef>
          </c:tx>
          <c:spPr>
            <a:solidFill>
              <a:srgbClr val="2C4D75"/>
            </a:solidFill>
            <a:ln>
              <a:noFill/>
            </a:ln>
            <a:effectLst/>
          </c:spPr>
          <c:invertIfNegative val="0"/>
          <c:val>
            <c:numRef>
              <c:f>Dat_01!$C$254:$O$254</c:f>
              <c:numCache>
                <c:formatCode>#,##0.0</c:formatCode>
                <c:ptCount val="13"/>
                <c:pt idx="0">
                  <c:v>0</c:v>
                </c:pt>
                <c:pt idx="1">
                  <c:v>400</c:v>
                </c:pt>
                <c:pt idx="2">
                  <c:v>0</c:v>
                </c:pt>
                <c:pt idx="3">
                  <c:v>466.5</c:v>
                </c:pt>
                <c:pt idx="4">
                  <c:v>1255</c:v>
                </c:pt>
                <c:pt idx="5">
                  <c:v>1892.6</c:v>
                </c:pt>
                <c:pt idx="6">
                  <c:v>0</c:v>
                </c:pt>
                <c:pt idx="7">
                  <c:v>0</c:v>
                </c:pt>
                <c:pt idx="8">
                  <c:v>441</c:v>
                </c:pt>
                <c:pt idx="9">
                  <c:v>0</c:v>
                </c:pt>
                <c:pt idx="10">
                  <c:v>0</c:v>
                </c:pt>
                <c:pt idx="11">
                  <c:v>2589.8000000000002</c:v>
                </c:pt>
                <c:pt idx="12">
                  <c:v>25</c:v>
                </c:pt>
              </c:numCache>
            </c:numRef>
          </c:val>
          <c:extLst>
            <c:ext xmlns:c16="http://schemas.microsoft.com/office/drawing/2014/chart" uri="{C3380CC4-5D6E-409C-BE32-E72D297353CC}">
              <c16:uniqueId val="{00000006-1D9B-4F90-B2B2-4825475971A1}"/>
            </c:ext>
          </c:extLst>
        </c:ser>
        <c:ser>
          <c:idx val="9"/>
          <c:order val="8"/>
          <c:tx>
            <c:strRef>
              <c:f>Dat_01!$B$255</c:f>
              <c:strCache>
                <c:ptCount val="1"/>
                <c:pt idx="0">
                  <c:v>Solar fotovoltaica</c:v>
                </c:pt>
              </c:strCache>
            </c:strRef>
          </c:tx>
          <c:spPr>
            <a:solidFill>
              <a:srgbClr val="EE6112"/>
            </a:solidFill>
            <a:ln>
              <a:noFill/>
            </a:ln>
            <a:effectLst/>
          </c:spPr>
          <c:invertIfNegative val="0"/>
          <c:val>
            <c:numRef>
              <c:f>Dat_01!$C$255:$O$255</c:f>
              <c:numCache>
                <c:formatCode>#,##0.0</c:formatCode>
                <c:ptCount val="13"/>
                <c:pt idx="0">
                  <c:v>0</c:v>
                </c:pt>
                <c:pt idx="1">
                  <c:v>0</c:v>
                </c:pt>
                <c:pt idx="2">
                  <c:v>0</c:v>
                </c:pt>
                <c:pt idx="3">
                  <c:v>0</c:v>
                </c:pt>
                <c:pt idx="4">
                  <c:v>0</c:v>
                </c:pt>
                <c:pt idx="5">
                  <c:v>0</c:v>
                </c:pt>
                <c:pt idx="6">
                  <c:v>0</c:v>
                </c:pt>
                <c:pt idx="7">
                  <c:v>58</c:v>
                </c:pt>
                <c:pt idx="8">
                  <c:v>400.1</c:v>
                </c:pt>
                <c:pt idx="9">
                  <c:v>824.2</c:v>
                </c:pt>
                <c:pt idx="10">
                  <c:v>145</c:v>
                </c:pt>
                <c:pt idx="11">
                  <c:v>902</c:v>
                </c:pt>
                <c:pt idx="12">
                  <c:v>151.9</c:v>
                </c:pt>
              </c:numCache>
            </c:numRef>
          </c:val>
          <c:extLst>
            <c:ext xmlns:c16="http://schemas.microsoft.com/office/drawing/2014/chart" uri="{C3380CC4-5D6E-409C-BE32-E72D297353CC}">
              <c16:uniqueId val="{00000007-1D9B-4F90-B2B2-4825475971A1}"/>
            </c:ext>
          </c:extLst>
        </c:ser>
        <c:ser>
          <c:idx val="10"/>
          <c:order val="9"/>
          <c:tx>
            <c:strRef>
              <c:f>Dat_01!$B$256</c:f>
              <c:strCache>
                <c:ptCount val="1"/>
                <c:pt idx="0">
                  <c:v>Turbinación bombeo</c:v>
                </c:pt>
              </c:strCache>
              <c:extLst xmlns:c15="http://schemas.microsoft.com/office/drawing/2012/chart"/>
            </c:strRef>
          </c:tx>
          <c:spPr>
            <a:solidFill>
              <a:srgbClr val="95B3D7"/>
            </a:solidFill>
            <a:ln>
              <a:noFill/>
            </a:ln>
            <a:effectLst/>
          </c:spPr>
          <c:invertIfNegative val="0"/>
          <c:val>
            <c:numRef>
              <c:f>Dat_01!$C$256:$O$256</c:f>
              <c:numCache>
                <c:formatCode>#,##0.0</c:formatCode>
                <c:ptCount val="13"/>
                <c:pt idx="0">
                  <c:v>15547.2</c:v>
                </c:pt>
                <c:pt idx="1">
                  <c:v>18514.3</c:v>
                </c:pt>
                <c:pt idx="2">
                  <c:v>11134.6</c:v>
                </c:pt>
                <c:pt idx="3">
                  <c:v>13087.8</c:v>
                </c:pt>
                <c:pt idx="4">
                  <c:v>5407.1</c:v>
                </c:pt>
                <c:pt idx="5">
                  <c:v>2353</c:v>
                </c:pt>
                <c:pt idx="6">
                  <c:v>3741.6</c:v>
                </c:pt>
                <c:pt idx="7">
                  <c:v>8083.8</c:v>
                </c:pt>
                <c:pt idx="8">
                  <c:v>12441</c:v>
                </c:pt>
                <c:pt idx="9">
                  <c:v>4935.3999999999996</c:v>
                </c:pt>
                <c:pt idx="10">
                  <c:v>4127.7</c:v>
                </c:pt>
                <c:pt idx="11">
                  <c:v>13286.1</c:v>
                </c:pt>
                <c:pt idx="12">
                  <c:v>5443.1</c:v>
                </c:pt>
              </c:numCache>
              <c:extLst xmlns:c15="http://schemas.microsoft.com/office/drawing/2012/chart"/>
            </c:numRef>
          </c:val>
          <c:extLst xmlns:c15="http://schemas.microsoft.com/office/drawing/2012/chart">
            <c:ext xmlns:c16="http://schemas.microsoft.com/office/drawing/2014/chart" uri="{C3380CC4-5D6E-409C-BE32-E72D297353CC}">
              <c16:uniqueId val="{00000008-1D9B-4F90-B2B2-4825475971A1}"/>
            </c:ext>
          </c:extLst>
        </c:ser>
        <c:dLbls>
          <c:showLegendKey val="0"/>
          <c:showVal val="0"/>
          <c:showCatName val="0"/>
          <c:showSerName val="0"/>
          <c:showPercent val="0"/>
          <c:showBubbleSize val="0"/>
        </c:dLbls>
        <c:gapWidth val="150"/>
        <c:overlap val="100"/>
        <c:axId val="531378160"/>
        <c:axId val="531378552"/>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Dat_01!$B$265:$N$265</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53.569971114799998</c:v>
                </c:pt>
                <c:pt idx="1">
                  <c:v>20.417349874300001</c:v>
                </c:pt>
                <c:pt idx="2">
                  <c:v>35.717588810300001</c:v>
                </c:pt>
                <c:pt idx="3">
                  <c:v>56.886262934500003</c:v>
                </c:pt>
                <c:pt idx="4">
                  <c:v>47.744860988200003</c:v>
                </c:pt>
                <c:pt idx="5">
                  <c:v>71.347228829499997</c:v>
                </c:pt>
                <c:pt idx="6">
                  <c:v>75.628799988799997</c:v>
                </c:pt>
                <c:pt idx="7">
                  <c:v>90.629518909599994</c:v>
                </c:pt>
                <c:pt idx="8">
                  <c:v>137.6869189626</c:v>
                </c:pt>
                <c:pt idx="9">
                  <c:v>138.74140145710001</c:v>
                </c:pt>
                <c:pt idx="10">
                  <c:v>130.28165660920001</c:v>
                </c:pt>
                <c:pt idx="11">
                  <c:v>150.13627074089999</c:v>
                </c:pt>
                <c:pt idx="12">
                  <c:v>165.01481997799999</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4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538933238948768"/>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Dat_01!$B$237</c:f>
              <c:strCache>
                <c:ptCount val="1"/>
                <c:pt idx="0">
                  <c:v>Carbón</c:v>
                </c:pt>
              </c:strCache>
            </c:strRef>
          </c:tx>
          <c:spPr>
            <a:solidFill>
              <a:srgbClr val="993300"/>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Dat_01!$C$237:$O$237</c:f>
              <c:numCache>
                <c:formatCode>#,##0.0</c:formatCode>
                <c:ptCount val="13"/>
                <c:pt idx="0">
                  <c:v>7444</c:v>
                </c:pt>
                <c:pt idx="1">
                  <c:v>80.8</c:v>
                </c:pt>
                <c:pt idx="2">
                  <c:v>40</c:v>
                </c:pt>
                <c:pt idx="3">
                  <c:v>1272</c:v>
                </c:pt>
                <c:pt idx="4">
                  <c:v>1218</c:v>
                </c:pt>
                <c:pt idx="5">
                  <c:v>2620</c:v>
                </c:pt>
                <c:pt idx="6">
                  <c:v>3730</c:v>
                </c:pt>
                <c:pt idx="7">
                  <c:v>2239.6</c:v>
                </c:pt>
                <c:pt idx="8">
                  <c:v>2513.5</c:v>
                </c:pt>
                <c:pt idx="9">
                  <c:v>6371.9</c:v>
                </c:pt>
                <c:pt idx="10">
                  <c:v>7794.3</c:v>
                </c:pt>
                <c:pt idx="11">
                  <c:v>7972.1</c:v>
                </c:pt>
                <c:pt idx="12">
                  <c:v>6570.2</c:v>
                </c:pt>
              </c:numCache>
            </c:numRef>
          </c:val>
          <c:extLst>
            <c:ext xmlns:c16="http://schemas.microsoft.com/office/drawing/2014/chart" uri="{C3380CC4-5D6E-409C-BE32-E72D297353CC}">
              <c16:uniqueId val="{00000000-FAA4-4CCE-8D4F-74A3A14856A0}"/>
            </c:ext>
          </c:extLst>
        </c:ser>
        <c:ser>
          <c:idx val="18"/>
          <c:order val="1"/>
          <c:tx>
            <c:strRef>
              <c:f>Dat_01!$B$238</c:f>
              <c:strCache>
                <c:ptCount val="1"/>
                <c:pt idx="0">
                  <c:v>Ciclo Combinado</c:v>
                </c:pt>
              </c:strCache>
            </c:strRef>
          </c:tx>
          <c:spPr>
            <a:solidFill>
              <a:srgbClr val="FFCC66"/>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Dat_01!$C$238:$O$238</c:f>
              <c:numCache>
                <c:formatCode>#,##0.0</c:formatCode>
                <c:ptCount val="13"/>
                <c:pt idx="0">
                  <c:v>126506.9</c:v>
                </c:pt>
                <c:pt idx="1">
                  <c:v>24841.5</c:v>
                </c:pt>
                <c:pt idx="2">
                  <c:v>48251</c:v>
                </c:pt>
                <c:pt idx="3">
                  <c:v>90553.5</c:v>
                </c:pt>
                <c:pt idx="4">
                  <c:v>65765</c:v>
                </c:pt>
                <c:pt idx="5">
                  <c:v>105576.1</c:v>
                </c:pt>
                <c:pt idx="6">
                  <c:v>121314.8</c:v>
                </c:pt>
                <c:pt idx="7">
                  <c:v>223722.7</c:v>
                </c:pt>
                <c:pt idx="8">
                  <c:v>130905.60000000001</c:v>
                </c:pt>
                <c:pt idx="9">
                  <c:v>113565.2</c:v>
                </c:pt>
                <c:pt idx="10">
                  <c:v>260394.8</c:v>
                </c:pt>
                <c:pt idx="11">
                  <c:v>169088.6</c:v>
                </c:pt>
                <c:pt idx="12">
                  <c:v>126286.6</c:v>
                </c:pt>
              </c:numCache>
            </c:numRef>
          </c:val>
          <c:extLst>
            <c:ext xmlns:c16="http://schemas.microsoft.com/office/drawing/2014/chart" uri="{C3380CC4-5D6E-409C-BE32-E72D297353CC}">
              <c16:uniqueId val="{00000001-FAA4-4CCE-8D4F-74A3A14856A0}"/>
            </c:ext>
          </c:extLst>
        </c:ser>
        <c:ser>
          <c:idx val="19"/>
          <c:order val="2"/>
          <c:tx>
            <c:strRef>
              <c:f>Dat_01!$B$239</c:f>
              <c:strCache>
                <c:ptCount val="1"/>
                <c:pt idx="0">
                  <c:v>Cogeneración</c:v>
                </c:pt>
              </c:strCache>
            </c:strRef>
          </c:tx>
          <c:spPr>
            <a:solidFill>
              <a:srgbClr val="CFA2CA"/>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Dat_01!$C$239:$O$239</c:f>
              <c:numCache>
                <c:formatCode>#,##0.0</c:formatCode>
                <c:ptCount val="13"/>
                <c:pt idx="0">
                  <c:v>6978.7</c:v>
                </c:pt>
                <c:pt idx="1">
                  <c:v>1216</c:v>
                </c:pt>
                <c:pt idx="2">
                  <c:v>165.1</c:v>
                </c:pt>
                <c:pt idx="3">
                  <c:v>28</c:v>
                </c:pt>
                <c:pt idx="4">
                  <c:v>840.7</c:v>
                </c:pt>
                <c:pt idx="5">
                  <c:v>5187.8</c:v>
                </c:pt>
                <c:pt idx="6">
                  <c:v>5025</c:v>
                </c:pt>
                <c:pt idx="7">
                  <c:v>5084</c:v>
                </c:pt>
                <c:pt idx="8">
                  <c:v>1691.3</c:v>
                </c:pt>
                <c:pt idx="9">
                  <c:v>2101.6</c:v>
                </c:pt>
                <c:pt idx="10">
                  <c:v>4761.8999999999996</c:v>
                </c:pt>
                <c:pt idx="11">
                  <c:v>4082.4</c:v>
                </c:pt>
                <c:pt idx="12">
                  <c:v>3356.8</c:v>
                </c:pt>
              </c:numCache>
            </c:numRef>
          </c:val>
          <c:extLst>
            <c:ext xmlns:c16="http://schemas.microsoft.com/office/drawing/2014/chart" uri="{C3380CC4-5D6E-409C-BE32-E72D297353CC}">
              <c16:uniqueId val="{00000002-FAA4-4CCE-8D4F-74A3A14856A0}"/>
            </c:ext>
          </c:extLst>
        </c:ser>
        <c:ser>
          <c:idx val="20"/>
          <c:order val="3"/>
          <c:tx>
            <c:strRef>
              <c:f>Dat_01!$B$240</c:f>
              <c:strCache>
                <c:ptCount val="1"/>
                <c:pt idx="0">
                  <c:v>Consumo Bombeo</c:v>
                </c:pt>
              </c:strCache>
            </c:strRef>
          </c:tx>
          <c:spPr>
            <a:solidFill>
              <a:srgbClr val="2C4D75"/>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Dat_01!$C$240:$O$240</c:f>
              <c:numCache>
                <c:formatCode>#,##0.0</c:formatCode>
                <c:ptCount val="13"/>
                <c:pt idx="0">
                  <c:v>20802.599999999999</c:v>
                </c:pt>
                <c:pt idx="1">
                  <c:v>17221.099999999999</c:v>
                </c:pt>
                <c:pt idx="2">
                  <c:v>23774.6</c:v>
                </c:pt>
                <c:pt idx="3">
                  <c:v>11321.6</c:v>
                </c:pt>
                <c:pt idx="4">
                  <c:v>8400.9</c:v>
                </c:pt>
                <c:pt idx="5">
                  <c:v>1697</c:v>
                </c:pt>
                <c:pt idx="6">
                  <c:v>3708.5</c:v>
                </c:pt>
                <c:pt idx="7">
                  <c:v>13015.2</c:v>
                </c:pt>
                <c:pt idx="8">
                  <c:v>4917</c:v>
                </c:pt>
                <c:pt idx="9">
                  <c:v>7861</c:v>
                </c:pt>
                <c:pt idx="10">
                  <c:v>8865.5</c:v>
                </c:pt>
                <c:pt idx="11">
                  <c:v>14411.7</c:v>
                </c:pt>
                <c:pt idx="12">
                  <c:v>13716.6</c:v>
                </c:pt>
              </c:numCache>
            </c:numRef>
          </c:val>
          <c:extLst>
            <c:ext xmlns:c16="http://schemas.microsoft.com/office/drawing/2014/chart" uri="{C3380CC4-5D6E-409C-BE32-E72D297353CC}">
              <c16:uniqueId val="{00000003-FAA4-4CCE-8D4F-74A3A14856A0}"/>
            </c:ext>
          </c:extLst>
        </c:ser>
        <c:ser>
          <c:idx val="21"/>
          <c:order val="4"/>
          <c:tx>
            <c:strRef>
              <c:f>Dat_01!$B$241</c:f>
              <c:strCache>
                <c:ptCount val="1"/>
                <c:pt idx="0">
                  <c:v>Eólica</c:v>
                </c:pt>
              </c:strCache>
            </c:strRef>
          </c:tx>
          <c:spPr>
            <a:solidFill>
              <a:srgbClr val="70AD47"/>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Dat_01!$C$241:$O$241</c:f>
              <c:numCache>
                <c:formatCode>#,##0.0</c:formatCode>
                <c:ptCount val="13"/>
                <c:pt idx="0">
                  <c:v>13159.6</c:v>
                </c:pt>
                <c:pt idx="1">
                  <c:v>13957</c:v>
                </c:pt>
                <c:pt idx="2">
                  <c:v>9419.7999999999993</c:v>
                </c:pt>
                <c:pt idx="3">
                  <c:v>7721.9</c:v>
                </c:pt>
                <c:pt idx="4">
                  <c:v>9305.2000000000007</c:v>
                </c:pt>
                <c:pt idx="5">
                  <c:v>12843.8</c:v>
                </c:pt>
                <c:pt idx="6">
                  <c:v>12369.9</c:v>
                </c:pt>
                <c:pt idx="7">
                  <c:v>12519</c:v>
                </c:pt>
                <c:pt idx="8">
                  <c:v>6277.1</c:v>
                </c:pt>
                <c:pt idx="9">
                  <c:v>6030.7</c:v>
                </c:pt>
                <c:pt idx="10">
                  <c:v>22305.4</c:v>
                </c:pt>
                <c:pt idx="11">
                  <c:v>14056.2</c:v>
                </c:pt>
                <c:pt idx="12">
                  <c:v>18556.099999999999</c:v>
                </c:pt>
              </c:numCache>
            </c:numRef>
          </c:val>
          <c:extLst>
            <c:ext xmlns:c16="http://schemas.microsoft.com/office/drawing/2014/chart" uri="{C3380CC4-5D6E-409C-BE32-E72D297353CC}">
              <c16:uniqueId val="{00000004-FAA4-4CCE-8D4F-74A3A14856A0}"/>
            </c:ext>
          </c:extLst>
        </c:ser>
        <c:ser>
          <c:idx val="22"/>
          <c:order val="5"/>
          <c:tx>
            <c:strRef>
              <c:f>Dat_01!$B$242</c:f>
              <c:strCache>
                <c:ptCount val="1"/>
                <c:pt idx="0">
                  <c:v>Hidráulica</c:v>
                </c:pt>
              </c:strCache>
            </c:strRef>
          </c:tx>
          <c:spPr>
            <a:solidFill>
              <a:srgbClr val="0090D1"/>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Dat_01!$C$242:$O$242</c:f>
              <c:numCache>
                <c:formatCode>#,##0.0</c:formatCode>
                <c:ptCount val="13"/>
                <c:pt idx="0">
                  <c:v>68727.899999999994</c:v>
                </c:pt>
                <c:pt idx="1">
                  <c:v>13816.2</c:v>
                </c:pt>
                <c:pt idx="2">
                  <c:v>36880.199999999997</c:v>
                </c:pt>
                <c:pt idx="3">
                  <c:v>31277.5</c:v>
                </c:pt>
                <c:pt idx="4">
                  <c:v>13438.2</c:v>
                </c:pt>
                <c:pt idx="5">
                  <c:v>33778.9</c:v>
                </c:pt>
                <c:pt idx="6">
                  <c:v>30030.1</c:v>
                </c:pt>
                <c:pt idx="7">
                  <c:v>25553.5</c:v>
                </c:pt>
                <c:pt idx="8">
                  <c:v>8332.4</c:v>
                </c:pt>
                <c:pt idx="9">
                  <c:v>12656.8</c:v>
                </c:pt>
                <c:pt idx="10">
                  <c:v>37370.699999999997</c:v>
                </c:pt>
                <c:pt idx="11">
                  <c:v>37289.699999999997</c:v>
                </c:pt>
                <c:pt idx="12">
                  <c:v>44421.9</c:v>
                </c:pt>
              </c:numCache>
            </c:numRef>
          </c:val>
          <c:extLst>
            <c:ext xmlns:c16="http://schemas.microsoft.com/office/drawing/2014/chart" uri="{C3380CC4-5D6E-409C-BE32-E72D297353CC}">
              <c16:uniqueId val="{00000005-FAA4-4CCE-8D4F-74A3A14856A0}"/>
            </c:ext>
          </c:extLst>
        </c:ser>
        <c:ser>
          <c:idx val="23"/>
          <c:order val="6"/>
          <c:tx>
            <c:strRef>
              <c:f>Dat_01!$B$243</c:f>
              <c:strCache>
                <c:ptCount val="1"/>
                <c:pt idx="0">
                  <c:v>Nuclear</c:v>
                </c:pt>
              </c:strCache>
            </c:strRef>
          </c:tx>
          <c:spPr>
            <a:solidFill>
              <a:srgbClr val="464394"/>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Dat_01!$C$243:$O$243</c:f>
              <c:numCache>
                <c:formatCode>#,##0.0</c:formatCode>
                <c:ptCount val="13"/>
                <c:pt idx="0">
                  <c:v>0</c:v>
                </c:pt>
                <c:pt idx="1">
                  <c:v>518.29999999999995</c:v>
                </c:pt>
                <c:pt idx="2">
                  <c:v>0</c:v>
                </c:pt>
                <c:pt idx="3">
                  <c:v>355</c:v>
                </c:pt>
                <c:pt idx="4">
                  <c:v>143</c:v>
                </c:pt>
                <c:pt idx="5">
                  <c:v>555</c:v>
                </c:pt>
                <c:pt idx="6">
                  <c:v>967.6</c:v>
                </c:pt>
                <c:pt idx="7">
                  <c:v>0</c:v>
                </c:pt>
                <c:pt idx="8">
                  <c:v>87</c:v>
                </c:pt>
                <c:pt idx="9">
                  <c:v>0</c:v>
                </c:pt>
                <c:pt idx="10">
                  <c:v>0</c:v>
                </c:pt>
                <c:pt idx="11">
                  <c:v>1050</c:v>
                </c:pt>
                <c:pt idx="12">
                  <c:v>42</c:v>
                </c:pt>
              </c:numCache>
            </c:numRef>
          </c:val>
          <c:extLst>
            <c:ext xmlns:c16="http://schemas.microsoft.com/office/drawing/2014/chart" uri="{C3380CC4-5D6E-409C-BE32-E72D297353CC}">
              <c16:uniqueId val="{00000006-FAA4-4CCE-8D4F-74A3A14856A0}"/>
            </c:ext>
          </c:extLst>
        </c:ser>
        <c:ser>
          <c:idx val="1"/>
          <c:order val="7"/>
          <c:tx>
            <c:strRef>
              <c:f>Dat_01!$B$244</c:f>
              <c:strCache>
                <c:ptCount val="1"/>
                <c:pt idx="0">
                  <c:v>Solar fotovoltaica</c:v>
                </c:pt>
              </c:strCache>
            </c:strRef>
          </c:tx>
          <c:spPr>
            <a:solidFill>
              <a:srgbClr val="70303C"/>
            </a:solidFill>
            <a:ln>
              <a:noFill/>
            </a:ln>
            <a:effectLst/>
          </c:spPr>
          <c:invertIfNegative val="0"/>
          <c:val>
            <c:numRef>
              <c:f>Dat_01!$C$244:$O$244</c:f>
              <c:numCache>
                <c:formatCode>#,##0.0</c:formatCode>
                <c:ptCount val="13"/>
                <c:pt idx="0">
                  <c:v>0</c:v>
                </c:pt>
                <c:pt idx="1">
                  <c:v>0</c:v>
                </c:pt>
                <c:pt idx="2">
                  <c:v>0</c:v>
                </c:pt>
                <c:pt idx="3">
                  <c:v>0</c:v>
                </c:pt>
                <c:pt idx="4">
                  <c:v>0</c:v>
                </c:pt>
                <c:pt idx="5">
                  <c:v>0</c:v>
                </c:pt>
                <c:pt idx="6">
                  <c:v>0</c:v>
                </c:pt>
                <c:pt idx="7">
                  <c:v>57</c:v>
                </c:pt>
                <c:pt idx="8">
                  <c:v>26</c:v>
                </c:pt>
                <c:pt idx="9">
                  <c:v>469.9</c:v>
                </c:pt>
                <c:pt idx="10">
                  <c:v>1030.5999999999999</c:v>
                </c:pt>
                <c:pt idx="11">
                  <c:v>631.20000000000005</c:v>
                </c:pt>
                <c:pt idx="12">
                  <c:v>928.6</c:v>
                </c:pt>
              </c:numCache>
            </c:numRef>
          </c:val>
          <c:extLst>
            <c:ext xmlns:c16="http://schemas.microsoft.com/office/drawing/2014/chart" uri="{C3380CC4-5D6E-409C-BE32-E72D297353CC}">
              <c16:uniqueId val="{00000006-8804-4EE3-B2F3-6DEC3E90E4BD}"/>
            </c:ext>
          </c:extLst>
        </c:ser>
        <c:ser>
          <c:idx val="24"/>
          <c:order val="8"/>
          <c:tx>
            <c:strRef>
              <c:f>Dat_01!$B$245</c:f>
              <c:strCache>
                <c:ptCount val="1"/>
                <c:pt idx="0">
                  <c:v>Turbinación bombeo</c:v>
                </c:pt>
              </c:strCache>
            </c:strRef>
          </c:tx>
          <c:spPr>
            <a:solidFill>
              <a:srgbClr val="95B3D7"/>
            </a:solidFill>
            <a:ln>
              <a:noFill/>
            </a:ln>
            <a:effectLst/>
          </c:spPr>
          <c:invertIfNegative val="0"/>
          <c:cat>
            <c:strRef>
              <c:f>Dat_01!$C$233:$O$233</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Dat_01!$C$245:$O$245</c:f>
              <c:numCache>
                <c:formatCode>#,##0.0</c:formatCode>
                <c:ptCount val="13"/>
                <c:pt idx="0">
                  <c:v>32220.5</c:v>
                </c:pt>
                <c:pt idx="1">
                  <c:v>16521.3</c:v>
                </c:pt>
                <c:pt idx="2">
                  <c:v>10235.700000000001</c:v>
                </c:pt>
                <c:pt idx="3">
                  <c:v>5841.7</c:v>
                </c:pt>
                <c:pt idx="4">
                  <c:v>12740.8</c:v>
                </c:pt>
                <c:pt idx="5">
                  <c:v>19791.2</c:v>
                </c:pt>
                <c:pt idx="6">
                  <c:v>7404.9</c:v>
                </c:pt>
                <c:pt idx="7">
                  <c:v>16638.900000000001</c:v>
                </c:pt>
                <c:pt idx="8">
                  <c:v>5316.1</c:v>
                </c:pt>
                <c:pt idx="9">
                  <c:v>12892.5</c:v>
                </c:pt>
                <c:pt idx="10">
                  <c:v>14816.5</c:v>
                </c:pt>
                <c:pt idx="11">
                  <c:v>33677.5</c:v>
                </c:pt>
                <c:pt idx="12">
                  <c:v>30908.5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Dat_01!$B$246</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Dat_01!$C$246:$O$246</c15:sqref>
                        </c15:formulaRef>
                      </c:ext>
                    </c:extLst>
                    <c:numCache>
                      <c:formatCode>#,##0.0</c:formatCode>
                      <c:ptCount val="13"/>
                      <c:pt idx="0">
                        <c:v>275840.2</c:v>
                      </c:pt>
                      <c:pt idx="1">
                        <c:v>88172.2</c:v>
                      </c:pt>
                      <c:pt idx="2">
                        <c:v>128766.39999999999</c:v>
                      </c:pt>
                      <c:pt idx="3">
                        <c:v>148371.20000000001</c:v>
                      </c:pt>
                      <c:pt idx="4">
                        <c:v>111851.8</c:v>
                      </c:pt>
                      <c:pt idx="5">
                        <c:v>182049.8</c:v>
                      </c:pt>
                      <c:pt idx="6">
                        <c:v>184550.8</c:v>
                      </c:pt>
                      <c:pt idx="7">
                        <c:v>298829.90000000002</c:v>
                      </c:pt>
                      <c:pt idx="8">
                        <c:v>160066</c:v>
                      </c:pt>
                      <c:pt idx="9">
                        <c:v>161949.6</c:v>
                      </c:pt>
                      <c:pt idx="10">
                        <c:v>357339.7</c:v>
                      </c:pt>
                      <c:pt idx="11">
                        <c:v>282259.40000000002</c:v>
                      </c:pt>
                      <c:pt idx="12">
                        <c:v>244787.3</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91.375342974500001</c:v>
                </c:pt>
                <c:pt idx="1">
                  <c:v>38.650501809200001</c:v>
                </c:pt>
                <c:pt idx="2">
                  <c:v>54.2956114829</c:v>
                </c:pt>
                <c:pt idx="3">
                  <c:v>71.592941589099993</c:v>
                </c:pt>
                <c:pt idx="4">
                  <c:v>80.794040087499994</c:v>
                </c:pt>
                <c:pt idx="5">
                  <c:v>91.918076253999999</c:v>
                </c:pt>
                <c:pt idx="6">
                  <c:v>98.235386535000004</c:v>
                </c:pt>
                <c:pt idx="7">
                  <c:v>114.0376449442</c:v>
                </c:pt>
                <c:pt idx="8">
                  <c:v>157.1654032383</c:v>
                </c:pt>
                <c:pt idx="9">
                  <c:v>219.49932259549999</c:v>
                </c:pt>
                <c:pt idx="10">
                  <c:v>227.84488664720001</c:v>
                </c:pt>
                <c:pt idx="11">
                  <c:v>295.90167021050001</c:v>
                </c:pt>
                <c:pt idx="12">
                  <c:v>233.109079568</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40"/>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2'!$D$120:$P$120</c:f>
              <c:numCache>
                <c:formatCode>#,##0.0</c:formatCode>
                <c:ptCount val="13"/>
                <c:pt idx="0">
                  <c:v>275840.2</c:v>
                </c:pt>
                <c:pt idx="1">
                  <c:v>88172.2</c:v>
                </c:pt>
                <c:pt idx="2">
                  <c:v>128766.39999999999</c:v>
                </c:pt>
                <c:pt idx="3">
                  <c:v>148371.20000000001</c:v>
                </c:pt>
                <c:pt idx="4">
                  <c:v>111851.8</c:v>
                </c:pt>
                <c:pt idx="5">
                  <c:v>182049.8</c:v>
                </c:pt>
                <c:pt idx="6">
                  <c:v>184550.8</c:v>
                </c:pt>
                <c:pt idx="7">
                  <c:v>298829.90000000002</c:v>
                </c:pt>
                <c:pt idx="8">
                  <c:v>160066</c:v>
                </c:pt>
                <c:pt idx="9">
                  <c:v>161949.6</c:v>
                </c:pt>
                <c:pt idx="10">
                  <c:v>357339.7</c:v>
                </c:pt>
                <c:pt idx="11">
                  <c:v>282259.40000000002</c:v>
                </c:pt>
                <c:pt idx="12">
                  <c:v>244787.3</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2'!$D$121:$P$121</c:f>
              <c:numCache>
                <c:formatCode>#,##0.0</c:formatCode>
                <c:ptCount val="13"/>
                <c:pt idx="0">
                  <c:v>0</c:v>
                </c:pt>
                <c:pt idx="1">
                  <c:v>16686.7</c:v>
                </c:pt>
                <c:pt idx="2">
                  <c:v>55171.8</c:v>
                </c:pt>
                <c:pt idx="3">
                  <c:v>48949.5</c:v>
                </c:pt>
                <c:pt idx="4">
                  <c:v>17155.7</c:v>
                </c:pt>
                <c:pt idx="5">
                  <c:v>24417.4</c:v>
                </c:pt>
                <c:pt idx="6">
                  <c:v>32356.7</c:v>
                </c:pt>
                <c:pt idx="7">
                  <c:v>10422.799999999999</c:v>
                </c:pt>
                <c:pt idx="8">
                  <c:v>16160</c:v>
                </c:pt>
                <c:pt idx="9">
                  <c:v>22251.7</c:v>
                </c:pt>
                <c:pt idx="10">
                  <c:v>43842.5</c:v>
                </c:pt>
                <c:pt idx="11">
                  <c:v>53460</c:v>
                </c:pt>
                <c:pt idx="12">
                  <c:v>56434</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2'!$D$122:$P$122</c:f>
              <c:numCache>
                <c:formatCode>#,##0.0</c:formatCode>
                <c:ptCount val="13"/>
                <c:pt idx="0">
                  <c:v>36360.300000000003</c:v>
                </c:pt>
                <c:pt idx="1">
                  <c:v>32453.200000000001</c:v>
                </c:pt>
                <c:pt idx="2">
                  <c:v>23771</c:v>
                </c:pt>
                <c:pt idx="3">
                  <c:v>41786.5</c:v>
                </c:pt>
                <c:pt idx="4">
                  <c:v>66602</c:v>
                </c:pt>
                <c:pt idx="5">
                  <c:v>48121.8</c:v>
                </c:pt>
                <c:pt idx="6">
                  <c:v>52628.6</c:v>
                </c:pt>
                <c:pt idx="7">
                  <c:v>35868.400000000001</c:v>
                </c:pt>
                <c:pt idx="8">
                  <c:v>27614.799999999999</c:v>
                </c:pt>
                <c:pt idx="9">
                  <c:v>57303</c:v>
                </c:pt>
                <c:pt idx="10">
                  <c:v>42886.3</c:v>
                </c:pt>
                <c:pt idx="11">
                  <c:v>61129.1</c:v>
                </c:pt>
                <c:pt idx="12">
                  <c:v>41874.5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2'!$D$123:$P$123</c:f>
              <c:numCache>
                <c:formatCode>#,##0.0</c:formatCode>
                <c:ptCount val="13"/>
                <c:pt idx="0">
                  <c:v>226500</c:v>
                </c:pt>
                <c:pt idx="1">
                  <c:v>81934</c:v>
                </c:pt>
                <c:pt idx="2">
                  <c:v>126244</c:v>
                </c:pt>
                <c:pt idx="3">
                  <c:v>127856</c:v>
                </c:pt>
                <c:pt idx="4">
                  <c:v>102428</c:v>
                </c:pt>
                <c:pt idx="5">
                  <c:v>186252</c:v>
                </c:pt>
                <c:pt idx="6">
                  <c:v>201819</c:v>
                </c:pt>
                <c:pt idx="7">
                  <c:v>291448</c:v>
                </c:pt>
                <c:pt idx="8">
                  <c:v>96081.4</c:v>
                </c:pt>
                <c:pt idx="9">
                  <c:v>118365.1</c:v>
                </c:pt>
                <c:pt idx="10">
                  <c:v>343479</c:v>
                </c:pt>
                <c:pt idx="11">
                  <c:v>265922</c:v>
                </c:pt>
                <c:pt idx="12">
                  <c:v>242550</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2'!$D$124:$P$124</c:f>
              <c:numCache>
                <c:formatCode>#,##0.0</c:formatCode>
                <c:ptCount val="13"/>
                <c:pt idx="0">
                  <c:v>124168</c:v>
                </c:pt>
                <c:pt idx="1">
                  <c:v>127032.4</c:v>
                </c:pt>
                <c:pt idx="2">
                  <c:v>105026.4</c:v>
                </c:pt>
                <c:pt idx="3">
                  <c:v>116314.8</c:v>
                </c:pt>
                <c:pt idx="4">
                  <c:v>133153.9</c:v>
                </c:pt>
                <c:pt idx="5">
                  <c:v>55173.7</c:v>
                </c:pt>
                <c:pt idx="6">
                  <c:v>64347.4</c:v>
                </c:pt>
                <c:pt idx="7">
                  <c:v>48510.6</c:v>
                </c:pt>
                <c:pt idx="8">
                  <c:v>117881.4</c:v>
                </c:pt>
                <c:pt idx="9">
                  <c:v>86621.2</c:v>
                </c:pt>
                <c:pt idx="10">
                  <c:v>54505.3</c:v>
                </c:pt>
                <c:pt idx="11">
                  <c:v>114103.8</c:v>
                </c:pt>
                <c:pt idx="12">
                  <c:v>62612.7</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2'!$D$125:$P$125</c:f>
              <c:numCache>
                <c:formatCode>#,##0.0</c:formatCode>
                <c:ptCount val="13"/>
                <c:pt idx="0">
                  <c:v>0</c:v>
                </c:pt>
                <c:pt idx="1">
                  <c:v>3833.9</c:v>
                </c:pt>
                <c:pt idx="2">
                  <c:v>14708.8</c:v>
                </c:pt>
                <c:pt idx="3">
                  <c:v>23425.3</c:v>
                </c:pt>
                <c:pt idx="4">
                  <c:v>29868.1</c:v>
                </c:pt>
                <c:pt idx="5">
                  <c:v>22114.9</c:v>
                </c:pt>
                <c:pt idx="6">
                  <c:v>13794.4</c:v>
                </c:pt>
                <c:pt idx="7">
                  <c:v>10931.6</c:v>
                </c:pt>
                <c:pt idx="8">
                  <c:v>22871.5</c:v>
                </c:pt>
                <c:pt idx="9">
                  <c:v>31842.2</c:v>
                </c:pt>
                <c:pt idx="10">
                  <c:v>24354.5</c:v>
                </c:pt>
                <c:pt idx="11">
                  <c:v>14504.8</c:v>
                </c:pt>
                <c:pt idx="12">
                  <c:v>26635.4</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2'!$D$126:$P$126</c:f>
              <c:numCache>
                <c:formatCode>#,##0.0</c:formatCode>
                <c:ptCount val="13"/>
                <c:pt idx="0">
                  <c:v>55888.5</c:v>
                </c:pt>
                <c:pt idx="1">
                  <c:v>32519.8</c:v>
                </c:pt>
                <c:pt idx="2">
                  <c:v>70500</c:v>
                </c:pt>
                <c:pt idx="3">
                  <c:v>41770</c:v>
                </c:pt>
                <c:pt idx="4">
                  <c:v>36645.5</c:v>
                </c:pt>
                <c:pt idx="5">
                  <c:v>46831.4</c:v>
                </c:pt>
                <c:pt idx="6">
                  <c:v>40614.300000000003</c:v>
                </c:pt>
                <c:pt idx="7">
                  <c:v>27867.9</c:v>
                </c:pt>
                <c:pt idx="8">
                  <c:v>60380.5</c:v>
                </c:pt>
                <c:pt idx="9">
                  <c:v>49868.6</c:v>
                </c:pt>
                <c:pt idx="10">
                  <c:v>51005.7</c:v>
                </c:pt>
                <c:pt idx="11">
                  <c:v>58082.9</c:v>
                </c:pt>
                <c:pt idx="12">
                  <c:v>52718.7</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'Data 2'!$D$127:$P$127</c:f>
              <c:numCache>
                <c:formatCode>#,##0.0</c:formatCode>
                <c:ptCount val="13"/>
                <c:pt idx="0">
                  <c:v>94356</c:v>
                </c:pt>
                <c:pt idx="1">
                  <c:v>108008</c:v>
                </c:pt>
                <c:pt idx="2">
                  <c:v>108770</c:v>
                </c:pt>
                <c:pt idx="3">
                  <c:v>70258.899999999994</c:v>
                </c:pt>
                <c:pt idx="4">
                  <c:v>106486</c:v>
                </c:pt>
                <c:pt idx="5">
                  <c:v>55783</c:v>
                </c:pt>
                <c:pt idx="6">
                  <c:v>51039</c:v>
                </c:pt>
                <c:pt idx="7">
                  <c:v>33637</c:v>
                </c:pt>
                <c:pt idx="8">
                  <c:v>93374</c:v>
                </c:pt>
                <c:pt idx="9">
                  <c:v>45192.800000000003</c:v>
                </c:pt>
                <c:pt idx="10">
                  <c:v>29276</c:v>
                </c:pt>
                <c:pt idx="11">
                  <c:v>55765</c:v>
                </c:pt>
                <c:pt idx="12">
                  <c:v>41421</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Dat_01!$B$270</c:f>
              <c:strCache>
                <c:ptCount val="1"/>
                <c:pt idx="0">
                  <c:v>Carbón</c:v>
                </c:pt>
              </c:strCache>
            </c:strRef>
          </c:tx>
          <c:spPr>
            <a:solidFill>
              <a:srgbClr val="993300"/>
            </a:solidFill>
            <a:ln>
              <a:noFill/>
            </a:ln>
            <a:effectLst/>
          </c:spPr>
          <c:invertIfNegative val="0"/>
          <c:val>
            <c:numRef>
              <c:f>Dat_01!$C$297:$O$297</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Dat_01!$B$283</c:f>
              <c:strCache>
                <c:ptCount val="1"/>
                <c:pt idx="0">
                  <c:v>Ciclo Combinado</c:v>
                </c:pt>
              </c:strCache>
            </c:strRef>
          </c:tx>
          <c:spPr>
            <a:solidFill>
              <a:srgbClr val="FFCC66"/>
            </a:solidFill>
            <a:ln>
              <a:noFill/>
            </a:ln>
            <a:effectLst/>
          </c:spPr>
          <c:invertIfNegative val="0"/>
          <c:val>
            <c:numRef>
              <c:f>Dat_01!$C$283:$O$283</c:f>
              <c:numCache>
                <c:formatCode>#,##0.0</c:formatCode>
                <c:ptCount val="13"/>
                <c:pt idx="0">
                  <c:v>961.7</c:v>
                </c:pt>
                <c:pt idx="1">
                  <c:v>25</c:v>
                </c:pt>
                <c:pt idx="2">
                  <c:v>0</c:v>
                </c:pt>
                <c:pt idx="3">
                  <c:v>3086.3</c:v>
                </c:pt>
                <c:pt idx="4">
                  <c:v>3148.4</c:v>
                </c:pt>
                <c:pt idx="5">
                  <c:v>2750.7</c:v>
                </c:pt>
                <c:pt idx="6">
                  <c:v>1918.5</c:v>
                </c:pt>
                <c:pt idx="7">
                  <c:v>2609.1</c:v>
                </c:pt>
                <c:pt idx="8">
                  <c:v>263.3</c:v>
                </c:pt>
                <c:pt idx="9">
                  <c:v>2541.1</c:v>
                </c:pt>
                <c:pt idx="10">
                  <c:v>0</c:v>
                </c:pt>
                <c:pt idx="11">
                  <c:v>3064.1</c:v>
                </c:pt>
                <c:pt idx="12">
                  <c:v>754.5</c:v>
                </c:pt>
              </c:numCache>
            </c:numRef>
          </c:val>
          <c:extLst>
            <c:ext xmlns:c16="http://schemas.microsoft.com/office/drawing/2014/chart" uri="{C3380CC4-5D6E-409C-BE32-E72D297353CC}">
              <c16:uniqueId val="{00000000-7CA2-4EAD-A708-444D1CD632C6}"/>
            </c:ext>
          </c:extLst>
        </c:ser>
        <c:ser>
          <c:idx val="10"/>
          <c:order val="2"/>
          <c:tx>
            <c:strRef>
              <c:f>Dat_01!$B$284</c:f>
              <c:strCache>
                <c:ptCount val="1"/>
                <c:pt idx="0">
                  <c:v>Cogeneración</c:v>
                </c:pt>
              </c:strCache>
            </c:strRef>
          </c:tx>
          <c:spPr>
            <a:solidFill>
              <a:srgbClr val="CFA2CA"/>
            </a:solidFill>
            <a:ln>
              <a:noFill/>
            </a:ln>
            <a:effectLst/>
          </c:spPr>
          <c:invertIfNegative val="0"/>
          <c:val>
            <c:numRef>
              <c:f>Dat_01!$C$284:$O$284</c:f>
              <c:numCache>
                <c:formatCode>#,##0.0</c:formatCode>
                <c:ptCount val="13"/>
                <c:pt idx="0">
                  <c:v>104.4</c:v>
                </c:pt>
                <c:pt idx="1">
                  <c:v>116.4</c:v>
                </c:pt>
                <c:pt idx="2">
                  <c:v>1089.4000000000001</c:v>
                </c:pt>
                <c:pt idx="3">
                  <c:v>728.2</c:v>
                </c:pt>
                <c:pt idx="4">
                  <c:v>881.6</c:v>
                </c:pt>
                <c:pt idx="5">
                  <c:v>621.4</c:v>
                </c:pt>
                <c:pt idx="6">
                  <c:v>1097.9000000000001</c:v>
                </c:pt>
                <c:pt idx="7">
                  <c:v>2181.9</c:v>
                </c:pt>
                <c:pt idx="8">
                  <c:v>58</c:v>
                </c:pt>
                <c:pt idx="9">
                  <c:v>504.6</c:v>
                </c:pt>
                <c:pt idx="10">
                  <c:v>686.4</c:v>
                </c:pt>
                <c:pt idx="11">
                  <c:v>163.69999999999999</c:v>
                </c:pt>
                <c:pt idx="12">
                  <c:v>626.29999999999995</c:v>
                </c:pt>
              </c:numCache>
            </c:numRef>
          </c:val>
          <c:extLst>
            <c:ext xmlns:c16="http://schemas.microsoft.com/office/drawing/2014/chart" uri="{C3380CC4-5D6E-409C-BE32-E72D297353CC}">
              <c16:uniqueId val="{00000001-7CA2-4EAD-A708-444D1CD632C6}"/>
            </c:ext>
          </c:extLst>
        </c:ser>
        <c:ser>
          <c:idx val="3"/>
          <c:order val="3"/>
          <c:tx>
            <c:strRef>
              <c:f>Dat_01!$B$285</c:f>
              <c:strCache>
                <c:ptCount val="1"/>
                <c:pt idx="0">
                  <c:v>Consumo Bombeo</c:v>
                </c:pt>
              </c:strCache>
            </c:strRef>
          </c:tx>
          <c:spPr>
            <a:solidFill>
              <a:srgbClr val="2C4D75"/>
            </a:solidFill>
            <a:ln>
              <a:noFill/>
            </a:ln>
            <a:effectLst/>
          </c:spPr>
          <c:invertIfNegative val="0"/>
          <c:val>
            <c:numRef>
              <c:f>Dat_01!$C$285:$O$285</c:f>
              <c:numCache>
                <c:formatCode>#,##0.0</c:formatCode>
                <c:ptCount val="13"/>
                <c:pt idx="0">
                  <c:v>12588.9</c:v>
                </c:pt>
                <c:pt idx="1">
                  <c:v>6359.7</c:v>
                </c:pt>
                <c:pt idx="2">
                  <c:v>23705.1</c:v>
                </c:pt>
                <c:pt idx="3">
                  <c:v>47015.3</c:v>
                </c:pt>
                <c:pt idx="4">
                  <c:v>19374</c:v>
                </c:pt>
                <c:pt idx="5">
                  <c:v>10873.4</c:v>
                </c:pt>
                <c:pt idx="6">
                  <c:v>15644.8</c:v>
                </c:pt>
                <c:pt idx="7">
                  <c:v>11984</c:v>
                </c:pt>
                <c:pt idx="8">
                  <c:v>15135.8</c:v>
                </c:pt>
                <c:pt idx="9">
                  <c:v>34828.6</c:v>
                </c:pt>
                <c:pt idx="10">
                  <c:v>67342.600000000006</c:v>
                </c:pt>
                <c:pt idx="11">
                  <c:v>48534.400000000001</c:v>
                </c:pt>
                <c:pt idx="12">
                  <c:v>34195.300000000003</c:v>
                </c:pt>
              </c:numCache>
            </c:numRef>
          </c:val>
          <c:extLst>
            <c:ext xmlns:c16="http://schemas.microsoft.com/office/drawing/2014/chart" uri="{C3380CC4-5D6E-409C-BE32-E72D297353CC}">
              <c16:uniqueId val="{00000002-7CA2-4EAD-A708-444D1CD632C6}"/>
            </c:ext>
          </c:extLst>
        </c:ser>
        <c:ser>
          <c:idx val="4"/>
          <c:order val="4"/>
          <c:tx>
            <c:strRef>
              <c:f>Dat_01!$B$286</c:f>
              <c:strCache>
                <c:ptCount val="1"/>
                <c:pt idx="0">
                  <c:v>Enlace Península Baleares</c:v>
                </c:pt>
              </c:strCache>
            </c:strRef>
          </c:tx>
          <c:spPr>
            <a:solidFill>
              <a:srgbClr val="A99BBD"/>
            </a:solidFill>
            <a:ln>
              <a:noFill/>
            </a:ln>
            <a:effectLst/>
          </c:spPr>
          <c:invertIfNegative val="0"/>
          <c:val>
            <c:numRef>
              <c:f>Dat_01!$C$286:$O$286</c:f>
              <c:numCache>
                <c:formatCode>#,##0.0</c:formatCode>
                <c:ptCount val="13"/>
                <c:pt idx="0">
                  <c:v>171.2</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Dat_01!$B$287</c:f>
              <c:strCache>
                <c:ptCount val="1"/>
                <c:pt idx="0">
                  <c:v>Eólica</c:v>
                </c:pt>
              </c:strCache>
            </c:strRef>
          </c:tx>
          <c:spPr>
            <a:solidFill>
              <a:srgbClr val="70AD47"/>
            </a:solidFill>
            <a:ln>
              <a:noFill/>
            </a:ln>
            <a:effectLst/>
          </c:spPr>
          <c:invertIfNegative val="0"/>
          <c:val>
            <c:numRef>
              <c:f>Dat_01!$C$287:$O$287</c:f>
              <c:numCache>
                <c:formatCode>#,##0.0</c:formatCode>
                <c:ptCount val="13"/>
                <c:pt idx="0">
                  <c:v>15813.4</c:v>
                </c:pt>
                <c:pt idx="1">
                  <c:v>7846.5</c:v>
                </c:pt>
                <c:pt idx="2">
                  <c:v>7599.2</c:v>
                </c:pt>
                <c:pt idx="3">
                  <c:v>47937</c:v>
                </c:pt>
                <c:pt idx="4">
                  <c:v>14568.2</c:v>
                </c:pt>
                <c:pt idx="5">
                  <c:v>4830.6000000000004</c:v>
                </c:pt>
                <c:pt idx="6">
                  <c:v>53940</c:v>
                </c:pt>
                <c:pt idx="7">
                  <c:v>53740.1</c:v>
                </c:pt>
                <c:pt idx="8">
                  <c:v>6986.8</c:v>
                </c:pt>
                <c:pt idx="9">
                  <c:v>20974.2</c:v>
                </c:pt>
                <c:pt idx="10">
                  <c:v>49071.7</c:v>
                </c:pt>
                <c:pt idx="11">
                  <c:v>5474.1</c:v>
                </c:pt>
                <c:pt idx="12">
                  <c:v>26304.6</c:v>
                </c:pt>
              </c:numCache>
            </c:numRef>
          </c:val>
          <c:extLst>
            <c:ext xmlns:c16="http://schemas.microsoft.com/office/drawing/2014/chart" uri="{C3380CC4-5D6E-409C-BE32-E72D297353CC}">
              <c16:uniqueId val="{00000000-1C5B-4735-838D-9CBE7A91C711}"/>
            </c:ext>
          </c:extLst>
        </c:ser>
        <c:ser>
          <c:idx val="5"/>
          <c:order val="6"/>
          <c:tx>
            <c:strRef>
              <c:f>Dat_01!$B$288</c:f>
              <c:strCache>
                <c:ptCount val="1"/>
                <c:pt idx="0">
                  <c:v>Hidráulica</c:v>
                </c:pt>
              </c:strCache>
            </c:strRef>
          </c:tx>
          <c:spPr>
            <a:solidFill>
              <a:srgbClr val="00B0F0"/>
            </a:solidFill>
            <a:ln>
              <a:noFill/>
            </a:ln>
            <a:effectLst/>
          </c:spPr>
          <c:invertIfNegative val="0"/>
          <c:val>
            <c:numRef>
              <c:f>Dat_01!$C$288:$O$288</c:f>
              <c:numCache>
                <c:formatCode>#,##0.0</c:formatCode>
                <c:ptCount val="13"/>
                <c:pt idx="0">
                  <c:v>165.3</c:v>
                </c:pt>
                <c:pt idx="1">
                  <c:v>596.6</c:v>
                </c:pt>
                <c:pt idx="2">
                  <c:v>452.8</c:v>
                </c:pt>
                <c:pt idx="3">
                  <c:v>126</c:v>
                </c:pt>
                <c:pt idx="4">
                  <c:v>211.4</c:v>
                </c:pt>
                <c:pt idx="5">
                  <c:v>121.8</c:v>
                </c:pt>
                <c:pt idx="6">
                  <c:v>707.2</c:v>
                </c:pt>
                <c:pt idx="7">
                  <c:v>489.7</c:v>
                </c:pt>
                <c:pt idx="8">
                  <c:v>204.2</c:v>
                </c:pt>
                <c:pt idx="9">
                  <c:v>56.9</c:v>
                </c:pt>
                <c:pt idx="10">
                  <c:v>271.7</c:v>
                </c:pt>
                <c:pt idx="11">
                  <c:v>38.799999999999997</c:v>
                </c:pt>
                <c:pt idx="12">
                  <c:v>431</c:v>
                </c:pt>
              </c:numCache>
            </c:numRef>
          </c:val>
          <c:extLst>
            <c:ext xmlns:c16="http://schemas.microsoft.com/office/drawing/2014/chart" uri="{C3380CC4-5D6E-409C-BE32-E72D297353CC}">
              <c16:uniqueId val="{00000004-7CA2-4EAD-A708-444D1CD632C6}"/>
            </c:ext>
          </c:extLst>
        </c:ser>
        <c:ser>
          <c:idx val="15"/>
          <c:order val="7"/>
          <c:tx>
            <c:strRef>
              <c:f>Dat_01!$B$289</c:f>
              <c:strCache>
                <c:ptCount val="1"/>
                <c:pt idx="0">
                  <c:v>Internacionales</c:v>
                </c:pt>
              </c:strCache>
            </c:strRef>
          </c:tx>
          <c:spPr>
            <a:solidFill>
              <a:schemeClr val="accent5">
                <a:lumMod val="60000"/>
                <a:lumOff val="40000"/>
              </a:schemeClr>
            </a:solidFill>
            <a:ln>
              <a:noFill/>
            </a:ln>
            <a:effectLst/>
          </c:spPr>
          <c:invertIfNegative val="0"/>
          <c:val>
            <c:numRef>
              <c:f>Dat_01!$C$289:$O$289</c:f>
              <c:numCache>
                <c:formatCode>#,##0.0</c:formatCode>
                <c:ptCount val="13"/>
                <c:pt idx="0">
                  <c:v>0</c:v>
                </c:pt>
                <c:pt idx="1">
                  <c:v>0</c:v>
                </c:pt>
                <c:pt idx="2">
                  <c:v>0</c:v>
                </c:pt>
                <c:pt idx="3">
                  <c:v>0</c:v>
                </c:pt>
                <c:pt idx="4">
                  <c:v>1000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Dat_01!$B$290</c:f>
              <c:strCache>
                <c:ptCount val="1"/>
                <c:pt idx="0">
                  <c:v>Otras Renovables</c:v>
                </c:pt>
              </c:strCache>
            </c:strRef>
          </c:tx>
          <c:spPr>
            <a:solidFill>
              <a:srgbClr val="9A5CBC"/>
            </a:solidFill>
            <a:ln>
              <a:noFill/>
            </a:ln>
            <a:effectLst/>
          </c:spPr>
          <c:invertIfNegative val="0"/>
          <c:val>
            <c:numRef>
              <c:f>Dat_01!$C$290:$O$290</c:f>
              <c:numCache>
                <c:formatCode>#,##0.0</c:formatCode>
                <c:ptCount val="13"/>
                <c:pt idx="0">
                  <c:v>58</c:v>
                </c:pt>
                <c:pt idx="1">
                  <c:v>0</c:v>
                </c:pt>
                <c:pt idx="2">
                  <c:v>116.6</c:v>
                </c:pt>
                <c:pt idx="3">
                  <c:v>326.60000000000002</c:v>
                </c:pt>
                <c:pt idx="4">
                  <c:v>609.5</c:v>
                </c:pt>
                <c:pt idx="5">
                  <c:v>347.3</c:v>
                </c:pt>
                <c:pt idx="6">
                  <c:v>770.3</c:v>
                </c:pt>
                <c:pt idx="7">
                  <c:v>1338.8</c:v>
                </c:pt>
                <c:pt idx="8">
                  <c:v>0</c:v>
                </c:pt>
                <c:pt idx="9">
                  <c:v>659.6</c:v>
                </c:pt>
                <c:pt idx="10">
                  <c:v>794.5</c:v>
                </c:pt>
                <c:pt idx="11">
                  <c:v>117.5</c:v>
                </c:pt>
                <c:pt idx="12">
                  <c:v>574.79999999999995</c:v>
                </c:pt>
              </c:numCache>
            </c:numRef>
          </c:val>
          <c:extLst>
            <c:ext xmlns:c16="http://schemas.microsoft.com/office/drawing/2014/chart" uri="{C3380CC4-5D6E-409C-BE32-E72D297353CC}">
              <c16:uniqueId val="{00000005-7CA2-4EAD-A708-444D1CD632C6}"/>
            </c:ext>
          </c:extLst>
        </c:ser>
        <c:ser>
          <c:idx val="0"/>
          <c:order val="9"/>
          <c:tx>
            <c:strRef>
              <c:f>Dat_01!$B$291</c:f>
              <c:strCache>
                <c:ptCount val="1"/>
                <c:pt idx="0">
                  <c:v>Residuos no Renovables</c:v>
                </c:pt>
              </c:strCache>
            </c:strRef>
          </c:tx>
          <c:spPr>
            <a:solidFill>
              <a:srgbClr val="7F7F7F"/>
            </a:solidFill>
            <a:ln>
              <a:noFill/>
            </a:ln>
            <a:effectLst/>
          </c:spPr>
          <c:invertIfNegative val="0"/>
          <c:val>
            <c:numRef>
              <c:f>Dat_01!$C$291:$O$291</c:f>
              <c:numCache>
                <c:formatCode>#,##0.0</c:formatCode>
                <c:ptCount val="13"/>
                <c:pt idx="0">
                  <c:v>0</c:v>
                </c:pt>
                <c:pt idx="1">
                  <c:v>0</c:v>
                </c:pt>
                <c:pt idx="2">
                  <c:v>75.400000000000006</c:v>
                </c:pt>
                <c:pt idx="3">
                  <c:v>122.8</c:v>
                </c:pt>
                <c:pt idx="4">
                  <c:v>107.9</c:v>
                </c:pt>
                <c:pt idx="5">
                  <c:v>15</c:v>
                </c:pt>
                <c:pt idx="6">
                  <c:v>169.1</c:v>
                </c:pt>
                <c:pt idx="7">
                  <c:v>61.2</c:v>
                </c:pt>
                <c:pt idx="8">
                  <c:v>0</c:v>
                </c:pt>
                <c:pt idx="9">
                  <c:v>0</c:v>
                </c:pt>
                <c:pt idx="10">
                  <c:v>0</c:v>
                </c:pt>
                <c:pt idx="11">
                  <c:v>0</c:v>
                </c:pt>
                <c:pt idx="12">
                  <c:v>3.9</c:v>
                </c:pt>
              </c:numCache>
            </c:numRef>
          </c:val>
          <c:extLst>
            <c:ext xmlns:c16="http://schemas.microsoft.com/office/drawing/2014/chart" uri="{C3380CC4-5D6E-409C-BE32-E72D297353CC}">
              <c16:uniqueId val="{00000006-7CA2-4EAD-A708-444D1CD632C6}"/>
            </c:ext>
          </c:extLst>
        </c:ser>
        <c:ser>
          <c:idx val="8"/>
          <c:order val="10"/>
          <c:tx>
            <c:strRef>
              <c:f>Dat_01!$B$292</c:f>
              <c:strCache>
                <c:ptCount val="1"/>
                <c:pt idx="0">
                  <c:v>Solar fotovoltaica</c:v>
                </c:pt>
              </c:strCache>
            </c:strRef>
          </c:tx>
          <c:spPr>
            <a:solidFill>
              <a:srgbClr val="ED7D31"/>
            </a:solidFill>
            <a:ln>
              <a:noFill/>
            </a:ln>
            <a:effectLst/>
          </c:spPr>
          <c:invertIfNegative val="0"/>
          <c:val>
            <c:numRef>
              <c:f>Dat_01!$C$292:$O$292</c:f>
              <c:numCache>
                <c:formatCode>#,##0.0</c:formatCode>
                <c:ptCount val="13"/>
                <c:pt idx="0">
                  <c:v>94.9</c:v>
                </c:pt>
                <c:pt idx="1">
                  <c:v>0</c:v>
                </c:pt>
                <c:pt idx="2">
                  <c:v>17.600000000000001</c:v>
                </c:pt>
                <c:pt idx="3">
                  <c:v>396.6</c:v>
                </c:pt>
                <c:pt idx="4">
                  <c:v>251.7</c:v>
                </c:pt>
                <c:pt idx="5">
                  <c:v>417.8</c:v>
                </c:pt>
                <c:pt idx="6">
                  <c:v>860.9</c:v>
                </c:pt>
                <c:pt idx="7">
                  <c:v>254.1</c:v>
                </c:pt>
                <c:pt idx="8">
                  <c:v>19.100000000000001</c:v>
                </c:pt>
                <c:pt idx="9">
                  <c:v>686.2</c:v>
                </c:pt>
                <c:pt idx="10">
                  <c:v>557.9</c:v>
                </c:pt>
                <c:pt idx="11">
                  <c:v>22.5</c:v>
                </c:pt>
                <c:pt idx="12">
                  <c:v>78.7</c:v>
                </c:pt>
              </c:numCache>
            </c:numRef>
          </c:val>
          <c:extLst>
            <c:ext xmlns:c16="http://schemas.microsoft.com/office/drawing/2014/chart" uri="{C3380CC4-5D6E-409C-BE32-E72D297353CC}">
              <c16:uniqueId val="{00000008-7CA2-4EAD-A708-444D1CD632C6}"/>
            </c:ext>
          </c:extLst>
        </c:ser>
        <c:ser>
          <c:idx val="9"/>
          <c:order val="11"/>
          <c:tx>
            <c:strRef>
              <c:f>Dat_01!$B$293</c:f>
              <c:strCache>
                <c:ptCount val="1"/>
                <c:pt idx="0">
                  <c:v>Solar térmica</c:v>
                </c:pt>
              </c:strCache>
            </c:strRef>
          </c:tx>
          <c:spPr>
            <a:solidFill>
              <a:srgbClr val="FF0000"/>
            </a:solidFill>
            <a:ln>
              <a:noFill/>
            </a:ln>
            <a:effectLst/>
          </c:spPr>
          <c:invertIfNegative val="0"/>
          <c:val>
            <c:numRef>
              <c:f>Dat_01!$C$293:$O$293</c:f>
              <c:numCache>
                <c:formatCode>#,##0.0</c:formatCode>
                <c:ptCount val="13"/>
                <c:pt idx="0">
                  <c:v>202.5</c:v>
                </c:pt>
                <c:pt idx="1">
                  <c:v>0</c:v>
                </c:pt>
                <c:pt idx="2">
                  <c:v>85.1</c:v>
                </c:pt>
                <c:pt idx="3">
                  <c:v>0</c:v>
                </c:pt>
                <c:pt idx="4">
                  <c:v>26.5</c:v>
                </c:pt>
                <c:pt idx="5">
                  <c:v>4272.2</c:v>
                </c:pt>
                <c:pt idx="6">
                  <c:v>1341.3</c:v>
                </c:pt>
                <c:pt idx="7">
                  <c:v>740.7</c:v>
                </c:pt>
                <c:pt idx="8">
                  <c:v>10</c:v>
                </c:pt>
                <c:pt idx="9">
                  <c:v>2480.3000000000002</c:v>
                </c:pt>
                <c:pt idx="10">
                  <c:v>0</c:v>
                </c:pt>
                <c:pt idx="11">
                  <c:v>0</c:v>
                </c:pt>
                <c:pt idx="12">
                  <c:v>0</c:v>
                </c:pt>
              </c:numCache>
            </c:numRef>
          </c:val>
          <c:extLst>
            <c:ext xmlns:c16="http://schemas.microsoft.com/office/drawing/2014/chart" uri="{C3380CC4-5D6E-409C-BE32-E72D297353CC}">
              <c16:uniqueId val="{00000009-7CA2-4EAD-A708-444D1CD632C6}"/>
            </c:ext>
          </c:extLst>
        </c:ser>
        <c:ser>
          <c:idx val="12"/>
          <c:order val="12"/>
          <c:tx>
            <c:strRef>
              <c:f>Dat_01!$B$294</c:f>
              <c:strCache>
                <c:ptCount val="1"/>
                <c:pt idx="0">
                  <c:v>Turbinación bombeo</c:v>
                </c:pt>
              </c:strCache>
            </c:strRef>
          </c:tx>
          <c:spPr>
            <a:solidFill>
              <a:srgbClr val="95B3D7"/>
            </a:solidFill>
            <a:ln>
              <a:noFill/>
            </a:ln>
            <a:effectLst/>
          </c:spPr>
          <c:invertIfNegative val="0"/>
          <c:val>
            <c:numRef>
              <c:f>Dat_01!$C$294:$O$294</c:f>
              <c:numCache>
                <c:formatCode>#,##0.0</c:formatCode>
                <c:ptCount val="13"/>
                <c:pt idx="0">
                  <c:v>300</c:v>
                </c:pt>
                <c:pt idx="1">
                  <c:v>449</c:v>
                </c:pt>
                <c:pt idx="2">
                  <c:v>49.3</c:v>
                </c:pt>
                <c:pt idx="3">
                  <c:v>609.79999999999995</c:v>
                </c:pt>
                <c:pt idx="4">
                  <c:v>1084</c:v>
                </c:pt>
                <c:pt idx="5">
                  <c:v>206</c:v>
                </c:pt>
                <c:pt idx="6">
                  <c:v>386.7</c:v>
                </c:pt>
                <c:pt idx="7">
                  <c:v>1229</c:v>
                </c:pt>
                <c:pt idx="8">
                  <c:v>0</c:v>
                </c:pt>
                <c:pt idx="9">
                  <c:v>253.2</c:v>
                </c:pt>
                <c:pt idx="10">
                  <c:v>259.89999999999998</c:v>
                </c:pt>
                <c:pt idx="11">
                  <c:v>130</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Dat_01!$C$382:$O$382</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Dat_01!$C$379:$O$379</c:f>
              <c:numCache>
                <c:formatCode>#,##0.00</c:formatCode>
                <c:ptCount val="13"/>
                <c:pt idx="0">
                  <c:v>16.550290240999999</c:v>
                </c:pt>
                <c:pt idx="1">
                  <c:v>8.7021444707000004</c:v>
                </c:pt>
                <c:pt idx="2">
                  <c:v>14.824806007199999</c:v>
                </c:pt>
                <c:pt idx="3">
                  <c:v>17.084072255700001</c:v>
                </c:pt>
                <c:pt idx="4">
                  <c:v>21.128543547700001</c:v>
                </c:pt>
                <c:pt idx="5">
                  <c:v>20.981990845599999</c:v>
                </c:pt>
                <c:pt idx="6">
                  <c:v>11.889897555499999</c:v>
                </c:pt>
                <c:pt idx="7">
                  <c:v>11.1421123764</c:v>
                </c:pt>
                <c:pt idx="8">
                  <c:v>48.938886027000002</c:v>
                </c:pt>
                <c:pt idx="9">
                  <c:v>56.7825392218</c:v>
                </c:pt>
                <c:pt idx="10">
                  <c:v>58.158957931099998</c:v>
                </c:pt>
                <c:pt idx="11">
                  <c:v>100.08318474879999</c:v>
                </c:pt>
                <c:pt idx="12">
                  <c:v>56.674718755900003</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87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25"/>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Dat_01!$C$342</c:f>
              <c:strCache>
                <c:ptCount val="1"/>
                <c:pt idx="0">
                  <c:v>Hidráulica</c:v>
                </c:pt>
              </c:strCache>
            </c:strRef>
          </c:tx>
          <c:spPr>
            <a:solidFill>
              <a:srgbClr val="0090D1"/>
            </a:solidFill>
            <a:ln>
              <a:noFill/>
            </a:ln>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Dat_01!$C$344:$C$356</c:f>
              <c:numCache>
                <c:formatCode>0.0</c:formatCode>
                <c:ptCount val="13"/>
                <c:pt idx="0">
                  <c:v>55.645161290322584</c:v>
                </c:pt>
                <c:pt idx="1">
                  <c:v>43.824404761904759</c:v>
                </c:pt>
                <c:pt idx="2">
                  <c:v>57.053009883198563</c:v>
                </c:pt>
                <c:pt idx="3">
                  <c:v>60.486111111111107</c:v>
                </c:pt>
                <c:pt idx="4">
                  <c:v>56.093189964157702</c:v>
                </c:pt>
                <c:pt idx="5">
                  <c:v>59.050925925925931</c:v>
                </c:pt>
                <c:pt idx="6">
                  <c:v>54.424283154121866</c:v>
                </c:pt>
                <c:pt idx="7">
                  <c:v>51.211305518169581</c:v>
                </c:pt>
                <c:pt idx="8">
                  <c:v>48.585999072786279</c:v>
                </c:pt>
                <c:pt idx="9">
                  <c:v>47.515666965085046</c:v>
                </c:pt>
                <c:pt idx="10">
                  <c:v>40.671296296296305</c:v>
                </c:pt>
                <c:pt idx="11">
                  <c:v>46.102150537634408</c:v>
                </c:pt>
                <c:pt idx="12">
                  <c:v>49.361559139784944</c:v>
                </c:pt>
              </c:numCache>
            </c:numRef>
          </c:val>
          <c:extLst>
            <c:ext xmlns:c16="http://schemas.microsoft.com/office/drawing/2014/chart" uri="{C3380CC4-5D6E-409C-BE32-E72D297353CC}">
              <c16:uniqueId val="{00000000-1098-4846-8912-87805C30CFB4}"/>
            </c:ext>
          </c:extLst>
        </c:ser>
        <c:ser>
          <c:idx val="1"/>
          <c:order val="1"/>
          <c:tx>
            <c:strRef>
              <c:f>Dat_01!$D$342</c:f>
              <c:strCache>
                <c:ptCount val="1"/>
                <c:pt idx="0">
                  <c:v>Bombeo</c:v>
                </c:pt>
              </c:strCache>
            </c:strRef>
          </c:tx>
          <c:spPr>
            <a:solidFill>
              <a:srgbClr val="95B3D7"/>
            </a:solidFill>
            <a:ln>
              <a:noFill/>
            </a:ln>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Dat_01!$D$344:$D$356</c:f>
              <c:numCache>
                <c:formatCode>0.0</c:formatCode>
                <c:ptCount val="13"/>
                <c:pt idx="0">
                  <c:v>11.29032258064516</c:v>
                </c:pt>
                <c:pt idx="1">
                  <c:v>14.211309523809524</c:v>
                </c:pt>
                <c:pt idx="2">
                  <c:v>9.681042228212041</c:v>
                </c:pt>
                <c:pt idx="3">
                  <c:v>8.4722222222222232</c:v>
                </c:pt>
                <c:pt idx="4">
                  <c:v>10.125448028673835</c:v>
                </c:pt>
                <c:pt idx="5">
                  <c:v>3.4722222222222223</c:v>
                </c:pt>
                <c:pt idx="6">
                  <c:v>7.4708781362007164</c:v>
                </c:pt>
                <c:pt idx="7">
                  <c:v>6.9313593539703895</c:v>
                </c:pt>
                <c:pt idx="8">
                  <c:v>7.3945294390356979</c:v>
                </c:pt>
                <c:pt idx="9">
                  <c:v>11.526410026857652</c:v>
                </c:pt>
                <c:pt idx="10">
                  <c:v>9.2824074074074083</c:v>
                </c:pt>
                <c:pt idx="11">
                  <c:v>7.728494623655914</c:v>
                </c:pt>
                <c:pt idx="12">
                  <c:v>6.3284050179211473</c:v>
                </c:pt>
              </c:numCache>
            </c:numRef>
          </c:val>
          <c:extLst>
            <c:ext xmlns:c16="http://schemas.microsoft.com/office/drawing/2014/chart" uri="{C3380CC4-5D6E-409C-BE32-E72D297353CC}">
              <c16:uniqueId val="{00000001-1098-4846-8912-87805C30CFB4}"/>
            </c:ext>
          </c:extLst>
        </c:ser>
        <c:ser>
          <c:idx val="2"/>
          <c:order val="2"/>
          <c:tx>
            <c:strRef>
              <c:f>Dat_01!$E$342</c:f>
              <c:strCache>
                <c:ptCount val="1"/>
                <c:pt idx="0">
                  <c:v>Mibel importación desde sistema eléctrico español</c:v>
                </c:pt>
              </c:strCache>
            </c:strRef>
          </c:tx>
          <c:spPr>
            <a:solidFill>
              <a:srgbClr val="7030A0"/>
            </a:solidFill>
            <a:ln>
              <a:noFill/>
            </a:ln>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Dat_01!$E$344:$E$356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Dat_01!$F$342</c:f>
              <c:strCache>
                <c:ptCount val="1"/>
                <c:pt idx="0">
                  <c:v>Mibel importación desde sistema eléctrico portugués</c:v>
                </c:pt>
              </c:strCache>
            </c:strRef>
          </c:tx>
          <c:spPr>
            <a:solidFill>
              <a:srgbClr val="C0504D"/>
            </a:solidFill>
            <a:ln>
              <a:noFill/>
            </a:ln>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Dat_01!$F$344:$F$356</c:f>
              <c:numCache>
                <c:formatCode>0.0</c:formatCode>
                <c:ptCount val="13"/>
                <c:pt idx="0">
                  <c:v>0</c:v>
                </c:pt>
                <c:pt idx="1">
                  <c:v>0.14880952380952381</c:v>
                </c:pt>
                <c:pt idx="2">
                  <c:v>0.26954177897574128</c:v>
                </c:pt>
                <c:pt idx="3">
                  <c:v>0</c:v>
                </c:pt>
                <c:pt idx="4">
                  <c:v>0</c:v>
                </c:pt>
                <c:pt idx="5">
                  <c:v>0</c:v>
                </c:pt>
                <c:pt idx="6">
                  <c:v>0</c:v>
                </c:pt>
                <c:pt idx="7">
                  <c:v>0</c:v>
                </c:pt>
                <c:pt idx="8">
                  <c:v>0</c:v>
                </c:pt>
                <c:pt idx="9">
                  <c:v>0</c:v>
                </c:pt>
                <c:pt idx="10">
                  <c:v>0.1388888888888889</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Dat_01!$G$342</c:f>
              <c:strCache>
                <c:ptCount val="1"/>
                <c:pt idx="0">
                  <c:v>Ciclo Combinado</c:v>
                </c:pt>
              </c:strCache>
            </c:strRef>
          </c:tx>
          <c:spPr>
            <a:solidFill>
              <a:srgbClr val="FFCC66"/>
            </a:solidFill>
            <a:ln w="25400">
              <a:noFill/>
            </a:ln>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Dat_01!$G$344:$G$356</c:f>
              <c:numCache>
                <c:formatCode>0.0</c:formatCode>
                <c:ptCount val="13"/>
                <c:pt idx="0">
                  <c:v>5.040322580645161</c:v>
                </c:pt>
                <c:pt idx="1">
                  <c:v>3.0009920634920637</c:v>
                </c:pt>
                <c:pt idx="2">
                  <c:v>4.7843665768194068</c:v>
                </c:pt>
                <c:pt idx="3">
                  <c:v>9.7453703703703702</c:v>
                </c:pt>
                <c:pt idx="4">
                  <c:v>7.93010752688172</c:v>
                </c:pt>
                <c:pt idx="5">
                  <c:v>22.847222222222221</c:v>
                </c:pt>
                <c:pt idx="6">
                  <c:v>20.71012544802867</c:v>
                </c:pt>
                <c:pt idx="7">
                  <c:v>20.659488559892328</c:v>
                </c:pt>
                <c:pt idx="8">
                  <c:v>27.677329624478443</c:v>
                </c:pt>
                <c:pt idx="9">
                  <c:v>13.093106535362578</c:v>
                </c:pt>
                <c:pt idx="10">
                  <c:v>25</c:v>
                </c:pt>
                <c:pt idx="11">
                  <c:v>21.841397849462368</c:v>
                </c:pt>
                <c:pt idx="12">
                  <c:v>22.927867383512542</c:v>
                </c:pt>
              </c:numCache>
            </c:numRef>
          </c:val>
          <c:extLst>
            <c:ext xmlns:c16="http://schemas.microsoft.com/office/drawing/2014/chart" uri="{C3380CC4-5D6E-409C-BE32-E72D297353CC}">
              <c16:uniqueId val="{00000004-1098-4846-8912-87805C30CFB4}"/>
            </c:ext>
          </c:extLst>
        </c:ser>
        <c:ser>
          <c:idx val="5"/>
          <c:order val="5"/>
          <c:tx>
            <c:strRef>
              <c:f>Dat_01!$H$342</c:f>
              <c:strCache>
                <c:ptCount val="1"/>
                <c:pt idx="0">
                  <c:v>Térmica convencional</c:v>
                </c:pt>
              </c:strCache>
            </c:strRef>
          </c:tx>
          <c:spPr>
            <a:solidFill>
              <a:srgbClr val="993300"/>
            </a:solidFill>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Dat_01!$H$344:$H$356</c:f>
              <c:numCache>
                <c:formatCode>0.0</c:formatCode>
                <c:ptCount val="13"/>
                <c:pt idx="0">
                  <c:v>6.0483870967741939</c:v>
                </c:pt>
                <c:pt idx="1">
                  <c:v>2.0337301587301586</c:v>
                </c:pt>
                <c:pt idx="2">
                  <c:v>0.87601078167115909</c:v>
                </c:pt>
                <c:pt idx="3">
                  <c:v>5.1620370370370363</c:v>
                </c:pt>
                <c:pt idx="4">
                  <c:v>0.13440860215053765</c:v>
                </c:pt>
                <c:pt idx="5">
                  <c:v>0.625</c:v>
                </c:pt>
                <c:pt idx="6">
                  <c:v>2.486559139784946</c:v>
                </c:pt>
                <c:pt idx="7">
                  <c:v>1.2786002691790039</c:v>
                </c:pt>
                <c:pt idx="8">
                  <c:v>3.2452480296708393</c:v>
                </c:pt>
                <c:pt idx="9">
                  <c:v>3.0214861235452104</c:v>
                </c:pt>
                <c:pt idx="10">
                  <c:v>2.9166666666666665</c:v>
                </c:pt>
                <c:pt idx="11">
                  <c:v>1.3440860215053763</c:v>
                </c:pt>
                <c:pt idx="12">
                  <c:v>4.032258064516129</c:v>
                </c:pt>
              </c:numCache>
            </c:numRef>
          </c:val>
          <c:extLst>
            <c:ext xmlns:c16="http://schemas.microsoft.com/office/drawing/2014/chart" uri="{C3380CC4-5D6E-409C-BE32-E72D297353CC}">
              <c16:uniqueId val="{00000005-1098-4846-8912-87805C30CFB4}"/>
            </c:ext>
          </c:extLst>
        </c:ser>
        <c:ser>
          <c:idx val="6"/>
          <c:order val="6"/>
          <c:tx>
            <c:strRef>
              <c:f>Dat_01!$I$342</c:f>
              <c:strCache>
                <c:ptCount val="1"/>
                <c:pt idx="0">
                  <c:v>Importaciones internacionales</c:v>
                </c:pt>
              </c:strCache>
            </c:strRef>
          </c:tx>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Dat_01!$I$344:$I$356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Dat_01!$J$342</c:f>
              <c:strCache>
                <c:ptCount val="1"/>
                <c:pt idx="0">
                  <c:v>Renovables, Cogeneración y Residuos</c:v>
                </c:pt>
              </c:strCache>
            </c:strRef>
          </c:tx>
          <c:spPr>
            <a:solidFill>
              <a:srgbClr val="808000"/>
            </a:solidFill>
          </c:spPr>
          <c:invertIfNegative val="0"/>
          <c:cat>
            <c:strRef>
              <c:f>Dat_01!$A$344:$A$356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Dat_01!$J$344:$J$356</c:f>
              <c:numCache>
                <c:formatCode>0.0</c:formatCode>
                <c:ptCount val="13"/>
                <c:pt idx="0">
                  <c:v>21.975806451612904</c:v>
                </c:pt>
                <c:pt idx="1">
                  <c:v>36.780753968253968</c:v>
                </c:pt>
                <c:pt idx="2">
                  <c:v>27.336028751123091</c:v>
                </c:pt>
                <c:pt idx="3">
                  <c:v>16.13425925925926</c:v>
                </c:pt>
                <c:pt idx="4">
                  <c:v>25.716845878136201</c:v>
                </c:pt>
                <c:pt idx="5">
                  <c:v>14.004629629629628</c:v>
                </c:pt>
                <c:pt idx="6">
                  <c:v>14.908154121863801</c:v>
                </c:pt>
                <c:pt idx="7">
                  <c:v>19.919246298788696</c:v>
                </c:pt>
                <c:pt idx="8">
                  <c:v>13.096893834028741</c:v>
                </c:pt>
                <c:pt idx="9">
                  <c:v>24.843330349149511</c:v>
                </c:pt>
                <c:pt idx="10">
                  <c:v>21.990740740740737</c:v>
                </c:pt>
                <c:pt idx="11">
                  <c:v>22.983870967741936</c:v>
                </c:pt>
                <c:pt idx="12">
                  <c:v>17.349910394265233</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Dat_01!$B$270</c:f>
              <c:strCache>
                <c:ptCount val="1"/>
                <c:pt idx="0">
                  <c:v>Carbón</c:v>
                </c:pt>
              </c:strCache>
            </c:strRef>
          </c:tx>
          <c:spPr>
            <a:solidFill>
              <a:srgbClr val="993300"/>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Dat_01!$C$270:$O$270</c:f>
              <c:numCache>
                <c:formatCode>#,##0.0</c:formatCode>
                <c:ptCount val="13"/>
                <c:pt idx="0">
                  <c:v>3491</c:v>
                </c:pt>
                <c:pt idx="1">
                  <c:v>4120</c:v>
                </c:pt>
                <c:pt idx="2">
                  <c:v>26</c:v>
                </c:pt>
                <c:pt idx="3">
                  <c:v>0</c:v>
                </c:pt>
                <c:pt idx="4">
                  <c:v>4240</c:v>
                </c:pt>
                <c:pt idx="5">
                  <c:v>1670</c:v>
                </c:pt>
                <c:pt idx="6">
                  <c:v>7219</c:v>
                </c:pt>
                <c:pt idx="7">
                  <c:v>0</c:v>
                </c:pt>
                <c:pt idx="8">
                  <c:v>1190</c:v>
                </c:pt>
                <c:pt idx="9">
                  <c:v>1340</c:v>
                </c:pt>
                <c:pt idx="10">
                  <c:v>165</c:v>
                </c:pt>
                <c:pt idx="11">
                  <c:v>0</c:v>
                </c:pt>
                <c:pt idx="12">
                  <c:v>0</c:v>
                </c:pt>
              </c:numCache>
            </c:numRef>
          </c:val>
          <c:extLst>
            <c:ext xmlns:c16="http://schemas.microsoft.com/office/drawing/2014/chart" uri="{C3380CC4-5D6E-409C-BE32-E72D297353CC}">
              <c16:uniqueId val="{00000000-7774-42DF-8088-56D508489537}"/>
            </c:ext>
          </c:extLst>
        </c:ser>
        <c:ser>
          <c:idx val="4"/>
          <c:order val="1"/>
          <c:tx>
            <c:strRef>
              <c:f>Dat_01!$B$271</c:f>
              <c:strCache>
                <c:ptCount val="1"/>
                <c:pt idx="0">
                  <c:v>Ciclo Combinado</c:v>
                </c:pt>
              </c:strCache>
            </c:strRef>
          </c:tx>
          <c:spPr>
            <a:solidFill>
              <a:srgbClr val="FFCC66"/>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Dat_01!$C$271:$O$271</c:f>
              <c:numCache>
                <c:formatCode>#,##0.0</c:formatCode>
                <c:ptCount val="13"/>
                <c:pt idx="0">
                  <c:v>204562.6</c:v>
                </c:pt>
                <c:pt idx="1">
                  <c:v>158409.29999999999</c:v>
                </c:pt>
                <c:pt idx="2">
                  <c:v>118274.5</c:v>
                </c:pt>
                <c:pt idx="3">
                  <c:v>88785.7</c:v>
                </c:pt>
                <c:pt idx="4">
                  <c:v>55767.6</c:v>
                </c:pt>
                <c:pt idx="5">
                  <c:v>34622.5</c:v>
                </c:pt>
                <c:pt idx="6">
                  <c:v>180584.6</c:v>
                </c:pt>
                <c:pt idx="7">
                  <c:v>209052.1</c:v>
                </c:pt>
                <c:pt idx="8">
                  <c:v>208735.2</c:v>
                </c:pt>
                <c:pt idx="9">
                  <c:v>151473.60000000001</c:v>
                </c:pt>
                <c:pt idx="10">
                  <c:v>115928.8</c:v>
                </c:pt>
                <c:pt idx="11">
                  <c:v>79972.3</c:v>
                </c:pt>
                <c:pt idx="12">
                  <c:v>21421.9</c:v>
                </c:pt>
              </c:numCache>
            </c:numRef>
          </c:val>
          <c:extLst>
            <c:ext xmlns:c16="http://schemas.microsoft.com/office/drawing/2014/chart" uri="{C3380CC4-5D6E-409C-BE32-E72D297353CC}">
              <c16:uniqueId val="{00000001-7774-42DF-8088-56D508489537}"/>
            </c:ext>
          </c:extLst>
        </c:ser>
        <c:ser>
          <c:idx val="5"/>
          <c:order val="2"/>
          <c:tx>
            <c:strRef>
              <c:f>Dat_01!$B$272</c:f>
              <c:strCache>
                <c:ptCount val="1"/>
                <c:pt idx="0">
                  <c:v>Cogeneración</c:v>
                </c:pt>
              </c:strCache>
            </c:strRef>
          </c:tx>
          <c:spPr>
            <a:solidFill>
              <a:srgbClr val="CFA2CA"/>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Dat_01!$C$272:$O$272</c:f>
              <c:numCache>
                <c:formatCode>#,##0.0</c:formatCode>
                <c:ptCount val="13"/>
                <c:pt idx="0">
                  <c:v>0</c:v>
                </c:pt>
                <c:pt idx="1">
                  <c:v>81</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Dat_01!$B$273</c:f>
              <c:strCache>
                <c:ptCount val="1"/>
                <c:pt idx="0">
                  <c:v>Consumo Bombeo</c:v>
                </c:pt>
              </c:strCache>
            </c:strRef>
          </c:tx>
          <c:spPr>
            <a:solidFill>
              <a:srgbClr val="2C4D75"/>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Dat_01!$C$273:$O$273</c:f>
              <c:numCache>
                <c:formatCode>#,##0.0</c:formatCode>
                <c:ptCount val="13"/>
                <c:pt idx="0">
                  <c:v>876.6</c:v>
                </c:pt>
                <c:pt idx="1">
                  <c:v>4082.2</c:v>
                </c:pt>
                <c:pt idx="2">
                  <c:v>303.3</c:v>
                </c:pt>
                <c:pt idx="3">
                  <c:v>134.30000000000001</c:v>
                </c:pt>
                <c:pt idx="4">
                  <c:v>934</c:v>
                </c:pt>
                <c:pt idx="5">
                  <c:v>0</c:v>
                </c:pt>
                <c:pt idx="6">
                  <c:v>1924.9</c:v>
                </c:pt>
                <c:pt idx="7">
                  <c:v>8918.2000000000007</c:v>
                </c:pt>
                <c:pt idx="8">
                  <c:v>0</c:v>
                </c:pt>
                <c:pt idx="9">
                  <c:v>156.19999999999999</c:v>
                </c:pt>
                <c:pt idx="10">
                  <c:v>16.100000000000001</c:v>
                </c:pt>
                <c:pt idx="11">
                  <c:v>260.2</c:v>
                </c:pt>
                <c:pt idx="12">
                  <c:v>131</c:v>
                </c:pt>
              </c:numCache>
            </c:numRef>
          </c:val>
          <c:extLst>
            <c:ext xmlns:c16="http://schemas.microsoft.com/office/drawing/2014/chart" uri="{C3380CC4-5D6E-409C-BE32-E72D297353CC}">
              <c16:uniqueId val="{00000003-7774-42DF-8088-56D508489537}"/>
            </c:ext>
          </c:extLst>
        </c:ser>
        <c:ser>
          <c:idx val="7"/>
          <c:order val="4"/>
          <c:tx>
            <c:strRef>
              <c:f>Dat_01!$B$274</c:f>
              <c:strCache>
                <c:ptCount val="1"/>
                <c:pt idx="0">
                  <c:v>Enlace Península Baleares</c:v>
                </c:pt>
              </c:strCache>
            </c:strRef>
          </c:tx>
          <c:spPr>
            <a:solidFill>
              <a:srgbClr val="A99BBD"/>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Dat_01!$C$274:$O$274</c:f>
              <c:numCache>
                <c:formatCode>#,##0.0</c:formatCode>
                <c:ptCount val="13"/>
                <c:pt idx="0">
                  <c:v>321.5</c:v>
                </c:pt>
                <c:pt idx="1">
                  <c:v>0</c:v>
                </c:pt>
                <c:pt idx="2">
                  <c:v>0</c:v>
                </c:pt>
                <c:pt idx="3">
                  <c:v>119.8</c:v>
                </c:pt>
                <c:pt idx="4">
                  <c:v>0</c:v>
                </c:pt>
                <c:pt idx="5">
                  <c:v>136.69999999999999</c:v>
                </c:pt>
                <c:pt idx="6">
                  <c:v>0</c:v>
                </c:pt>
                <c:pt idx="7">
                  <c:v>0</c:v>
                </c:pt>
                <c:pt idx="8">
                  <c:v>0</c:v>
                </c:pt>
                <c:pt idx="9">
                  <c:v>0</c:v>
                </c:pt>
                <c:pt idx="10">
                  <c:v>30.6</c:v>
                </c:pt>
                <c:pt idx="11">
                  <c:v>0</c:v>
                </c:pt>
                <c:pt idx="12">
                  <c:v>0</c:v>
                </c:pt>
              </c:numCache>
            </c:numRef>
          </c:val>
          <c:extLst>
            <c:ext xmlns:c16="http://schemas.microsoft.com/office/drawing/2014/chart" uri="{C3380CC4-5D6E-409C-BE32-E72D297353CC}">
              <c16:uniqueId val="{00000004-7774-42DF-8088-56D508489537}"/>
            </c:ext>
          </c:extLst>
        </c:ser>
        <c:ser>
          <c:idx val="9"/>
          <c:order val="6"/>
          <c:tx>
            <c:strRef>
              <c:f>Dat_01!$B$276</c:f>
              <c:strCache>
                <c:ptCount val="1"/>
                <c:pt idx="0">
                  <c:v>Hidráulica</c:v>
                </c:pt>
              </c:strCache>
              <c:extLst xmlns:c15="http://schemas.microsoft.com/office/drawing/2012/chart"/>
            </c:strRef>
          </c:tx>
          <c:spPr>
            <a:solidFill>
              <a:srgbClr val="0090D1"/>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Dat_01!$C$276:$O$276</c:f>
              <c:numCache>
                <c:formatCode>#,##0.0</c:formatCode>
                <c:ptCount val="13"/>
                <c:pt idx="0">
                  <c:v>0</c:v>
                </c:pt>
                <c:pt idx="1">
                  <c:v>0</c:v>
                </c:pt>
                <c:pt idx="2">
                  <c:v>0</c:v>
                </c:pt>
                <c:pt idx="3">
                  <c:v>0</c:v>
                </c:pt>
                <c:pt idx="4">
                  <c:v>215</c:v>
                </c:pt>
                <c:pt idx="5">
                  <c:v>121.8</c:v>
                </c:pt>
                <c:pt idx="6">
                  <c:v>0</c:v>
                </c:pt>
                <c:pt idx="7">
                  <c:v>0</c:v>
                </c:pt>
                <c:pt idx="8">
                  <c:v>34.4</c:v>
                </c:pt>
                <c:pt idx="9">
                  <c:v>130</c:v>
                </c:pt>
                <c:pt idx="10">
                  <c:v>0</c:v>
                </c:pt>
                <c:pt idx="11">
                  <c:v>196.2</c:v>
                </c:pt>
                <c:pt idx="12">
                  <c:v>11.7</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Dat_01!$B$277</c:f>
              <c:strCache>
                <c:ptCount val="1"/>
                <c:pt idx="0">
                  <c:v>Internacionales</c:v>
                </c:pt>
              </c:strCache>
              <c:extLst xmlns:c15="http://schemas.microsoft.com/office/drawing/2012/chart"/>
            </c:strRef>
          </c:tx>
          <c:spPr>
            <a:solidFill>
              <a:srgbClr val="91C3D5"/>
            </a:solidFill>
            <a:ln>
              <a:noFill/>
            </a:ln>
            <a:effectLst/>
          </c:spPr>
          <c:invertIfNegative val="0"/>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Dat_01!$C$277:$O$277</c:f>
              <c:numCache>
                <c:formatCode>#,##0.0</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Dat_01!$B$281</c:f>
              <c:strCache>
                <c:ptCount val="1"/>
                <c:pt idx="0">
                  <c:v>Turbinación bombeo</c:v>
                </c:pt>
              </c:strCache>
            </c:strRef>
          </c:tx>
          <c:spPr>
            <a:solidFill>
              <a:srgbClr val="95B3D7"/>
            </a:solidFill>
            <a:ln>
              <a:noFill/>
            </a:ln>
            <a:effectLst/>
          </c:spPr>
          <c:invertIfNegative val="0"/>
          <c:val>
            <c:numRef>
              <c:f>Dat_01!$C$281:$O$281</c:f>
              <c:numCache>
                <c:formatCode>#,##0.0</c:formatCode>
                <c:ptCount val="13"/>
                <c:pt idx="0">
                  <c:v>1674.7</c:v>
                </c:pt>
                <c:pt idx="1">
                  <c:v>349.9</c:v>
                </c:pt>
                <c:pt idx="2">
                  <c:v>423.9</c:v>
                </c:pt>
                <c:pt idx="3">
                  <c:v>1696.6</c:v>
                </c:pt>
                <c:pt idx="4">
                  <c:v>760.7</c:v>
                </c:pt>
                <c:pt idx="5">
                  <c:v>3610.8</c:v>
                </c:pt>
                <c:pt idx="6">
                  <c:v>3801.6</c:v>
                </c:pt>
                <c:pt idx="7">
                  <c:v>16379.8</c:v>
                </c:pt>
                <c:pt idx="8">
                  <c:v>1592.2</c:v>
                </c:pt>
                <c:pt idx="9">
                  <c:v>4869.5</c:v>
                </c:pt>
                <c:pt idx="10">
                  <c:v>373.4</c:v>
                </c:pt>
                <c:pt idx="11">
                  <c:v>1577.4</c:v>
                </c:pt>
                <c:pt idx="12">
                  <c:v>3055.8</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Dat_01!$B$275</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Dat_01!$C$266:$O$266</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Dat_01!$C$275:$O$275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Dat_01!$B$278</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Dat_01!$C$266:$O$266</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Dat_01!$B$279</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Dat_01!$B$280</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Dat_01!$C$266:$O$266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Dat_01!$C$370:$O$370</c:f>
              <c:numCache>
                <c:formatCode>#,##0.00</c:formatCode>
                <c:ptCount val="13"/>
                <c:pt idx="0">
                  <c:v>183.15712205770001</c:v>
                </c:pt>
                <c:pt idx="1">
                  <c:v>124.1140106344</c:v>
                </c:pt>
                <c:pt idx="2">
                  <c:v>151.4769792452</c:v>
                </c:pt>
                <c:pt idx="3">
                  <c:v>180.75264028550001</c:v>
                </c:pt>
                <c:pt idx="4">
                  <c:v>186.08636778409999</c:v>
                </c:pt>
                <c:pt idx="5">
                  <c:v>207.6679429209</c:v>
                </c:pt>
                <c:pt idx="6">
                  <c:v>191.34998147580001</c:v>
                </c:pt>
                <c:pt idx="7">
                  <c:v>191.4136451741</c:v>
                </c:pt>
                <c:pt idx="8">
                  <c:v>292.89413231179998</c:v>
                </c:pt>
                <c:pt idx="9">
                  <c:v>414.01754011700001</c:v>
                </c:pt>
                <c:pt idx="10">
                  <c:v>555.8437887668</c:v>
                </c:pt>
                <c:pt idx="11">
                  <c:v>803.59752152579995</c:v>
                </c:pt>
                <c:pt idx="12">
                  <c:v>859.25313398649996</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50000"/>
        <c:dispUnits>
          <c:builtInUnit val="thousands"/>
        </c:dispUnits>
      </c:valAx>
      <c:valAx>
        <c:axId val="531376200"/>
        <c:scaling>
          <c:orientation val="minMax"/>
          <c:max val="900"/>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125"/>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Dat_01!$D$67:$D$79</c:f>
              <c:numCache>
                <c:formatCode>0.00</c:formatCode>
                <c:ptCount val="13"/>
                <c:pt idx="0">
                  <c:v>63.63</c:v>
                </c:pt>
                <c:pt idx="1">
                  <c:v>29.84</c:v>
                </c:pt>
                <c:pt idx="2">
                  <c:v>46.37</c:v>
                </c:pt>
                <c:pt idx="3">
                  <c:v>66.17</c:v>
                </c:pt>
                <c:pt idx="4">
                  <c:v>67.900000000000006</c:v>
                </c:pt>
                <c:pt idx="5">
                  <c:v>83.91</c:v>
                </c:pt>
                <c:pt idx="6">
                  <c:v>92.78</c:v>
                </c:pt>
                <c:pt idx="7">
                  <c:v>106.41</c:v>
                </c:pt>
                <c:pt idx="8">
                  <c:v>156.53</c:v>
                </c:pt>
                <c:pt idx="9">
                  <c:v>202.57</c:v>
                </c:pt>
                <c:pt idx="10">
                  <c:v>197.49</c:v>
                </c:pt>
                <c:pt idx="11">
                  <c:v>245.64</c:v>
                </c:pt>
                <c:pt idx="12">
                  <c:v>205.75</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Dat_01!$E$67:$E$79</c:f>
              <c:numCache>
                <c:formatCode>0.00</c:formatCode>
                <c:ptCount val="13"/>
                <c:pt idx="0">
                  <c:v>3.72</c:v>
                </c:pt>
                <c:pt idx="1">
                  <c:v>3.9999999999999996</c:v>
                </c:pt>
                <c:pt idx="2">
                  <c:v>3.26</c:v>
                </c:pt>
                <c:pt idx="3">
                  <c:v>3.02</c:v>
                </c:pt>
                <c:pt idx="4">
                  <c:v>3.91</c:v>
                </c:pt>
                <c:pt idx="5">
                  <c:v>3</c:v>
                </c:pt>
                <c:pt idx="6">
                  <c:v>3.0899999999999994</c:v>
                </c:pt>
                <c:pt idx="7">
                  <c:v>4.6100000000000003</c:v>
                </c:pt>
                <c:pt idx="8">
                  <c:v>3.91</c:v>
                </c:pt>
                <c:pt idx="9">
                  <c:v>6.73</c:v>
                </c:pt>
                <c:pt idx="10">
                  <c:v>5.9800000000000013</c:v>
                </c:pt>
                <c:pt idx="11">
                  <c:v>5.95</c:v>
                </c:pt>
                <c:pt idx="12">
                  <c:v>3.78</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Dat_01!$F$67:$F$79</c:f>
              <c:numCache>
                <c:formatCode>0.00</c:formatCode>
                <c:ptCount val="13"/>
                <c:pt idx="0">
                  <c:v>3.02</c:v>
                </c:pt>
                <c:pt idx="1">
                  <c:v>2.98</c:v>
                </c:pt>
                <c:pt idx="2">
                  <c:v>2.38</c:v>
                </c:pt>
                <c:pt idx="3">
                  <c:v>2.31</c:v>
                </c:pt>
                <c:pt idx="4">
                  <c:v>2.2200000000000002</c:v>
                </c:pt>
                <c:pt idx="5">
                  <c:v>0.3</c:v>
                </c:pt>
                <c:pt idx="6">
                  <c:v>0.54</c:v>
                </c:pt>
                <c:pt idx="7">
                  <c:v>0.31</c:v>
                </c:pt>
                <c:pt idx="8">
                  <c:v>0.31</c:v>
                </c:pt>
                <c:pt idx="9">
                  <c:v>0.26</c:v>
                </c:pt>
                <c:pt idx="10">
                  <c:v>0.38</c:v>
                </c:pt>
                <c:pt idx="11">
                  <c:v>0.54</c:v>
                </c:pt>
                <c:pt idx="12">
                  <c:v>0.43</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744902209804419"/>
                  <c:y val="-0.168302882646376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Servicio interrumpibilidad</c:v>
                </c:pt>
                <c:pt idx="3">
                  <c:v>Servicios de ajuste</c:v>
                </c:pt>
              </c:strCache>
            </c:strRef>
          </c:cat>
          <c:val>
            <c:numRef>
              <c:f>Dat_01!$D$94:$G$94</c:f>
              <c:numCache>
                <c:formatCode>0.00</c:formatCode>
                <c:ptCount val="4"/>
                <c:pt idx="0">
                  <c:v>205.75</c:v>
                </c:pt>
                <c:pt idx="1">
                  <c:v>0.43</c:v>
                </c:pt>
                <c:pt idx="2">
                  <c:v>0</c:v>
                </c:pt>
                <c:pt idx="3">
                  <c:v>3.78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Dat_01!$B$83:$N$83</c:f>
              <c:numCache>
                <c:formatCode>#,##0.00</c:formatCode>
                <c:ptCount val="13"/>
                <c:pt idx="0">
                  <c:v>1.8</c:v>
                </c:pt>
                <c:pt idx="1">
                  <c:v>2.14</c:v>
                </c:pt>
                <c:pt idx="2">
                  <c:v>1.99</c:v>
                </c:pt>
                <c:pt idx="3">
                  <c:v>1.7</c:v>
                </c:pt>
                <c:pt idx="4">
                  <c:v>2.4900000000000002</c:v>
                </c:pt>
                <c:pt idx="5">
                  <c:v>1.96</c:v>
                </c:pt>
                <c:pt idx="6">
                  <c:v>1.21</c:v>
                </c:pt>
                <c:pt idx="7">
                  <c:v>2.0699999999999998</c:v>
                </c:pt>
                <c:pt idx="8">
                  <c:v>1.02</c:v>
                </c:pt>
                <c:pt idx="9">
                  <c:v>2.44</c:v>
                </c:pt>
                <c:pt idx="10">
                  <c:v>1.49</c:v>
                </c:pt>
                <c:pt idx="11">
                  <c:v>1.8</c:v>
                </c:pt>
                <c:pt idx="12">
                  <c:v>1.25</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Dat_01!$B$84:$N$84</c:f>
              <c:numCache>
                <c:formatCode>#,##0.00</c:formatCode>
                <c:ptCount val="13"/>
                <c:pt idx="0">
                  <c:v>0.95</c:v>
                </c:pt>
                <c:pt idx="1">
                  <c:v>0.67</c:v>
                </c:pt>
                <c:pt idx="2">
                  <c:v>0.53</c:v>
                </c:pt>
                <c:pt idx="3">
                  <c:v>0.67</c:v>
                </c:pt>
                <c:pt idx="4">
                  <c:v>0.42</c:v>
                </c:pt>
                <c:pt idx="5">
                  <c:v>0.3</c:v>
                </c:pt>
                <c:pt idx="6">
                  <c:v>1.08</c:v>
                </c:pt>
                <c:pt idx="7">
                  <c:v>1.19</c:v>
                </c:pt>
                <c:pt idx="8">
                  <c:v>1.43</c:v>
                </c:pt>
                <c:pt idx="9">
                  <c:v>1.87</c:v>
                </c:pt>
                <c:pt idx="10">
                  <c:v>2.4500000000000002</c:v>
                </c:pt>
                <c:pt idx="11">
                  <c:v>2.2799999999999998</c:v>
                </c:pt>
                <c:pt idx="12">
                  <c:v>1.05</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Dat_01!$B$85:$N$85</c:f>
              <c:numCache>
                <c:formatCode>#,##0.00</c:formatCode>
                <c:ptCount val="13"/>
                <c:pt idx="0">
                  <c:v>0.71</c:v>
                </c:pt>
                <c:pt idx="1">
                  <c:v>1.1599999999999999</c:v>
                </c:pt>
                <c:pt idx="2">
                  <c:v>0.66</c:v>
                </c:pt>
                <c:pt idx="3">
                  <c:v>0.57999999999999996</c:v>
                </c:pt>
                <c:pt idx="4">
                  <c:v>0.97</c:v>
                </c:pt>
                <c:pt idx="5">
                  <c:v>0.73</c:v>
                </c:pt>
                <c:pt idx="6">
                  <c:v>0.72</c:v>
                </c:pt>
                <c:pt idx="7">
                  <c:v>1.17</c:v>
                </c:pt>
                <c:pt idx="8">
                  <c:v>1.23</c:v>
                </c:pt>
                <c:pt idx="9">
                  <c:v>1.97</c:v>
                </c:pt>
                <c:pt idx="10">
                  <c:v>1.6</c:v>
                </c:pt>
                <c:pt idx="11">
                  <c:v>1.5</c:v>
                </c:pt>
                <c:pt idx="12">
                  <c:v>1.02</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Dat_01!$B$86:$N$86</c:f>
              <c:numCache>
                <c:formatCode>#,##0.00</c:formatCode>
                <c:ptCount val="13"/>
                <c:pt idx="0">
                  <c:v>-0.05</c:v>
                </c:pt>
                <c:pt idx="1">
                  <c:v>-0.02</c:v>
                </c:pt>
                <c:pt idx="2">
                  <c:v>-0.02</c:v>
                </c:pt>
                <c:pt idx="3">
                  <c:v>-0.04</c:v>
                </c:pt>
                <c:pt idx="4">
                  <c:v>-0.04</c:v>
                </c:pt>
                <c:pt idx="5">
                  <c:v>-0.04</c:v>
                </c:pt>
                <c:pt idx="6">
                  <c:v>-0.04</c:v>
                </c:pt>
                <c:pt idx="7">
                  <c:v>-0.04</c:v>
                </c:pt>
                <c:pt idx="8">
                  <c:v>-0.09</c:v>
                </c:pt>
                <c:pt idx="9">
                  <c:v>-0.13</c:v>
                </c:pt>
                <c:pt idx="10">
                  <c:v>-0.13</c:v>
                </c:pt>
                <c:pt idx="11">
                  <c:v>-0.27</c:v>
                </c:pt>
                <c:pt idx="12">
                  <c:v>-0.18</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Dat_01!$B$87:$N$87</c:f>
              <c:numCache>
                <c:formatCode>#,##0.00</c:formatCode>
                <c:ptCount val="13"/>
                <c:pt idx="0">
                  <c:v>0.49</c:v>
                </c:pt>
                <c:pt idx="1">
                  <c:v>0.24</c:v>
                </c:pt>
                <c:pt idx="2">
                  <c:v>0.25</c:v>
                </c:pt>
                <c:pt idx="3">
                  <c:v>0.25</c:v>
                </c:pt>
                <c:pt idx="4">
                  <c:v>0.28999999999999998</c:v>
                </c:pt>
                <c:pt idx="5">
                  <c:v>0.25</c:v>
                </c:pt>
                <c:pt idx="6">
                  <c:v>0.15</c:v>
                </c:pt>
                <c:pt idx="7">
                  <c:v>0.32</c:v>
                </c:pt>
                <c:pt idx="8">
                  <c:v>0.56999999999999995</c:v>
                </c:pt>
                <c:pt idx="9">
                  <c:v>0.5</c:v>
                </c:pt>
                <c:pt idx="10">
                  <c:v>0.42</c:v>
                </c:pt>
                <c:pt idx="11">
                  <c:v>0.86</c:v>
                </c:pt>
                <c:pt idx="12">
                  <c:v>0.64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Dat_01!$B$88:$N$88</c:f>
              <c:numCache>
                <c:formatCode>#,##0.00</c:formatCode>
                <c:ptCount val="13"/>
                <c:pt idx="0">
                  <c:v>-0.2</c:v>
                </c:pt>
                <c:pt idx="1">
                  <c:v>-0.13</c:v>
                </c:pt>
                <c:pt idx="2">
                  <c:v>-0.1</c:v>
                </c:pt>
                <c:pt idx="3">
                  <c:v>-0.13</c:v>
                </c:pt>
                <c:pt idx="4">
                  <c:v>-0.17</c:v>
                </c:pt>
                <c:pt idx="5">
                  <c:v>-0.12</c:v>
                </c:pt>
                <c:pt idx="6">
                  <c:v>0.01</c:v>
                </c:pt>
                <c:pt idx="7">
                  <c:v>-0.05</c:v>
                </c:pt>
                <c:pt idx="8">
                  <c:v>-0.25</c:v>
                </c:pt>
                <c:pt idx="9">
                  <c:v>0.16</c:v>
                </c:pt>
                <c:pt idx="10">
                  <c:v>0.19</c:v>
                </c:pt>
                <c:pt idx="11">
                  <c:v>-0.19</c:v>
                </c:pt>
                <c:pt idx="12">
                  <c:v>0.04</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Dat_01!$B$89:$N$89</c:f>
              <c:numCache>
                <c:formatCode>#,##0.00</c:formatCode>
                <c:ptCount val="13"/>
                <c:pt idx="0">
                  <c:v>0</c:v>
                </c:pt>
                <c:pt idx="1">
                  <c:v>-7.0000000000000007E-2</c:v>
                </c:pt>
                <c:pt idx="2">
                  <c:v>-0.06</c:v>
                </c:pt>
                <c:pt idx="3">
                  <c:v>-0.06</c:v>
                </c:pt>
                <c:pt idx="4">
                  <c:v>-7.0000000000000007E-2</c:v>
                </c:pt>
                <c:pt idx="5">
                  <c:v>-7.0000000000000007E-2</c:v>
                </c:pt>
                <c:pt idx="6">
                  <c:v>-7.0000000000000007E-2</c:v>
                </c:pt>
                <c:pt idx="7">
                  <c:v>-0.06</c:v>
                </c:pt>
                <c:pt idx="8">
                  <c:v>-0.06</c:v>
                </c:pt>
                <c:pt idx="9">
                  <c:v>-7.0000000000000007E-2</c:v>
                </c:pt>
                <c:pt idx="10">
                  <c:v>-0.08</c:v>
                </c:pt>
                <c:pt idx="11">
                  <c:v>-0.08</c:v>
                </c:pt>
                <c:pt idx="12">
                  <c:v>-0.08</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0.02</c:v>
                </c:pt>
                <c:pt idx="1">
                  <c:v>0.01</c:v>
                </c:pt>
                <c:pt idx="2">
                  <c:v>0.01</c:v>
                </c:pt>
                <c:pt idx="3">
                  <c:v>0.05</c:v>
                </c:pt>
                <c:pt idx="4">
                  <c:v>0.02</c:v>
                </c:pt>
                <c:pt idx="5">
                  <c:v>-0.01</c:v>
                </c:pt>
                <c:pt idx="6">
                  <c:v>0.03</c:v>
                </c:pt>
                <c:pt idx="7">
                  <c:v>0.01</c:v>
                </c:pt>
                <c:pt idx="8">
                  <c:v>0.06</c:v>
                </c:pt>
                <c:pt idx="9">
                  <c:v>-0.01</c:v>
                </c:pt>
                <c:pt idx="10">
                  <c:v>0.04</c:v>
                </c:pt>
                <c:pt idx="11">
                  <c:v>0.05</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1412603610531087"/>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Dat_01!$C$120</c:f>
              <c:strCache>
                <c:ptCount val="1"/>
                <c:pt idx="0">
                  <c:v>2022 Enero</c:v>
                </c:pt>
              </c:strCache>
            </c:strRef>
          </c:tx>
          <c:spPr>
            <a:solidFill>
              <a:srgbClr val="C00000"/>
            </a:solidFill>
          </c:spPr>
          <c:invertIfNegative val="0"/>
          <c:cat>
            <c:strRef>
              <c:f>Dat_01!$D$122:$D$127</c:f>
              <c:strCache>
                <c:ptCount val="6"/>
                <c:pt idx="0">
                  <c:v>Restricciones Técnicas al PBF</c:v>
                </c:pt>
                <c:pt idx="1">
                  <c:v>Restriciones en Tiempo Real</c:v>
                </c:pt>
                <c:pt idx="2">
                  <c:v>Regulación secundaria</c:v>
                </c:pt>
                <c:pt idx="3">
                  <c:v>Regulación terciaria</c:v>
                </c:pt>
                <c:pt idx="4">
                  <c:v>Reservas de sustitución</c:v>
                </c:pt>
                <c:pt idx="5">
                  <c:v>iGCC</c:v>
                </c:pt>
              </c:strCache>
            </c:strRef>
          </c:cat>
          <c:val>
            <c:numRef>
              <c:f>Dat_01!$C$122:$C$127</c:f>
              <c:numCache>
                <c:formatCode>#,##0</c:formatCode>
                <c:ptCount val="6"/>
                <c:pt idx="0">
                  <c:v>297.10239999999999</c:v>
                </c:pt>
                <c:pt idx="1">
                  <c:v>87.589500000000001</c:v>
                </c:pt>
                <c:pt idx="2">
                  <c:v>246.27144999999999</c:v>
                </c:pt>
                <c:pt idx="3">
                  <c:v>281.90719999999999</c:v>
                </c:pt>
                <c:pt idx="4">
                  <c:v>283.971</c:v>
                </c:pt>
                <c:pt idx="5">
                  <c:v>77.924988999999997</c:v>
                </c:pt>
              </c:numCache>
            </c:numRef>
          </c:val>
          <c:extLst>
            <c:ext xmlns:c16="http://schemas.microsoft.com/office/drawing/2014/chart" uri="{C3380CC4-5D6E-409C-BE32-E72D297353CC}">
              <c16:uniqueId val="{00000000-E8EA-4B0B-A5ED-FE7311A08AD7}"/>
            </c:ext>
          </c:extLst>
        </c:ser>
        <c:ser>
          <c:idx val="0"/>
          <c:order val="1"/>
          <c:tx>
            <c:strRef>
              <c:f>Dat_01!$B$120</c:f>
              <c:strCache>
                <c:ptCount val="1"/>
                <c:pt idx="0">
                  <c:v>2021 Enero</c:v>
                </c:pt>
              </c:strCache>
            </c:strRef>
          </c:tx>
          <c:spPr>
            <a:solidFill>
              <a:srgbClr val="0070C0"/>
            </a:solidFill>
            <a:ln w="25400">
              <a:noFill/>
            </a:ln>
          </c:spPr>
          <c:invertIfNegative val="0"/>
          <c:cat>
            <c:strRef>
              <c:f>Dat_01!$D$122:$D$127</c:f>
              <c:strCache>
                <c:ptCount val="6"/>
                <c:pt idx="0">
                  <c:v>Restricciones Técnicas al PBF</c:v>
                </c:pt>
                <c:pt idx="1">
                  <c:v>Restriciones en Tiempo Real</c:v>
                </c:pt>
                <c:pt idx="2">
                  <c:v>Regulación secundaria</c:v>
                </c:pt>
                <c:pt idx="3">
                  <c:v>Regulación terciaria</c:v>
                </c:pt>
                <c:pt idx="4">
                  <c:v>Reservas de sustitución</c:v>
                </c:pt>
                <c:pt idx="5">
                  <c:v>iGCC</c:v>
                </c:pt>
              </c:strCache>
            </c:strRef>
          </c:cat>
          <c:val>
            <c:numRef>
              <c:f>Dat_01!$B$122:$B$127</c:f>
              <c:numCache>
                <c:formatCode>#,##0</c:formatCode>
                <c:ptCount val="6"/>
                <c:pt idx="0">
                  <c:v>733.44770000000005</c:v>
                </c:pt>
                <c:pt idx="1">
                  <c:v>240.89400000000001</c:v>
                </c:pt>
                <c:pt idx="2">
                  <c:v>267.89747</c:v>
                </c:pt>
                <c:pt idx="3">
                  <c:v>311.77730000000003</c:v>
                </c:pt>
                <c:pt idx="4">
                  <c:v>320.85599999999999</c:v>
                </c:pt>
                <c:pt idx="5">
                  <c:v>52.325125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Dat_01!$B$135</c:f>
              <c:strCache>
                <c:ptCount val="1"/>
                <c:pt idx="0">
                  <c:v>Carbón</c:v>
                </c:pt>
              </c:strCache>
            </c:strRef>
          </c:tx>
          <c:spPr>
            <a:solidFill>
              <a:srgbClr val="993300"/>
            </a:solidFill>
            <a:ln>
              <a:noFill/>
            </a:ln>
            <a:effectLst/>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Dat_01!$C$135:$O$135</c:f>
              <c:numCache>
                <c:formatCode>#,##0;\(#,##0\)</c:formatCode>
                <c:ptCount val="13"/>
                <c:pt idx="0">
                  <c:v>82898</c:v>
                </c:pt>
                <c:pt idx="1">
                  <c:v>103840</c:v>
                </c:pt>
                <c:pt idx="2">
                  <c:v>182851</c:v>
                </c:pt>
                <c:pt idx="3">
                  <c:v>225243</c:v>
                </c:pt>
                <c:pt idx="4">
                  <c:v>257359</c:v>
                </c:pt>
                <c:pt idx="5">
                  <c:v>383637</c:v>
                </c:pt>
                <c:pt idx="6">
                  <c:v>210445</c:v>
                </c:pt>
                <c:pt idx="7">
                  <c:v>99208.5</c:v>
                </c:pt>
                <c:pt idx="8">
                  <c:v>634</c:v>
                </c:pt>
                <c:pt idx="9">
                  <c:v>12750</c:v>
                </c:pt>
                <c:pt idx="10">
                  <c:v>11251</c:v>
                </c:pt>
                <c:pt idx="11">
                  <c:v>6493</c:v>
                </c:pt>
                <c:pt idx="12">
                  <c:v>4320</c:v>
                </c:pt>
              </c:numCache>
            </c:numRef>
          </c:val>
          <c:extLst>
            <c:ext xmlns:c16="http://schemas.microsoft.com/office/drawing/2014/chart" uri="{C3380CC4-5D6E-409C-BE32-E72D297353CC}">
              <c16:uniqueId val="{00000001-365D-4DE8-A807-227C72BC3105}"/>
            </c:ext>
          </c:extLst>
        </c:ser>
        <c:ser>
          <c:idx val="2"/>
          <c:order val="1"/>
          <c:tx>
            <c:strRef>
              <c:f>Dat_01!$B$136</c:f>
              <c:strCache>
                <c:ptCount val="1"/>
                <c:pt idx="0">
                  <c:v>Ciclo Combinado</c:v>
                </c:pt>
              </c:strCache>
            </c:strRef>
          </c:tx>
          <c:spPr>
            <a:solidFill>
              <a:srgbClr val="FFCC66"/>
            </a:solidFill>
            <a:ln>
              <a:noFill/>
            </a:ln>
            <a:effectLst/>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Dat_01!$C$136:$O$136</c:f>
              <c:numCache>
                <c:formatCode>#,##0;\(#,##0\)</c:formatCode>
                <c:ptCount val="13"/>
                <c:pt idx="0">
                  <c:v>644611.69999999995</c:v>
                </c:pt>
                <c:pt idx="1">
                  <c:v>510673.9</c:v>
                </c:pt>
                <c:pt idx="2">
                  <c:v>627886.9</c:v>
                </c:pt>
                <c:pt idx="3">
                  <c:v>562620.69999999995</c:v>
                </c:pt>
                <c:pt idx="4">
                  <c:v>635666.9</c:v>
                </c:pt>
                <c:pt idx="5">
                  <c:v>499983.7</c:v>
                </c:pt>
                <c:pt idx="6">
                  <c:v>480749.8</c:v>
                </c:pt>
                <c:pt idx="7">
                  <c:v>665537.80000000005</c:v>
                </c:pt>
                <c:pt idx="8">
                  <c:v>375205.9</c:v>
                </c:pt>
                <c:pt idx="9">
                  <c:v>508119.2</c:v>
                </c:pt>
                <c:pt idx="10">
                  <c:v>348916.7</c:v>
                </c:pt>
                <c:pt idx="11">
                  <c:v>332239.3</c:v>
                </c:pt>
                <c:pt idx="12">
                  <c:v>285393.5</c:v>
                </c:pt>
              </c:numCache>
            </c:numRef>
          </c:val>
          <c:extLst>
            <c:ext xmlns:c16="http://schemas.microsoft.com/office/drawing/2014/chart" uri="{C3380CC4-5D6E-409C-BE32-E72D297353CC}">
              <c16:uniqueId val="{00000004-365D-4DE8-A807-227C72BC3105}"/>
            </c:ext>
          </c:extLst>
        </c:ser>
        <c:ser>
          <c:idx val="3"/>
          <c:order val="2"/>
          <c:tx>
            <c:strRef>
              <c:f>Dat_01!$B$138</c:f>
              <c:strCache>
                <c:ptCount val="1"/>
                <c:pt idx="0">
                  <c:v>Consumo Bombeo</c:v>
                </c:pt>
              </c:strCache>
            </c:strRef>
          </c:tx>
          <c:spPr>
            <a:solidFill>
              <a:srgbClr val="2C4D75"/>
            </a:solidFill>
            <a:ln>
              <a:noFill/>
            </a:ln>
            <a:effectLst/>
          </c:spPr>
          <c:invertIfNegative val="0"/>
          <c:val>
            <c:numRef>
              <c:f>Dat_01!$C$138:$O$138</c:f>
              <c:numCache>
                <c:formatCode>#,##0;\(#,##0\)</c:formatCode>
                <c:ptCount val="13"/>
                <c:pt idx="0">
                  <c:v>0</c:v>
                </c:pt>
                <c:pt idx="1">
                  <c:v>0</c:v>
                </c:pt>
                <c:pt idx="2">
                  <c:v>0</c:v>
                </c:pt>
                <c:pt idx="3">
                  <c:v>0</c:v>
                </c:pt>
                <c:pt idx="4">
                  <c:v>0</c:v>
                </c:pt>
                <c:pt idx="5">
                  <c:v>0</c:v>
                </c:pt>
                <c:pt idx="6">
                  <c:v>0</c:v>
                </c:pt>
                <c:pt idx="7">
                  <c:v>5384.9</c:v>
                </c:pt>
                <c:pt idx="8">
                  <c:v>0</c:v>
                </c:pt>
                <c:pt idx="9">
                  <c:v>1625.9</c:v>
                </c:pt>
                <c:pt idx="10">
                  <c:v>0</c:v>
                </c:pt>
                <c:pt idx="11">
                  <c:v>0</c:v>
                </c:pt>
                <c:pt idx="12">
                  <c:v>0</c:v>
                </c:pt>
              </c:numCache>
            </c:numRef>
          </c:val>
          <c:extLst>
            <c:ext xmlns:c16="http://schemas.microsoft.com/office/drawing/2014/chart" uri="{C3380CC4-5D6E-409C-BE32-E72D297353CC}">
              <c16:uniqueId val="{00000002-2149-4A52-AF92-1EF03F0E894D}"/>
            </c:ext>
          </c:extLst>
        </c:ser>
        <c:ser>
          <c:idx val="6"/>
          <c:order val="3"/>
          <c:tx>
            <c:strRef>
              <c:f>Dat_01!$B$137</c:f>
              <c:strCache>
                <c:ptCount val="1"/>
                <c:pt idx="0">
                  <c:v>Cogeneración</c:v>
                </c:pt>
              </c:strCache>
            </c:strRef>
          </c:tx>
          <c:spPr>
            <a:solidFill>
              <a:srgbClr val="2C4D75"/>
            </a:solidFill>
            <a:ln>
              <a:noFill/>
            </a:ln>
            <a:effectLst/>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Dat_01!$C$137:$O$137</c:f>
              <c:numCache>
                <c:formatCode>#,##0;\(#,##0\)</c:formatCode>
                <c:ptCount val="13"/>
                <c:pt idx="0">
                  <c:v>0</c:v>
                </c:pt>
                <c:pt idx="1">
                  <c:v>28</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Dat_01!$B$134</c:f>
              <c:strCache>
                <c:ptCount val="1"/>
                <c:pt idx="0">
                  <c:v>Hidráulica</c:v>
                </c:pt>
              </c:strCache>
            </c:strRef>
          </c:tx>
          <c:spPr>
            <a:solidFill>
              <a:srgbClr val="0090D1"/>
            </a:solidFill>
            <a:ln>
              <a:noFill/>
            </a:ln>
            <a:effectLst/>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Dat_01!$C$134:$O$134</c:f>
              <c:numCache>
                <c:formatCode>#,##0;\(#,##0\)</c:formatCode>
                <c:ptCount val="13"/>
                <c:pt idx="0">
                  <c:v>0</c:v>
                </c:pt>
                <c:pt idx="1">
                  <c:v>0</c:v>
                </c:pt>
                <c:pt idx="2">
                  <c:v>0</c:v>
                </c:pt>
                <c:pt idx="3">
                  <c:v>1232</c:v>
                </c:pt>
                <c:pt idx="4">
                  <c:v>3977.2</c:v>
                </c:pt>
                <c:pt idx="5">
                  <c:v>4778.5</c:v>
                </c:pt>
                <c:pt idx="6">
                  <c:v>1914.7</c:v>
                </c:pt>
                <c:pt idx="7">
                  <c:v>0</c:v>
                </c:pt>
                <c:pt idx="8">
                  <c:v>0</c:v>
                </c:pt>
                <c:pt idx="9">
                  <c:v>597.79999999999995</c:v>
                </c:pt>
                <c:pt idx="10">
                  <c:v>100</c:v>
                </c:pt>
                <c:pt idx="11">
                  <c:v>335</c:v>
                </c:pt>
                <c:pt idx="12">
                  <c:v>0</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Dat_01!$C$364:$O$364</c:f>
              <c:numCache>
                <c:formatCode>#,##0.00</c:formatCode>
                <c:ptCount val="13"/>
                <c:pt idx="0">
                  <c:v>110.26006203049999</c:v>
                </c:pt>
                <c:pt idx="1">
                  <c:v>94.510837275699998</c:v>
                </c:pt>
                <c:pt idx="2">
                  <c:v>95.841393451599998</c:v>
                </c:pt>
                <c:pt idx="3">
                  <c:v>101.43984967999999</c:v>
                </c:pt>
                <c:pt idx="4">
                  <c:v>119.43567724570001</c:v>
                </c:pt>
                <c:pt idx="5">
                  <c:v>124.7641188464</c:v>
                </c:pt>
                <c:pt idx="6">
                  <c:v>128.72152353760001</c:v>
                </c:pt>
                <c:pt idx="7">
                  <c:v>156.26961709899999</c:v>
                </c:pt>
                <c:pt idx="8">
                  <c:v>206.45439589259999</c:v>
                </c:pt>
                <c:pt idx="9">
                  <c:v>274.85440796680001</c:v>
                </c:pt>
                <c:pt idx="10">
                  <c:v>245.7289197213</c:v>
                </c:pt>
                <c:pt idx="11">
                  <c:v>297.45400465360001</c:v>
                </c:pt>
                <c:pt idx="12">
                  <c:v>257.7031844018</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2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max val="30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50"/>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Dat_01!$B$135</c:f>
              <c:strCache>
                <c:ptCount val="1"/>
                <c:pt idx="0">
                  <c:v>Carbón</c:v>
                </c:pt>
              </c:strCache>
            </c:strRef>
          </c:tx>
          <c:spPr>
            <a:solidFill>
              <a:srgbClr val="70303C"/>
            </a:solidFill>
            <a:ln>
              <a:noFill/>
            </a:ln>
          </c:spPr>
          <c:invertIfNegative val="0"/>
          <c:val>
            <c:numRef>
              <c:f>Dat_01!$C$155:$O$155</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Dat_01!$B$142</c:f>
              <c:strCache>
                <c:ptCount val="1"/>
                <c:pt idx="0">
                  <c:v>Ciclo Combinado</c:v>
                </c:pt>
              </c:strCache>
            </c:strRef>
          </c:tx>
          <c:spPr>
            <a:solidFill>
              <a:srgbClr val="FFCC66"/>
            </a:solidFill>
            <a:ln>
              <a:noFill/>
            </a:ln>
          </c:spPr>
          <c:invertIfNegative val="0"/>
          <c:val>
            <c:numRef>
              <c:f>Dat_01!$C$142:$O$142</c:f>
              <c:numCache>
                <c:formatCode>#,##0;\(#,##0\)</c:formatCode>
                <c:ptCount val="13"/>
                <c:pt idx="0">
                  <c:v>0</c:v>
                </c:pt>
                <c:pt idx="1">
                  <c:v>0</c:v>
                </c:pt>
                <c:pt idx="2">
                  <c:v>0</c:v>
                </c:pt>
                <c:pt idx="3">
                  <c:v>7210.3</c:v>
                </c:pt>
                <c:pt idx="4">
                  <c:v>5171.1000000000004</c:v>
                </c:pt>
                <c:pt idx="5">
                  <c:v>35080.5</c:v>
                </c:pt>
                <c:pt idx="6">
                  <c:v>45653</c:v>
                </c:pt>
                <c:pt idx="7">
                  <c:v>1436.8</c:v>
                </c:pt>
                <c:pt idx="8">
                  <c:v>9373.2999999999993</c:v>
                </c:pt>
                <c:pt idx="9">
                  <c:v>4799.8</c:v>
                </c:pt>
                <c:pt idx="10">
                  <c:v>33709.9</c:v>
                </c:pt>
                <c:pt idx="11">
                  <c:v>3930.7</c:v>
                </c:pt>
                <c:pt idx="12">
                  <c:v>7388.9</c:v>
                </c:pt>
              </c:numCache>
            </c:numRef>
          </c:val>
          <c:extLst>
            <c:ext xmlns:c16="http://schemas.microsoft.com/office/drawing/2014/chart" uri="{C3380CC4-5D6E-409C-BE32-E72D297353CC}">
              <c16:uniqueId val="{00000007-7982-4DF4-8BB6-E212EC690D01}"/>
            </c:ext>
          </c:extLst>
        </c:ser>
        <c:ser>
          <c:idx val="10"/>
          <c:order val="2"/>
          <c:tx>
            <c:strRef>
              <c:f>Dat_01!$B$146</c:f>
              <c:strCache>
                <c:ptCount val="1"/>
                <c:pt idx="0">
                  <c:v>Cogeneración</c:v>
                </c:pt>
              </c:strCache>
            </c:strRef>
          </c:tx>
          <c:spPr>
            <a:solidFill>
              <a:srgbClr val="CFA2CA"/>
            </a:solidFill>
          </c:spPr>
          <c:invertIfNegative val="0"/>
          <c:val>
            <c:numRef>
              <c:f>Dat_01!$C$146:$O$146</c:f>
              <c:numCache>
                <c:formatCode>#,##0;\(#,##0\)</c:formatCode>
                <c:ptCount val="13"/>
                <c:pt idx="0">
                  <c:v>0</c:v>
                </c:pt>
                <c:pt idx="1">
                  <c:v>0</c:v>
                </c:pt>
                <c:pt idx="2">
                  <c:v>2906.3</c:v>
                </c:pt>
                <c:pt idx="3">
                  <c:v>0</c:v>
                </c:pt>
                <c:pt idx="4">
                  <c:v>60</c:v>
                </c:pt>
                <c:pt idx="5">
                  <c:v>0</c:v>
                </c:pt>
                <c:pt idx="6">
                  <c:v>130.19999999999999</c:v>
                </c:pt>
                <c:pt idx="7">
                  <c:v>180</c:v>
                </c:pt>
                <c:pt idx="8">
                  <c:v>187.6</c:v>
                </c:pt>
                <c:pt idx="9">
                  <c:v>0</c:v>
                </c:pt>
                <c:pt idx="10">
                  <c:v>8</c:v>
                </c:pt>
                <c:pt idx="11">
                  <c:v>0</c:v>
                </c:pt>
                <c:pt idx="12">
                  <c:v>0</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Dat_01!$C$152:$O$152</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Dat_01!$B$143</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Dat_01!$C$143:$O$143</c:f>
              <c:numCache>
                <c:formatCode>#,##0;\(#,##0\)</c:formatCode>
                <c:ptCount val="13"/>
                <c:pt idx="0">
                  <c:v>5915.7</c:v>
                </c:pt>
                <c:pt idx="1">
                  <c:v>896.1</c:v>
                </c:pt>
                <c:pt idx="2">
                  <c:v>948.1</c:v>
                </c:pt>
                <c:pt idx="3">
                  <c:v>2761</c:v>
                </c:pt>
                <c:pt idx="4">
                  <c:v>10463.200000000001</c:v>
                </c:pt>
                <c:pt idx="5">
                  <c:v>13742.9</c:v>
                </c:pt>
                <c:pt idx="6">
                  <c:v>6042.2</c:v>
                </c:pt>
                <c:pt idx="7">
                  <c:v>9933.5</c:v>
                </c:pt>
                <c:pt idx="8">
                  <c:v>17462.5</c:v>
                </c:pt>
                <c:pt idx="9">
                  <c:v>1194.5</c:v>
                </c:pt>
                <c:pt idx="10">
                  <c:v>110.5</c:v>
                </c:pt>
                <c:pt idx="11">
                  <c:v>149.1</c:v>
                </c:pt>
                <c:pt idx="12">
                  <c:v>0</c:v>
                </c:pt>
              </c:numCache>
            </c:numRef>
          </c:val>
          <c:extLst>
            <c:ext xmlns:c16="http://schemas.microsoft.com/office/drawing/2014/chart" uri="{C3380CC4-5D6E-409C-BE32-E72D297353CC}">
              <c16:uniqueId val="{00000009-7982-4DF4-8BB6-E212EC690D01}"/>
            </c:ext>
          </c:extLst>
        </c:ser>
        <c:ser>
          <c:idx val="0"/>
          <c:order val="5"/>
          <c:tx>
            <c:strRef>
              <c:f>Dat_01!$B$140</c:f>
              <c:strCache>
                <c:ptCount val="1"/>
                <c:pt idx="0">
                  <c:v>Hidráulica</c:v>
                </c:pt>
              </c:strCache>
            </c:strRef>
          </c:tx>
          <c:spPr>
            <a:solidFill>
              <a:srgbClr val="0090D1"/>
            </a:solidFill>
            <a:ln w="25400">
              <a:noFill/>
            </a:ln>
          </c:spPr>
          <c:invertIfNegative val="0"/>
          <c:val>
            <c:numRef>
              <c:f>Dat_01!$C$140:$O$140</c:f>
              <c:numCache>
                <c:formatCode>#,##0;\(#,##0\)</c:formatCode>
                <c:ptCount val="13"/>
                <c:pt idx="0">
                  <c:v>0</c:v>
                </c:pt>
                <c:pt idx="1">
                  <c:v>816.9</c:v>
                </c:pt>
                <c:pt idx="2">
                  <c:v>1031.9000000000001</c:v>
                </c:pt>
                <c:pt idx="3">
                  <c:v>7</c:v>
                </c:pt>
                <c:pt idx="4">
                  <c:v>2268.1</c:v>
                </c:pt>
                <c:pt idx="5">
                  <c:v>373</c:v>
                </c:pt>
                <c:pt idx="6">
                  <c:v>3888</c:v>
                </c:pt>
                <c:pt idx="7">
                  <c:v>2555.1</c:v>
                </c:pt>
                <c:pt idx="8">
                  <c:v>7017.6</c:v>
                </c:pt>
                <c:pt idx="9">
                  <c:v>10</c:v>
                </c:pt>
                <c:pt idx="10">
                  <c:v>209.5</c:v>
                </c:pt>
                <c:pt idx="11">
                  <c:v>1762.1</c:v>
                </c:pt>
                <c:pt idx="12">
                  <c:v>0</c:v>
                </c:pt>
              </c:numCache>
            </c:numRef>
          </c:val>
          <c:extLst>
            <c:ext xmlns:c16="http://schemas.microsoft.com/office/drawing/2014/chart" uri="{C3380CC4-5D6E-409C-BE32-E72D297353CC}">
              <c16:uniqueId val="{00000000-7982-4DF4-8BB6-E212EC690D01}"/>
            </c:ext>
          </c:extLst>
        </c:ser>
        <c:ser>
          <c:idx val="11"/>
          <c:order val="6"/>
          <c:tx>
            <c:strRef>
              <c:f>Dat_01!$B$147</c:f>
              <c:strCache>
                <c:ptCount val="1"/>
                <c:pt idx="0">
                  <c:v>Otras Renovables</c:v>
                </c:pt>
              </c:strCache>
            </c:strRef>
          </c:tx>
          <c:spPr>
            <a:solidFill>
              <a:srgbClr val="9A5CBC"/>
            </a:solidFill>
          </c:spPr>
          <c:invertIfNegative val="0"/>
          <c:val>
            <c:numRef>
              <c:f>Dat_01!$C$147:$O$147</c:f>
              <c:numCache>
                <c:formatCode>#,##0;\(#,##0\)</c:formatCode>
                <c:ptCount val="13"/>
                <c:pt idx="0">
                  <c:v>0</c:v>
                </c:pt>
                <c:pt idx="1">
                  <c:v>0</c:v>
                </c:pt>
                <c:pt idx="2">
                  <c:v>0</c:v>
                </c:pt>
                <c:pt idx="3">
                  <c:v>0</c:v>
                </c:pt>
                <c:pt idx="4">
                  <c:v>0</c:v>
                </c:pt>
                <c:pt idx="5">
                  <c:v>0</c:v>
                </c:pt>
                <c:pt idx="6">
                  <c:v>0</c:v>
                </c:pt>
                <c:pt idx="7">
                  <c:v>260</c:v>
                </c:pt>
                <c:pt idx="8">
                  <c:v>0</c:v>
                </c:pt>
                <c:pt idx="9">
                  <c:v>0</c:v>
                </c:pt>
                <c:pt idx="10">
                  <c:v>0</c:v>
                </c:pt>
                <c:pt idx="11">
                  <c:v>0</c:v>
                </c:pt>
                <c:pt idx="12">
                  <c:v>0</c:v>
                </c:pt>
              </c:numCache>
            </c:numRef>
          </c:val>
          <c:extLst>
            <c:ext xmlns:c16="http://schemas.microsoft.com/office/drawing/2014/chart" uri="{C3380CC4-5D6E-409C-BE32-E72D297353CC}">
              <c16:uniqueId val="{00000002-6B57-40D8-AE3D-18D893D473A8}"/>
            </c:ext>
          </c:extLst>
        </c:ser>
        <c:ser>
          <c:idx val="5"/>
          <c:order val="7"/>
          <c:tx>
            <c:strRef>
              <c:f>Dat_01!$B$144</c:f>
              <c:strCache>
                <c:ptCount val="1"/>
                <c:pt idx="0">
                  <c:v>Solar fotovoltaica</c:v>
                </c:pt>
              </c:strCache>
            </c:strRef>
          </c:tx>
          <c:spPr>
            <a:solidFill>
              <a:srgbClr val="EE6112"/>
            </a:solidFill>
            <a:ln>
              <a:noFill/>
            </a:ln>
          </c:spPr>
          <c:invertIfNegative val="0"/>
          <c:val>
            <c:numRef>
              <c:f>Dat_01!$C$144:$O$144</c:f>
              <c:numCache>
                <c:formatCode>#,##0;\(#,##0\)</c:formatCode>
                <c:ptCount val="13"/>
                <c:pt idx="0">
                  <c:v>0</c:v>
                </c:pt>
                <c:pt idx="1">
                  <c:v>0</c:v>
                </c:pt>
                <c:pt idx="2">
                  <c:v>118.2</c:v>
                </c:pt>
                <c:pt idx="3">
                  <c:v>0</c:v>
                </c:pt>
                <c:pt idx="4">
                  <c:v>62.8</c:v>
                </c:pt>
                <c:pt idx="5">
                  <c:v>0</c:v>
                </c:pt>
                <c:pt idx="6">
                  <c:v>0</c:v>
                </c:pt>
                <c:pt idx="7">
                  <c:v>0</c:v>
                </c:pt>
                <c:pt idx="8">
                  <c:v>881.5</c:v>
                </c:pt>
                <c:pt idx="9">
                  <c:v>206.3</c:v>
                </c:pt>
                <c:pt idx="10">
                  <c:v>0</c:v>
                </c:pt>
                <c:pt idx="11">
                  <c:v>18.8</c:v>
                </c:pt>
                <c:pt idx="12">
                  <c:v>0</c:v>
                </c:pt>
              </c:numCache>
            </c:numRef>
          </c:val>
          <c:extLst>
            <c:ext xmlns:c16="http://schemas.microsoft.com/office/drawing/2014/chart" uri="{C3380CC4-5D6E-409C-BE32-E72D297353CC}">
              <c16:uniqueId val="{00000002-7982-4DF4-8BB6-E212EC690D01}"/>
            </c:ext>
          </c:extLst>
        </c:ser>
        <c:ser>
          <c:idx val="1"/>
          <c:order val="8"/>
          <c:tx>
            <c:strRef>
              <c:f>Dat_01!$B$145</c:f>
              <c:strCache>
                <c:ptCount val="1"/>
                <c:pt idx="0">
                  <c:v>Solar térmica</c:v>
                </c:pt>
              </c:strCache>
            </c:strRef>
          </c:tx>
          <c:spPr>
            <a:solidFill>
              <a:srgbClr val="FF0000"/>
            </a:solidFill>
          </c:spPr>
          <c:invertIfNegative val="0"/>
          <c:val>
            <c:numRef>
              <c:f>Dat_01!$C$145:$O$145</c:f>
              <c:numCache>
                <c:formatCode>#,##0;\(#,##0\)</c:formatCode>
                <c:ptCount val="13"/>
                <c:pt idx="0">
                  <c:v>9</c:v>
                </c:pt>
                <c:pt idx="1">
                  <c:v>0</c:v>
                </c:pt>
                <c:pt idx="2">
                  <c:v>5112.8999999999996</c:v>
                </c:pt>
                <c:pt idx="3">
                  <c:v>0</c:v>
                </c:pt>
                <c:pt idx="4">
                  <c:v>139.19999999999999</c:v>
                </c:pt>
                <c:pt idx="5">
                  <c:v>885.1</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8FD-4CEA-83F8-51EAAE808759}"/>
            </c:ext>
          </c:extLst>
        </c:ser>
        <c:ser>
          <c:idx val="2"/>
          <c:order val="9"/>
          <c:tx>
            <c:strRef>
              <c:f>Dat_01!$B$141</c:f>
              <c:strCache>
                <c:ptCount val="1"/>
                <c:pt idx="0">
                  <c:v>Turbinación bombeo</c:v>
                </c:pt>
              </c:strCache>
            </c:strRef>
          </c:tx>
          <c:spPr>
            <a:solidFill>
              <a:srgbClr val="95B3D7"/>
            </a:solidFill>
            <a:ln>
              <a:noFill/>
            </a:ln>
          </c:spPr>
          <c:invertIfNegative val="0"/>
          <c:val>
            <c:numRef>
              <c:f>Dat_01!$C$141:$O$141</c:f>
              <c:numCache>
                <c:formatCode>#,##0;\(#,##0\)</c:formatCode>
                <c:ptCount val="13"/>
                <c:pt idx="0">
                  <c:v>13.3</c:v>
                </c:pt>
                <c:pt idx="1">
                  <c:v>0</c:v>
                </c:pt>
                <c:pt idx="2">
                  <c:v>0</c:v>
                </c:pt>
                <c:pt idx="3">
                  <c:v>143.6</c:v>
                </c:pt>
                <c:pt idx="4">
                  <c:v>0</c:v>
                </c:pt>
                <c:pt idx="5">
                  <c:v>0</c:v>
                </c:pt>
                <c:pt idx="6">
                  <c:v>1300</c:v>
                </c:pt>
                <c:pt idx="7">
                  <c:v>330</c:v>
                </c:pt>
                <c:pt idx="8">
                  <c:v>630</c:v>
                </c:pt>
                <c:pt idx="9">
                  <c:v>3200</c:v>
                </c:pt>
                <c:pt idx="10">
                  <c:v>0</c:v>
                </c:pt>
                <c:pt idx="11">
                  <c:v>0</c:v>
                </c:pt>
                <c:pt idx="12">
                  <c:v>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Dat_01!$B$159:$N$159</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Dat_01!$C$373:$O$373</c:f>
              <c:numCache>
                <c:formatCode>#,##0.00</c:formatCode>
                <c:ptCount val="13"/>
                <c:pt idx="0">
                  <c:v>53.946552699400002</c:v>
                </c:pt>
                <c:pt idx="1">
                  <c:v>27.162176346300001</c:v>
                </c:pt>
                <c:pt idx="2">
                  <c:v>44.690481325699999</c:v>
                </c:pt>
                <c:pt idx="3">
                  <c:v>60.373853773900002</c:v>
                </c:pt>
                <c:pt idx="4">
                  <c:v>66.064211160499994</c:v>
                </c:pt>
                <c:pt idx="5">
                  <c:v>81.556878052200005</c:v>
                </c:pt>
                <c:pt idx="6">
                  <c:v>90.825389397899997</c:v>
                </c:pt>
                <c:pt idx="7">
                  <c:v>100.26005549440001</c:v>
                </c:pt>
                <c:pt idx="8">
                  <c:v>153.02489306410001</c:v>
                </c:pt>
                <c:pt idx="9">
                  <c:v>186.1303684419</c:v>
                </c:pt>
                <c:pt idx="10">
                  <c:v>165.3887794366</c:v>
                </c:pt>
                <c:pt idx="11">
                  <c:v>191.188599877</c:v>
                </c:pt>
                <c:pt idx="12">
                  <c:v>165.8980468789</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300000.00000000012"/>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3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Dat_01!$B$166:$N$166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Dat_01!$B$176:$N$176</c:f>
              <c:numCache>
                <c:formatCode>#,##0</c:formatCode>
                <c:ptCount val="13"/>
                <c:pt idx="0">
                  <c:v>129.5624</c:v>
                </c:pt>
                <c:pt idx="1">
                  <c:v>122.25319999999999</c:v>
                </c:pt>
                <c:pt idx="2">
                  <c:v>138.00639999999999</c:v>
                </c:pt>
                <c:pt idx="3">
                  <c:v>117.66980000000001</c:v>
                </c:pt>
                <c:pt idx="4">
                  <c:v>131.49289999999999</c:v>
                </c:pt>
                <c:pt idx="5">
                  <c:v>80.018899999999988</c:v>
                </c:pt>
                <c:pt idx="6">
                  <c:v>89.656899999999993</c:v>
                </c:pt>
                <c:pt idx="7">
                  <c:v>101.8762</c:v>
                </c:pt>
                <c:pt idx="8">
                  <c:v>87.124600000000001</c:v>
                </c:pt>
                <c:pt idx="9">
                  <c:v>122.3283</c:v>
                </c:pt>
                <c:pt idx="10">
                  <c:v>79.438399999999987</c:v>
                </c:pt>
                <c:pt idx="11">
                  <c:v>100.1545</c:v>
                </c:pt>
                <c:pt idx="12">
                  <c:v>100.882881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Dat_01!$B$166:$N$166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Dat_01!$B$181:$N$181</c:f>
              <c:numCache>
                <c:formatCode>#,##0.00</c:formatCode>
                <c:ptCount val="13"/>
                <c:pt idx="0">
                  <c:v>63.220681052700002</c:v>
                </c:pt>
                <c:pt idx="1">
                  <c:v>37.996210302500003</c:v>
                </c:pt>
                <c:pt idx="2">
                  <c:v>49.886666826800003</c:v>
                </c:pt>
                <c:pt idx="3">
                  <c:v>68.736615395200005</c:v>
                </c:pt>
                <c:pt idx="4">
                  <c:v>71.364942740900005</c:v>
                </c:pt>
                <c:pt idx="5">
                  <c:v>91.156488779</c:v>
                </c:pt>
                <c:pt idx="6">
                  <c:v>96.757169407899994</c:v>
                </c:pt>
                <c:pt idx="7">
                  <c:v>110.01602101650001</c:v>
                </c:pt>
                <c:pt idx="8">
                  <c:v>163.59300467950001</c:v>
                </c:pt>
                <c:pt idx="9">
                  <c:v>212.36212133250001</c:v>
                </c:pt>
                <c:pt idx="10">
                  <c:v>205.75351654170001</c:v>
                </c:pt>
                <c:pt idx="11">
                  <c:v>247.17005219609999</c:v>
                </c:pt>
                <c:pt idx="12">
                  <c:v>223.8608930092</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6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0.44615</cdr:x>
      <cdr:y>0.93684</cdr:y>
    </cdr:from>
    <cdr:to>
      <cdr:x>0.53658</cdr:x>
      <cdr:y>0.99778</cdr:y>
    </cdr:to>
    <cdr:sp macro="" textlink="">
      <cdr:nvSpPr>
        <cdr:cNvPr id="3" name="CuadroTexto 1"/>
        <cdr:cNvSpPr txBox="1"/>
      </cdr:nvSpPr>
      <cdr:spPr>
        <a:xfrm xmlns:a="http://schemas.openxmlformats.org/drawingml/2006/main">
          <a:off x="3303698" y="2684169"/>
          <a:ext cx="669625" cy="174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0.89933</cdr:x>
      <cdr:y>0.93484</cdr:y>
    </cdr:from>
    <cdr:to>
      <cdr:x>0.97914</cdr:x>
      <cdr:y>1</cdr:y>
    </cdr:to>
    <cdr:sp macro="" textlink="">
      <cdr:nvSpPr>
        <cdr:cNvPr id="4" name="CuadroTexto 1"/>
        <cdr:cNvSpPr txBox="1"/>
      </cdr:nvSpPr>
      <cdr:spPr>
        <a:xfrm xmlns:a="http://schemas.openxmlformats.org/drawingml/2006/main">
          <a:off x="6659408" y="2678429"/>
          <a:ext cx="590985"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15240</xdr:colOff>
      <xdr:row>1</xdr:row>
      <xdr:rowOff>169545</xdr:rowOff>
    </xdr:from>
    <xdr:to>
      <xdr:col>2</xdr:col>
      <xdr:colOff>946785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 y="177165"/>
          <a:ext cx="931545"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0.88764</cdr:x>
      <cdr:y>0.12154</cdr:y>
    </cdr:from>
    <cdr:to>
      <cdr:x>0.88765</cdr:x>
      <cdr:y>0.81109</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7167545" y="292351"/>
          <a:ext cx="80" cy="16586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0.52716</cdr:x>
      <cdr:y>0.89433</cdr:y>
    </cdr:from>
    <cdr:to>
      <cdr:x>0.60079</cdr:x>
      <cdr:y>0.96467</cdr:y>
    </cdr:to>
    <cdr:sp macro="" textlink="">
      <cdr:nvSpPr>
        <cdr:cNvPr id="6" name="CuadroTexto 1"/>
        <cdr:cNvSpPr txBox="1"/>
      </cdr:nvSpPr>
      <cdr:spPr>
        <a:xfrm xmlns:a="http://schemas.openxmlformats.org/drawingml/2006/main">
          <a:off x="4013809" y="2242755"/>
          <a:ext cx="560616"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0.06386</cdr:x>
      <cdr:y>0.89386</cdr:y>
    </cdr:from>
    <cdr:to>
      <cdr:x>0.13748</cdr:x>
      <cdr:y>0.96731</cdr:y>
    </cdr:to>
    <cdr:sp macro="" textlink="">
      <cdr:nvSpPr>
        <cdr:cNvPr id="7" name="CuadroTexto 1"/>
        <cdr:cNvSpPr txBox="1"/>
      </cdr:nvSpPr>
      <cdr:spPr>
        <a:xfrm xmlns:a="http://schemas.openxmlformats.org/drawingml/2006/main">
          <a:off x="486906" y="2241576"/>
          <a:ext cx="561294" cy="184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0.89171</cdr:x>
      <cdr:y>0.07245</cdr:y>
    </cdr:from>
    <cdr:to>
      <cdr:x>0.89205</cdr:x>
      <cdr:y>0.77382</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7199994" y="173652"/>
          <a:ext cx="2746" cy="16809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0.88932</cdr:x>
      <cdr:y>0.11481</cdr:y>
    </cdr:from>
    <cdr:to>
      <cdr:x>0.88951</cdr:x>
      <cdr:y>0.81423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7003223" y="263726"/>
          <a:ext cx="1496" cy="16065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0.44732</cdr:x>
      <cdr:y>0.87829</cdr:y>
    </cdr:from>
    <cdr:to>
      <cdr:x>0.52213</cdr:x>
      <cdr:y>0.95607</cdr:y>
    </cdr:to>
    <cdr:sp macro="" textlink="">
      <cdr:nvSpPr>
        <cdr:cNvPr id="4" name="CuadroTexto 1"/>
        <cdr:cNvSpPr txBox="1"/>
      </cdr:nvSpPr>
      <cdr:spPr>
        <a:xfrm xmlns:a="http://schemas.openxmlformats.org/drawingml/2006/main">
          <a:off x="3370627" y="205650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0.89726</cdr:x>
      <cdr:y>0.88575</cdr:y>
    </cdr:from>
    <cdr:to>
      <cdr:x>0.97205</cdr:x>
      <cdr:y>0.96353</cdr:y>
    </cdr:to>
    <cdr:sp macro="" textlink="">
      <cdr:nvSpPr>
        <cdr:cNvPr id="5" name="CuadroTexto 1"/>
        <cdr:cNvSpPr txBox="1"/>
      </cdr:nvSpPr>
      <cdr:spPr>
        <a:xfrm xmlns:a="http://schemas.openxmlformats.org/drawingml/2006/main">
          <a:off x="6760941" y="2073978"/>
          <a:ext cx="563550" cy="182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0.88714</cdr:x>
      <cdr:y>0.04133</cdr:y>
    </cdr:from>
    <cdr:to>
      <cdr:x>0.88824</cdr:x>
      <cdr:y>0.86845</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6986914" y="70421"/>
          <a:ext cx="8663" cy="14094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0.88641</cdr:x>
      <cdr:y>0.13029</cdr:y>
    </cdr:from>
    <cdr:to>
      <cdr:x>0.88715</cdr:x>
      <cdr:y>0.82134</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980307" y="296044"/>
          <a:ext cx="5827"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0.45363</cdr:x>
      <cdr:y>0.87506</cdr:y>
    </cdr:from>
    <cdr:to>
      <cdr:x>0.52843</cdr:x>
      <cdr:y>0.95365</cdr:y>
    </cdr:to>
    <cdr:sp macro="" textlink="">
      <cdr:nvSpPr>
        <cdr:cNvPr id="4" name="CuadroTexto 1"/>
        <cdr:cNvSpPr txBox="1"/>
      </cdr:nvSpPr>
      <cdr:spPr>
        <a:xfrm xmlns:a="http://schemas.openxmlformats.org/drawingml/2006/main">
          <a:off x="3418161" y="202720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0.90008</cdr:x>
      <cdr:y>0.88669</cdr:y>
    </cdr:from>
    <cdr:to>
      <cdr:x>0.97488</cdr:x>
      <cdr:y>0.96528</cdr:y>
    </cdr:to>
    <cdr:sp macro="" textlink="">
      <cdr:nvSpPr>
        <cdr:cNvPr id="5" name="CuadroTexto 1"/>
        <cdr:cNvSpPr txBox="1"/>
      </cdr:nvSpPr>
      <cdr:spPr>
        <a:xfrm xmlns:a="http://schemas.openxmlformats.org/drawingml/2006/main">
          <a:off x="6782159" y="2054143"/>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0.88501</cdr:x>
      <cdr:y>0.03896</cdr:y>
    </cdr:from>
    <cdr:to>
      <cdr:x>0.88528</cdr:x>
      <cdr:y>0.86722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970158" y="65122"/>
          <a:ext cx="2127"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0.89242</cdr:x>
      <cdr:y>0.09887</cdr:y>
    </cdr:from>
    <cdr:to>
      <cdr:x>0.893</cdr:x>
      <cdr:y>0.8144</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7107126" y="250330"/>
          <a:ext cx="4620" cy="18116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0.89038</cdr:x>
      <cdr:y>0.17984</cdr:y>
    </cdr:from>
    <cdr:to>
      <cdr:x>0.89106</cdr:x>
      <cdr:y>0.86301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7090864" y="472518"/>
          <a:ext cx="5415" cy="17949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0.45063</cdr:x>
      <cdr:y>0.91175</cdr:y>
    </cdr:from>
    <cdr:to>
      <cdr:x>0.52543</cdr:x>
      <cdr:y>0.98221</cdr:y>
    </cdr:to>
    <cdr:sp macro="" textlink="">
      <cdr:nvSpPr>
        <cdr:cNvPr id="4" name="CuadroTexto 1"/>
        <cdr:cNvSpPr txBox="1"/>
      </cdr:nvSpPr>
      <cdr:spPr>
        <a:xfrm xmlns:a="http://schemas.openxmlformats.org/drawingml/2006/main">
          <a:off x="3399891" y="2441825"/>
          <a:ext cx="564347"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0.90121</cdr:x>
      <cdr:y>0.92955</cdr:y>
    </cdr:from>
    <cdr:to>
      <cdr:x>0.97599</cdr:x>
      <cdr:y>1</cdr:y>
    </cdr:to>
    <cdr:sp macro="" textlink="">
      <cdr:nvSpPr>
        <cdr:cNvPr id="5" name="CuadroTexto 1"/>
        <cdr:cNvSpPr txBox="1"/>
      </cdr:nvSpPr>
      <cdr:spPr>
        <a:xfrm xmlns:a="http://schemas.openxmlformats.org/drawingml/2006/main">
          <a:off x="6799429" y="2489503"/>
          <a:ext cx="564195"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0.88823</cdr:x>
      <cdr:y>0.07896</cdr:y>
    </cdr:from>
    <cdr:to>
      <cdr:x>0.88832</cdr:x>
      <cdr:y>0.70229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7062411" y="252043"/>
          <a:ext cx="716" cy="19896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0.88826</cdr:x>
      <cdr:y>0.08518</cdr:y>
    </cdr:from>
    <cdr:to>
      <cdr:x>0.88916</cdr:x>
      <cdr:y>0.8428</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7062696" y="215669"/>
          <a:ext cx="7156" cy="19182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0.44702</cdr:x>
      <cdr:y>0.90741</cdr:y>
    </cdr:from>
    <cdr:to>
      <cdr:x>0.52182</cdr:x>
      <cdr:y>0.97787</cdr:y>
    </cdr:to>
    <cdr:sp macro="" textlink="">
      <cdr:nvSpPr>
        <cdr:cNvPr id="4" name="CuadroTexto 1"/>
        <cdr:cNvSpPr txBox="1"/>
      </cdr:nvSpPr>
      <cdr:spPr>
        <a:xfrm xmlns:a="http://schemas.openxmlformats.org/drawingml/2006/main">
          <a:off x="3402482" y="2343624"/>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0.90023</cdr:x>
      <cdr:y>0.90742</cdr:y>
    </cdr:from>
    <cdr:to>
      <cdr:x>0.97502</cdr:x>
      <cdr:y>0.97787</cdr:y>
    </cdr:to>
    <cdr:sp macro="" textlink="">
      <cdr:nvSpPr>
        <cdr:cNvPr id="5" name="CuadroTexto 1"/>
        <cdr:cNvSpPr txBox="1"/>
      </cdr:nvSpPr>
      <cdr:spPr>
        <a:xfrm xmlns:a="http://schemas.openxmlformats.org/drawingml/2006/main">
          <a:off x="6852023" y="2343661"/>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0.48245</cdr:x>
      <cdr:y>0.19276</cdr:y>
    </cdr:from>
    <cdr:to>
      <cdr:x>0.61194</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2913413" y="495724"/>
          <a:ext cx="782031"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0.47665</cdr:x>
      <cdr:y>0.48539</cdr:y>
    </cdr:from>
    <cdr:to>
      <cdr:x>0.60615</cdr:x>
      <cdr:y>0.54638</cdr:y>
    </cdr:to>
    <cdr:sp macro="" textlink="">
      <cdr:nvSpPr>
        <cdr:cNvPr id="3" name="Texto 7"/>
        <cdr:cNvSpPr txBox="1">
          <a:spLocks xmlns:a="http://schemas.openxmlformats.org/drawingml/2006/main" noChangeArrowheads="1"/>
        </cdr:cNvSpPr>
      </cdr:nvSpPr>
      <cdr:spPr bwMode="auto">
        <a:xfrm xmlns:a="http://schemas.openxmlformats.org/drawingml/2006/main">
          <a:off x="2878432" y="1248296"/>
          <a:ext cx="782031"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0.88847</cdr:x>
      <cdr:y>0.09935</cdr:y>
    </cdr:from>
    <cdr:to>
      <cdr:x>0.89046</cdr:x>
      <cdr:y>0.86519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672220" y="256282"/>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0.4467</cdr:x>
      <cdr:y>0.91109</cdr:y>
    </cdr:from>
    <cdr:to>
      <cdr:x>0.52242</cdr:x>
      <cdr:y>0.98155</cdr:y>
    </cdr:to>
    <cdr:sp macro="" textlink="">
      <cdr:nvSpPr>
        <cdr:cNvPr id="4" name="CuadroTexto 1"/>
        <cdr:cNvSpPr txBox="1"/>
      </cdr:nvSpPr>
      <cdr:spPr>
        <a:xfrm xmlns:a="http://schemas.openxmlformats.org/drawingml/2006/main">
          <a:off x="3354628" y="2350227"/>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0.89592</cdr:x>
      <cdr:y>0.92955</cdr:y>
    </cdr:from>
    <cdr:to>
      <cdr:x>0.97163</cdr:x>
      <cdr:y>1</cdr:y>
    </cdr:to>
    <cdr:sp macro="" textlink="">
      <cdr:nvSpPr>
        <cdr:cNvPr id="5" name="CuadroTexto 1"/>
        <cdr:cNvSpPr txBox="1"/>
      </cdr:nvSpPr>
      <cdr:spPr>
        <a:xfrm xmlns:a="http://schemas.openxmlformats.org/drawingml/2006/main">
          <a:off x="6728165" y="2397859"/>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0.88664</cdr:x>
      <cdr:y>0.03534</cdr:y>
    </cdr:from>
    <cdr:to>
      <cdr:x>0.88733</cdr:x>
      <cdr:y>0.80613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6959698" y="89485"/>
          <a:ext cx="5417" cy="1951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1446861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0.88657</cdr:x>
      <cdr:y>0.09059</cdr:y>
    </cdr:from>
    <cdr:to>
      <cdr:x>0.88685</cdr:x>
      <cdr:y>0.7638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959195" y="264858"/>
          <a:ext cx="2198"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0.88653</cdr:x>
      <cdr:y>0.09555</cdr:y>
    </cdr:from>
    <cdr:to>
      <cdr:x>0.88852</cdr:x>
      <cdr:y>0.86138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958819" y="241924"/>
          <a:ext cx="15620" cy="19390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0.4496</cdr:x>
      <cdr:y>0.91848</cdr:y>
    </cdr:from>
    <cdr:to>
      <cdr:x>0.52532</cdr:x>
      <cdr:y>0.98894</cdr:y>
    </cdr:to>
    <cdr:sp macro="" textlink="">
      <cdr:nvSpPr>
        <cdr:cNvPr id="4" name="CuadroTexto 1"/>
        <cdr:cNvSpPr txBox="1"/>
      </cdr:nvSpPr>
      <cdr:spPr>
        <a:xfrm xmlns:a="http://schemas.openxmlformats.org/drawingml/2006/main">
          <a:off x="3353589" y="2372209"/>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0.89524</cdr:x>
      <cdr:y>0.92955</cdr:y>
    </cdr:from>
    <cdr:to>
      <cdr:x>0.97095</cdr:x>
      <cdr:y>1</cdr:y>
    </cdr:to>
    <cdr:sp macro="" textlink="">
      <cdr:nvSpPr>
        <cdr:cNvPr id="5" name="CuadroTexto 1"/>
        <cdr:cNvSpPr txBox="1"/>
      </cdr:nvSpPr>
      <cdr:spPr>
        <a:xfrm xmlns:a="http://schemas.openxmlformats.org/drawingml/2006/main">
          <a:off x="6677644"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0.89145</cdr:x>
      <cdr:y>0.21012</cdr:y>
    </cdr:from>
    <cdr:to>
      <cdr:x>0.89147</cdr:x>
      <cdr:y>0.8746</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6301900" y="624317"/>
          <a:ext cx="141" cy="19743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0.8954</cdr:x>
      <cdr:y>0.92283</cdr:y>
    </cdr:from>
    <cdr:to>
      <cdr:x>0.97521</cdr:x>
      <cdr:y>0.98491</cdr:y>
    </cdr:to>
    <cdr:sp macro="" textlink="">
      <cdr:nvSpPr>
        <cdr:cNvPr id="4" name="CuadroTexto 1"/>
        <cdr:cNvSpPr txBox="1"/>
      </cdr:nvSpPr>
      <cdr:spPr>
        <a:xfrm xmlns:a="http://schemas.openxmlformats.org/drawingml/2006/main">
          <a:off x="6329804" y="2741963"/>
          <a:ext cx="564196" cy="1844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0.46512</cdr:x>
      <cdr:y>0.91351</cdr:y>
    </cdr:from>
    <cdr:to>
      <cdr:x>0.54493</cdr:x>
      <cdr:y>0.97559</cdr:y>
    </cdr:to>
    <cdr:sp macro="" textlink="">
      <cdr:nvSpPr>
        <cdr:cNvPr id="5" name="CuadroTexto 1"/>
        <cdr:cNvSpPr txBox="1"/>
      </cdr:nvSpPr>
      <cdr:spPr>
        <a:xfrm xmlns:a="http://schemas.openxmlformats.org/drawingml/2006/main">
          <a:off x="3288053" y="2714245"/>
          <a:ext cx="564195"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0.45809</cdr:x>
      <cdr:y>0.90119</cdr:y>
    </cdr:from>
    <cdr:to>
      <cdr:x>0.5379</cdr:x>
      <cdr:y>0.96469</cdr:y>
    </cdr:to>
    <cdr:sp macro="" textlink="">
      <cdr:nvSpPr>
        <cdr:cNvPr id="4" name="CuadroTexto 1"/>
        <cdr:cNvSpPr txBox="1"/>
      </cdr:nvSpPr>
      <cdr:spPr>
        <a:xfrm xmlns:a="http://schemas.openxmlformats.org/drawingml/2006/main">
          <a:off x="3236840" y="2774049"/>
          <a:ext cx="563938"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0.89107</cdr:x>
      <cdr:y>0.1603</cdr:y>
    </cdr:from>
    <cdr:to>
      <cdr:x>0.89125</cdr:x>
      <cdr:y>0.84581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6296283" y="493438"/>
          <a:ext cx="1272" cy="2110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0.90179</cdr:x>
      <cdr:y>0.90207</cdr:y>
    </cdr:from>
    <cdr:to>
      <cdr:x>0.9816</cdr:x>
      <cdr:y>0.96557</cdr:y>
    </cdr:to>
    <cdr:sp macro="" textlink="">
      <cdr:nvSpPr>
        <cdr:cNvPr id="5" name="CuadroTexto 1"/>
        <cdr:cNvSpPr txBox="1"/>
      </cdr:nvSpPr>
      <cdr:spPr>
        <a:xfrm xmlns:a="http://schemas.openxmlformats.org/drawingml/2006/main">
          <a:off x="6372066" y="2776759"/>
          <a:ext cx="56393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1270</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6253331</xdr:colOff>
      <xdr:row>10</xdr:row>
      <xdr:rowOff>87708</xdr:rowOff>
    </xdr:from>
    <xdr:to>
      <xdr:col>4</xdr:col>
      <xdr:colOff>6253331</xdr:colOff>
      <xdr:row>22</xdr:row>
      <xdr:rowOff>31449</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8123483" y="1748775"/>
          <a:ext cx="0" cy="1895204"/>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3.2"/>
  <sheetData>
    <row r="1" spans="1:2">
      <c r="A1">
        <v>18</v>
      </c>
      <c r="B1" s="137" t="s">
        <v>357</v>
      </c>
    </row>
    <row r="2" spans="1:2">
      <c r="A2" t="s">
        <v>332</v>
      </c>
    </row>
    <row r="3" spans="1:2">
      <c r="A3" t="s">
        <v>355</v>
      </c>
    </row>
    <row r="4" spans="1:2">
      <c r="A4" t="s">
        <v>348</v>
      </c>
    </row>
    <row r="5" spans="1:2">
      <c r="A5" t="s">
        <v>352</v>
      </c>
    </row>
    <row r="6" spans="1:2">
      <c r="A6" t="s">
        <v>358</v>
      </c>
    </row>
    <row r="7" spans="1:2">
      <c r="A7" t="s">
        <v>336</v>
      </c>
    </row>
    <row r="8" spans="1:2">
      <c r="A8" t="s">
        <v>353</v>
      </c>
    </row>
    <row r="9" spans="1:2">
      <c r="A9" t="s">
        <v>333</v>
      </c>
    </row>
    <row r="10" spans="1:2">
      <c r="A10" t="s">
        <v>338</v>
      </c>
    </row>
    <row r="11" spans="1:2">
      <c r="A11" t="s">
        <v>337</v>
      </c>
    </row>
    <row r="12" spans="1:2">
      <c r="A12" t="s">
        <v>341</v>
      </c>
    </row>
    <row r="13" spans="1:2">
      <c r="A13" t="s">
        <v>350</v>
      </c>
    </row>
    <row r="14" spans="1:2">
      <c r="A14" t="s">
        <v>354</v>
      </c>
    </row>
    <row r="15" spans="1:2">
      <c r="A15" t="s">
        <v>342</v>
      </c>
    </row>
    <row r="16" spans="1:2">
      <c r="A16" t="s">
        <v>356</v>
      </c>
    </row>
    <row r="17" spans="1:1">
      <c r="A17" t="s">
        <v>343</v>
      </c>
    </row>
    <row r="18" spans="1:1">
      <c r="A18" t="s">
        <v>339</v>
      </c>
    </row>
    <row r="19" spans="1:1">
      <c r="A19" t="s">
        <v>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Normal="100" workbookViewId="0"/>
  </sheetViews>
  <sheetFormatPr baseColWidth="10" defaultColWidth="11.44140625" defaultRowHeight="13.2"/>
  <cols>
    <col min="1" max="1" width="2.88671875" style="30" customWidth="1"/>
    <col min="2" max="2" width="23.88671875" style="30" customWidth="1"/>
    <col min="3" max="3" width="11.44140625" style="30" customWidth="1"/>
    <col min="4" max="8" width="11.44140625" style="30"/>
    <col min="9" max="9" width="11.5546875" style="30" bestFit="1" customWidth="1"/>
    <col min="10" max="14" width="11.44140625" style="30"/>
    <col min="15" max="15" width="17" style="30" bestFit="1" customWidth="1"/>
    <col min="16" max="16384" width="11.44140625" style="30"/>
  </cols>
  <sheetData>
    <row r="1" spans="1:38">
      <c r="L1" s="19" t="s">
        <v>34</v>
      </c>
    </row>
    <row r="2" spans="1:38">
      <c r="L2" s="20" t="str">
        <f>Indice!E3</f>
        <v>Enero 2022</v>
      </c>
    </row>
    <row r="4" spans="1:38">
      <c r="A4" s="33"/>
      <c r="B4" s="21" t="s">
        <v>33</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95" t="s">
        <v>39</v>
      </c>
      <c r="F7" s="35"/>
      <c r="G7" s="35"/>
      <c r="H7" s="36"/>
      <c r="I7" s="36"/>
      <c r="J7" s="36"/>
      <c r="K7" s="36"/>
      <c r="L7" s="36"/>
      <c r="M7" s="36"/>
      <c r="AC7" s="36"/>
      <c r="AD7" s="36"/>
      <c r="AE7" s="36"/>
      <c r="AF7" s="36"/>
      <c r="AG7" s="36"/>
      <c r="AH7" s="36"/>
      <c r="AI7" s="36"/>
      <c r="AJ7" s="36"/>
      <c r="AK7" s="36"/>
      <c r="AL7" s="36"/>
    </row>
    <row r="8" spans="1:38">
      <c r="B8" s="295"/>
      <c r="F8" s="35"/>
      <c r="G8" s="35"/>
      <c r="H8" s="36"/>
      <c r="I8" s="36"/>
      <c r="J8" s="36"/>
      <c r="K8" s="36"/>
      <c r="L8" s="36"/>
      <c r="M8" s="36"/>
      <c r="AC8" s="36"/>
      <c r="AD8" s="36"/>
      <c r="AE8" s="36"/>
      <c r="AF8" s="36"/>
      <c r="AG8" s="36"/>
      <c r="AH8" s="36"/>
      <c r="AI8" s="36"/>
      <c r="AJ8" s="36"/>
      <c r="AK8" s="36"/>
      <c r="AL8" s="36"/>
    </row>
    <row r="9" spans="1:38">
      <c r="B9" s="52" t="s">
        <v>53</v>
      </c>
      <c r="F9" s="35"/>
      <c r="G9" s="35"/>
    </row>
    <row r="10" spans="1:38">
      <c r="B10" s="295"/>
      <c r="F10" s="35"/>
      <c r="G10" s="35"/>
    </row>
    <row r="11" spans="1:38">
      <c r="B11" s="295"/>
      <c r="F11" s="35"/>
      <c r="G11" s="35"/>
    </row>
    <row r="12" spans="1:38" s="34" customFormat="1">
      <c r="B12" s="295"/>
      <c r="F12" s="35"/>
      <c r="G12" s="35"/>
    </row>
    <row r="13" spans="1:38">
      <c r="B13" s="295"/>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heetViews>
  <sheetFormatPr baseColWidth="10" defaultColWidth="11.44140625" defaultRowHeight="13.2"/>
  <cols>
    <col min="1" max="1" width="2.88671875" style="30" customWidth="1"/>
    <col min="2" max="2" width="21.88671875" style="30" customWidth="1"/>
    <col min="3" max="3" width="11.44140625" style="30" customWidth="1"/>
    <col min="4" max="8" width="11.44140625" style="30"/>
    <col min="9" max="9" width="11.5546875" style="30" bestFit="1" customWidth="1"/>
    <col min="10" max="13" width="11.44140625" style="30"/>
    <col min="14" max="14" width="15.88671875" style="30" customWidth="1"/>
    <col min="15" max="25" width="8.44140625" style="30" customWidth="1"/>
    <col min="26" max="26" width="8.88671875" style="30" customWidth="1"/>
    <col min="27" max="27" width="11.44140625" style="30" customWidth="1"/>
    <col min="28" max="16384" width="11.44140625" style="30"/>
  </cols>
  <sheetData>
    <row r="1" spans="1:37">
      <c r="L1" s="83" t="s">
        <v>34</v>
      </c>
    </row>
    <row r="2" spans="1:37">
      <c r="L2" s="84" t="str">
        <f>Indice!E3</f>
        <v>Enero 2022</v>
      </c>
    </row>
    <row r="4" spans="1:37">
      <c r="A4" s="33"/>
      <c r="B4" s="21" t="s">
        <v>33</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95" t="s">
        <v>54</v>
      </c>
      <c r="F7" s="35"/>
      <c r="G7" s="35"/>
      <c r="H7" s="36"/>
      <c r="I7" s="36"/>
      <c r="J7" s="36"/>
      <c r="K7" s="36"/>
      <c r="L7" s="36"/>
      <c r="M7" s="36"/>
      <c r="AB7" s="36"/>
      <c r="AC7" s="36"/>
      <c r="AD7" s="36"/>
      <c r="AE7" s="36"/>
      <c r="AF7" s="36"/>
      <c r="AG7" s="36"/>
      <c r="AH7" s="36"/>
      <c r="AI7" s="36"/>
      <c r="AJ7" s="36"/>
      <c r="AK7" s="36"/>
    </row>
    <row r="8" spans="1:37">
      <c r="B8" s="295"/>
      <c r="F8" s="35"/>
      <c r="G8" s="35"/>
      <c r="H8" s="36"/>
      <c r="I8" s="36"/>
      <c r="J8" s="36"/>
      <c r="K8" s="36"/>
      <c r="L8" s="36"/>
      <c r="M8" s="36"/>
      <c r="AB8" s="36"/>
      <c r="AC8" s="36"/>
      <c r="AD8" s="36"/>
      <c r="AE8" s="36"/>
      <c r="AF8" s="36"/>
      <c r="AG8" s="36"/>
      <c r="AH8" s="36"/>
      <c r="AI8" s="36"/>
      <c r="AJ8" s="36"/>
      <c r="AK8" s="36"/>
    </row>
    <row r="9" spans="1:37">
      <c r="B9" s="52" t="s">
        <v>53</v>
      </c>
      <c r="F9" s="35"/>
      <c r="G9" s="35"/>
    </row>
    <row r="10" spans="1:37">
      <c r="B10" s="295"/>
      <c r="F10" s="35"/>
      <c r="G10" s="35"/>
    </row>
    <row r="11" spans="1:37" s="34" customFormat="1">
      <c r="B11" s="295"/>
      <c r="F11" s="35"/>
      <c r="G11" s="35"/>
    </row>
    <row r="12" spans="1:37">
      <c r="B12" s="295"/>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3.8">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heetViews>
  <sheetFormatPr baseColWidth="10" defaultColWidth="11.44140625" defaultRowHeight="13.2"/>
  <cols>
    <col min="1" max="1" width="2.88671875" style="30" customWidth="1"/>
    <col min="2" max="2" width="21.88671875" style="30" customWidth="1"/>
    <col min="3" max="3" width="11.44140625" style="30" customWidth="1"/>
    <col min="4" max="8" width="11.44140625" style="30"/>
    <col min="9" max="9" width="11.5546875" style="30" bestFit="1" customWidth="1"/>
    <col min="10" max="13" width="11.44140625" style="30"/>
    <col min="14" max="14" width="15.88671875" style="30" customWidth="1"/>
    <col min="15" max="16384" width="11.44140625" style="30"/>
  </cols>
  <sheetData>
    <row r="1" spans="1:37">
      <c r="L1" s="19" t="s">
        <v>34</v>
      </c>
    </row>
    <row r="2" spans="1:37">
      <c r="L2" s="20" t="str">
        <f>Indice!E3</f>
        <v>Enero 2022</v>
      </c>
    </row>
    <row r="4" spans="1:37">
      <c r="A4" s="33"/>
      <c r="B4" s="21" t="s">
        <v>33</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95" t="s">
        <v>14</v>
      </c>
      <c r="F7" s="35"/>
      <c r="G7" s="35"/>
      <c r="H7" s="36"/>
      <c r="I7" s="36"/>
      <c r="J7" s="36"/>
      <c r="K7" s="36"/>
      <c r="L7" s="36"/>
      <c r="M7" s="36"/>
      <c r="AB7" s="36"/>
      <c r="AC7" s="36"/>
      <c r="AD7" s="36"/>
      <c r="AE7" s="36"/>
      <c r="AF7" s="36"/>
      <c r="AG7" s="36"/>
      <c r="AH7" s="36"/>
      <c r="AI7" s="36"/>
      <c r="AJ7" s="36"/>
      <c r="AK7" s="36"/>
    </row>
    <row r="8" spans="1:37">
      <c r="B8" s="295"/>
      <c r="F8" s="35"/>
      <c r="G8" s="35"/>
      <c r="H8" s="36"/>
      <c r="I8" s="36"/>
      <c r="J8" s="36"/>
      <c r="K8" s="36"/>
      <c r="L8" s="36"/>
      <c r="M8" s="36"/>
      <c r="AB8" s="36"/>
      <c r="AC8" s="36"/>
      <c r="AD8" s="36"/>
      <c r="AE8" s="36"/>
      <c r="AF8" s="36"/>
      <c r="AG8" s="36"/>
      <c r="AH8" s="36"/>
      <c r="AI8" s="36"/>
      <c r="AJ8" s="36"/>
      <c r="AK8" s="36"/>
    </row>
    <row r="9" spans="1:37">
      <c r="B9" s="52" t="s">
        <v>253</v>
      </c>
      <c r="F9" s="35"/>
      <c r="G9" s="35"/>
    </row>
    <row r="10" spans="1:37">
      <c r="B10" s="295"/>
      <c r="F10" s="35"/>
      <c r="G10" s="35"/>
    </row>
    <row r="11" spans="1:37" s="34" customFormat="1">
      <c r="B11" s="295"/>
      <c r="F11" s="35"/>
      <c r="G11" s="35"/>
    </row>
    <row r="12" spans="1:37">
      <c r="B12" s="295"/>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heetViews>
  <sheetFormatPr baseColWidth="10" defaultColWidth="11.44140625" defaultRowHeight="13.2"/>
  <cols>
    <col min="1" max="1" width="2.88671875" style="30" customWidth="1"/>
    <col min="2" max="2" width="23.88671875" style="30" customWidth="1"/>
    <col min="3" max="3" width="11.44140625" style="30" customWidth="1"/>
    <col min="4" max="8" width="11.44140625" style="30"/>
    <col min="9" max="9" width="11.5546875" style="30" bestFit="1" customWidth="1"/>
    <col min="10" max="16384" width="11.44140625" style="30"/>
  </cols>
  <sheetData>
    <row r="1" spans="1:38">
      <c r="L1" s="83" t="s">
        <v>34</v>
      </c>
    </row>
    <row r="2" spans="1:38">
      <c r="L2" s="84" t="str">
        <f>Indice!E3</f>
        <v>Enero 2022</v>
      </c>
    </row>
    <row r="4" spans="1:38">
      <c r="A4" s="33"/>
      <c r="B4" s="21" t="s">
        <v>33</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53</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5"/>
      <c r="F10" s="35"/>
      <c r="G10" s="35"/>
    </row>
    <row r="11" spans="1:38" s="34" customFormat="1" ht="12.75" customHeight="1">
      <c r="B11" s="295"/>
      <c r="F11" s="35"/>
      <c r="G11" s="35"/>
    </row>
    <row r="12" spans="1:38" ht="12.75" customHeight="1">
      <c r="B12" s="29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heetViews>
  <sheetFormatPr baseColWidth="10" defaultColWidth="11.44140625" defaultRowHeight="13.2"/>
  <cols>
    <col min="1" max="1" width="2.88671875" style="30" customWidth="1"/>
    <col min="2" max="2" width="23.88671875" style="30" customWidth="1"/>
    <col min="3" max="3" width="11.44140625" style="30" customWidth="1"/>
    <col min="4" max="8" width="11.44140625" style="30"/>
    <col min="9" max="9" width="11.5546875" style="30" bestFit="1" customWidth="1"/>
    <col min="10" max="16384" width="11.44140625" style="30"/>
  </cols>
  <sheetData>
    <row r="1" spans="1:38">
      <c r="L1" s="83" t="s">
        <v>34</v>
      </c>
    </row>
    <row r="2" spans="1:38">
      <c r="L2" s="84" t="str">
        <f>Indice!E3</f>
        <v>Enero 2022</v>
      </c>
    </row>
    <row r="4" spans="1:38">
      <c r="A4" s="33"/>
      <c r="B4" s="21" t="s">
        <v>33</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95" t="s">
        <v>286</v>
      </c>
      <c r="F7" s="35"/>
      <c r="G7" s="35"/>
      <c r="H7" s="36"/>
      <c r="I7" s="36"/>
      <c r="J7" s="36"/>
      <c r="K7" s="36"/>
      <c r="L7" s="36"/>
      <c r="M7" s="36"/>
      <c r="AC7" s="36"/>
      <c r="AD7" s="36"/>
      <c r="AE7" s="36"/>
      <c r="AF7" s="36"/>
      <c r="AG7" s="36"/>
      <c r="AH7" s="36"/>
      <c r="AI7" s="36"/>
      <c r="AJ7" s="36"/>
      <c r="AK7" s="36"/>
      <c r="AL7" s="36"/>
    </row>
    <row r="8" spans="1:38">
      <c r="B8" s="295"/>
      <c r="F8" s="35"/>
      <c r="G8" s="35"/>
      <c r="H8" s="36"/>
      <c r="I8" s="36"/>
      <c r="J8" s="36"/>
      <c r="K8" s="36"/>
      <c r="L8" s="36"/>
      <c r="M8" s="36"/>
      <c r="AC8" s="36"/>
      <c r="AD8" s="36"/>
      <c r="AE8" s="36"/>
      <c r="AF8" s="36"/>
      <c r="AG8" s="36"/>
      <c r="AH8" s="36"/>
      <c r="AI8" s="36"/>
      <c r="AJ8" s="36"/>
      <c r="AK8" s="36"/>
      <c r="AL8" s="36"/>
    </row>
    <row r="9" spans="1:38" ht="12.75" customHeight="1">
      <c r="B9" s="52" t="s">
        <v>53</v>
      </c>
      <c r="F9" s="35"/>
      <c r="G9" s="35"/>
    </row>
    <row r="10" spans="1:38" ht="12.75" customHeight="1">
      <c r="B10" s="295"/>
      <c r="F10" s="35"/>
      <c r="G10" s="35"/>
    </row>
    <row r="11" spans="1:38" s="34" customFormat="1" ht="12.75" customHeight="1">
      <c r="B11" s="295"/>
      <c r="F11" s="35"/>
      <c r="G11" s="35"/>
    </row>
    <row r="12" spans="1:38" ht="12.75" customHeight="1">
      <c r="B12" s="29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4.4">
      <c r="N35" s="75"/>
      <c r="O35" s="75"/>
      <c r="P35" s="76"/>
      <c r="Q35" s="76"/>
      <c r="R35" s="76"/>
      <c r="S35" s="76"/>
      <c r="T35" s="76"/>
      <c r="U35" s="76"/>
      <c r="V35" s="76"/>
      <c r="W35" s="76"/>
      <c r="X35" s="76"/>
      <c r="Y35" s="76"/>
      <c r="Z35" s="76"/>
      <c r="AA35" s="76"/>
      <c r="AB35" s="76"/>
    </row>
    <row r="36" spans="1:28" ht="12.75" customHeight="1">
      <c r="N36" s="75"/>
    </row>
    <row r="37" spans="1:28" ht="14.4">
      <c r="N37" s="75"/>
      <c r="Z37" s="75"/>
      <c r="AA37" s="75"/>
      <c r="AB37" s="85"/>
    </row>
    <row r="38" spans="1:28" s="22" customFormat="1" ht="14.4">
      <c r="A38" s="30"/>
      <c r="B38" s="30"/>
      <c r="N38" s="75"/>
      <c r="O38" s="30"/>
      <c r="P38" s="30"/>
      <c r="Q38" s="30"/>
      <c r="R38" s="30"/>
      <c r="S38" s="30"/>
      <c r="T38" s="30"/>
      <c r="U38" s="30"/>
      <c r="V38" s="30"/>
      <c r="W38" s="30"/>
      <c r="X38" s="30"/>
      <c r="Y38" s="30"/>
      <c r="Z38" s="80"/>
      <c r="AA38" s="80"/>
      <c r="AB38" s="81"/>
    </row>
    <row r="39" spans="1:28" s="22" customFormat="1" ht="14.4">
      <c r="A39" s="30"/>
      <c r="B39" s="30"/>
      <c r="N39" s="75"/>
      <c r="O39" s="30"/>
      <c r="P39" s="30"/>
      <c r="Q39" s="30"/>
      <c r="R39" s="30"/>
      <c r="S39" s="30"/>
      <c r="T39" s="30"/>
      <c r="U39" s="30"/>
      <c r="V39" s="30"/>
      <c r="W39" s="30"/>
      <c r="X39" s="30"/>
      <c r="Y39" s="30"/>
      <c r="Z39" s="80"/>
      <c r="AA39" s="80"/>
      <c r="AB39" s="81"/>
    </row>
    <row r="40" spans="1:28" s="22" customFormat="1" ht="14.4">
      <c r="A40" s="30"/>
      <c r="B40" s="30"/>
      <c r="N40" s="75"/>
      <c r="O40" s="30"/>
      <c r="P40" s="30"/>
      <c r="Q40" s="30"/>
      <c r="R40" s="30"/>
      <c r="S40" s="30"/>
      <c r="T40" s="30"/>
      <c r="U40" s="30"/>
      <c r="V40" s="30"/>
      <c r="W40" s="30"/>
      <c r="X40" s="30"/>
      <c r="Y40" s="30"/>
      <c r="Z40" s="75"/>
      <c r="AA40" s="75"/>
      <c r="AB40" s="81"/>
    </row>
    <row r="41" spans="1:28" ht="14.4" customHeight="1">
      <c r="C41" s="298" t="s">
        <v>310</v>
      </c>
      <c r="D41" s="298"/>
      <c r="E41" s="298"/>
      <c r="F41" s="298"/>
      <c r="G41" s="298"/>
      <c r="H41" s="298"/>
      <c r="I41" s="298"/>
      <c r="J41" s="298"/>
      <c r="K41" s="298"/>
      <c r="L41" s="298"/>
      <c r="N41" s="75"/>
      <c r="Z41" s="80"/>
      <c r="AA41" s="80"/>
      <c r="AB41" s="81"/>
    </row>
    <row r="42" spans="1:28" ht="14.4">
      <c r="C42" s="298"/>
      <c r="D42" s="298"/>
      <c r="E42" s="298"/>
      <c r="F42" s="298"/>
      <c r="G42" s="298"/>
      <c r="H42" s="298"/>
      <c r="I42" s="298"/>
      <c r="J42" s="298"/>
      <c r="K42" s="298"/>
      <c r="L42" s="298"/>
      <c r="N42" s="75"/>
      <c r="Z42" s="80"/>
      <c r="AA42" s="80"/>
      <c r="AB42" s="81"/>
    </row>
    <row r="43" spans="1:28" ht="14.4">
      <c r="C43" s="275"/>
      <c r="D43" s="275"/>
      <c r="E43" s="275"/>
      <c r="F43" s="275"/>
      <c r="G43" s="275"/>
      <c r="H43" s="275"/>
      <c r="I43" s="275"/>
      <c r="J43" s="275"/>
      <c r="K43" s="275"/>
      <c r="L43" s="275"/>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heetViews>
  <sheetFormatPr baseColWidth="10" defaultColWidth="11.44140625" defaultRowHeight="13.2"/>
  <cols>
    <col min="1" max="1" width="2.88671875" style="30" customWidth="1"/>
    <col min="2" max="2" width="22.109375" style="30" customWidth="1"/>
    <col min="3" max="3" width="11.44140625" style="30" customWidth="1"/>
    <col min="4" max="8" width="11.44140625" style="30"/>
    <col min="9" max="9" width="11.5546875" style="30" bestFit="1" customWidth="1"/>
    <col min="10" max="16384" width="11.44140625" style="30"/>
  </cols>
  <sheetData>
    <row r="1" spans="1:37">
      <c r="L1" s="83" t="s">
        <v>34</v>
      </c>
    </row>
    <row r="2" spans="1:37">
      <c r="L2" s="84" t="str">
        <f>Indice!E3</f>
        <v>Enero 2022</v>
      </c>
    </row>
    <row r="4" spans="1:37">
      <c r="A4" s="33"/>
      <c r="B4" s="21" t="s">
        <v>33</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95" t="s">
        <v>290</v>
      </c>
      <c r="F7" s="35"/>
      <c r="G7" s="35"/>
      <c r="H7" s="36"/>
      <c r="I7" s="36"/>
      <c r="J7" s="36"/>
      <c r="K7" s="36"/>
      <c r="L7" s="36"/>
      <c r="M7" s="36"/>
      <c r="AB7" s="36"/>
      <c r="AC7" s="36"/>
      <c r="AD7" s="36"/>
      <c r="AE7" s="36"/>
      <c r="AF7" s="36"/>
      <c r="AG7" s="36"/>
      <c r="AH7" s="36"/>
      <c r="AI7" s="36"/>
      <c r="AJ7" s="36"/>
      <c r="AK7" s="36"/>
    </row>
    <row r="8" spans="1:37">
      <c r="B8" s="295"/>
      <c r="F8" s="35"/>
      <c r="G8" s="35"/>
      <c r="H8" s="36"/>
      <c r="I8" s="36"/>
      <c r="J8" s="36"/>
      <c r="K8" s="36"/>
      <c r="L8" s="36"/>
      <c r="M8" s="36"/>
      <c r="AB8" s="36"/>
      <c r="AC8" s="36"/>
      <c r="AD8" s="36"/>
      <c r="AE8" s="36"/>
      <c r="AF8" s="36"/>
      <c r="AG8" s="36"/>
      <c r="AH8" s="36"/>
      <c r="AI8" s="36"/>
      <c r="AJ8" s="36"/>
      <c r="AK8" s="36"/>
    </row>
    <row r="9" spans="1:37">
      <c r="B9" s="295"/>
      <c r="F9" s="35"/>
      <c r="G9" s="35"/>
    </row>
    <row r="10" spans="1:37">
      <c r="B10" s="295"/>
      <c r="F10" s="35"/>
      <c r="G10" s="35"/>
    </row>
    <row r="11" spans="1:37" s="34" customFormat="1">
      <c r="B11" s="52" t="s">
        <v>285</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heetViews>
  <sheetFormatPr baseColWidth="10" defaultColWidth="11.44140625" defaultRowHeight="13.2"/>
  <cols>
    <col min="1" max="1" width="2.88671875" style="30" customWidth="1"/>
    <col min="2" max="2" width="21.44140625" style="30" customWidth="1"/>
    <col min="3" max="3" width="11.44140625" style="30" customWidth="1"/>
    <col min="4" max="8" width="11.44140625" style="30"/>
    <col min="9" max="9" width="11.5546875" style="30" bestFit="1" customWidth="1"/>
    <col min="10" max="13" width="11.44140625" style="30"/>
    <col min="14" max="14" width="15.88671875" style="30" customWidth="1"/>
    <col min="15" max="16384" width="11.44140625" style="30"/>
  </cols>
  <sheetData>
    <row r="1" spans="1:38">
      <c r="L1" s="83" t="s">
        <v>34</v>
      </c>
    </row>
    <row r="2" spans="1:38">
      <c r="L2" s="84" t="str">
        <f>Indice!E3</f>
        <v>Enero 2022</v>
      </c>
    </row>
    <row r="4" spans="1:38">
      <c r="A4" s="33"/>
      <c r="B4" s="21" t="s">
        <v>33</v>
      </c>
      <c r="C4" s="33"/>
      <c r="P4" s="74"/>
      <c r="Q4" s="74"/>
      <c r="R4" s="74"/>
      <c r="S4" s="74"/>
      <c r="T4" s="74"/>
      <c r="U4" s="74"/>
      <c r="V4" s="74"/>
      <c r="W4" s="74"/>
      <c r="X4" s="74"/>
      <c r="Y4" s="74"/>
      <c r="Z4" s="74"/>
      <c r="AA4" s="74"/>
    </row>
    <row r="5" spans="1:38" s="34" customFormat="1"/>
    <row r="6" spans="1:38" s="34" customFormat="1"/>
    <row r="7" spans="1:38" ht="12.75" customHeight="1">
      <c r="B7" s="295" t="s">
        <v>26</v>
      </c>
      <c r="F7" s="35"/>
      <c r="G7" s="35"/>
      <c r="H7" s="36"/>
      <c r="I7" s="36"/>
      <c r="J7" s="36"/>
      <c r="K7" s="36"/>
      <c r="L7" s="36"/>
      <c r="M7" s="36"/>
      <c r="AC7" s="36"/>
      <c r="AD7" s="36"/>
      <c r="AE7" s="36"/>
      <c r="AF7" s="36"/>
      <c r="AG7" s="36"/>
      <c r="AH7" s="36"/>
      <c r="AI7" s="36"/>
      <c r="AJ7" s="36"/>
      <c r="AK7" s="36"/>
      <c r="AL7" s="36"/>
    </row>
    <row r="8" spans="1:38">
      <c r="B8" s="295"/>
      <c r="F8" s="35"/>
      <c r="G8" s="35"/>
      <c r="H8" s="36"/>
      <c r="I8" s="36"/>
      <c r="J8" s="36"/>
      <c r="K8" s="36"/>
      <c r="L8" s="36"/>
      <c r="M8" s="36"/>
      <c r="AC8" s="36"/>
      <c r="AD8" s="36"/>
      <c r="AE8" s="36"/>
      <c r="AF8" s="36"/>
      <c r="AG8" s="36"/>
      <c r="AH8" s="36"/>
      <c r="AI8" s="36"/>
      <c r="AJ8" s="36"/>
      <c r="AK8" s="36"/>
      <c r="AL8" s="36"/>
    </row>
    <row r="9" spans="1:38" ht="12.75" customHeight="1">
      <c r="B9" s="52" t="s">
        <v>53</v>
      </c>
      <c r="F9" s="35"/>
      <c r="G9" s="35"/>
    </row>
    <row r="10" spans="1:38" ht="12.75" customHeight="1">
      <c r="B10" s="295"/>
      <c r="F10" s="35"/>
      <c r="G10" s="35"/>
    </row>
    <row r="11" spans="1:38" s="34" customFormat="1" ht="12.75" customHeight="1">
      <c r="B11" s="295"/>
      <c r="F11" s="35"/>
      <c r="G11" s="35"/>
    </row>
    <row r="12" spans="1:38" ht="12.75" customHeight="1">
      <c r="B12" s="29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4.4">
      <c r="Z48" s="75"/>
      <c r="AA48" s="75"/>
      <c r="AB48" s="81"/>
    </row>
    <row r="49" spans="10:28" ht="14.4">
      <c r="Z49" s="80"/>
      <c r="AA49" s="80"/>
      <c r="AB49" s="81"/>
    </row>
    <row r="50" spans="10:28" ht="14.4">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topLeftCell="B58" zoomScaleNormal="100" workbookViewId="0">
      <selection activeCell="F39" sqref="F39"/>
    </sheetView>
  </sheetViews>
  <sheetFormatPr baseColWidth="10" defaultColWidth="11.44140625" defaultRowHeight="13.2"/>
  <cols>
    <col min="1" max="1" width="2.88671875" style="99" customWidth="1"/>
    <col min="2" max="2" width="27.5546875" style="99" customWidth="1"/>
    <col min="3" max="3" width="11.44140625" style="99"/>
    <col min="4" max="4" width="12.88671875" style="99" bestFit="1" customWidth="1"/>
    <col min="5" max="7" width="11.44140625" style="99"/>
    <col min="8" max="8" width="12.88671875" style="99" bestFit="1" customWidth="1"/>
    <col min="9" max="16" width="11.44140625" style="99"/>
    <col min="17" max="17" width="20.6640625" style="99" bestFit="1" customWidth="1"/>
    <col min="18" max="16384" width="11.44140625" style="99"/>
  </cols>
  <sheetData>
    <row r="2" spans="1:5">
      <c r="B2" s="165" t="s">
        <v>199</v>
      </c>
      <c r="C2" s="166"/>
      <c r="D2" s="166"/>
      <c r="E2" s="166"/>
    </row>
    <row r="3" spans="1:5">
      <c r="B3" s="167" t="s">
        <v>200</v>
      </c>
      <c r="C3" s="167" t="s">
        <v>201</v>
      </c>
      <c r="D3" s="167"/>
      <c r="E3" s="167" t="s">
        <v>202</v>
      </c>
    </row>
    <row r="4" spans="1:5">
      <c r="A4" s="168"/>
      <c r="B4" s="167"/>
      <c r="C4" s="167" t="s">
        <v>203</v>
      </c>
      <c r="D4" s="167" t="s">
        <v>204</v>
      </c>
      <c r="E4" s="167"/>
    </row>
    <row r="5" spans="1:5">
      <c r="A5" s="168">
        <v>1</v>
      </c>
      <c r="B5" s="169">
        <f>DATE(YEAR(Dat_01!A$2),MONTH(Dat_01!A$2),Dat_01!A8)</f>
        <v>44562</v>
      </c>
      <c r="C5" s="170">
        <f>Dat_01!C8</f>
        <v>190.81</v>
      </c>
      <c r="D5" s="170">
        <f>Dat_01!B8</f>
        <v>70.05</v>
      </c>
      <c r="E5" s="171">
        <f>AVERAGE(Dat_01!E8:AC8)</f>
        <v>122.62916666666665</v>
      </c>
    </row>
    <row r="6" spans="1:5">
      <c r="A6" s="168">
        <v>2</v>
      </c>
      <c r="B6" s="169">
        <f>DATE(YEAR(Dat_01!A$2),MONTH(Dat_01!A$2),Dat_01!A9)</f>
        <v>44563</v>
      </c>
      <c r="C6" s="170">
        <f>Dat_01!C9</f>
        <v>209.1</v>
      </c>
      <c r="D6" s="170">
        <f>Dat_01!B9</f>
        <v>103.7</v>
      </c>
      <c r="E6" s="171">
        <f>AVERAGE(Dat_01!E9:AC9)</f>
        <v>136.96833333333333</v>
      </c>
    </row>
    <row r="7" spans="1:5">
      <c r="A7" s="168">
        <v>3</v>
      </c>
      <c r="B7" s="169">
        <f>DATE(YEAR(Dat_01!A$2),MONTH(Dat_01!A$2),Dat_01!A10)</f>
        <v>44564</v>
      </c>
      <c r="C7" s="170">
        <f>Dat_01!C10</f>
        <v>189.26</v>
      </c>
      <c r="D7" s="170">
        <f>Dat_01!B10</f>
        <v>100.36</v>
      </c>
      <c r="E7" s="171">
        <f>AVERAGE(Dat_01!E10:AC10)</f>
        <v>150.49833333333336</v>
      </c>
    </row>
    <row r="8" spans="1:5">
      <c r="A8" s="168">
        <v>4</v>
      </c>
      <c r="B8" s="169">
        <f>DATE(YEAR(Dat_01!A$2),MONTH(Dat_01!A$2),Dat_01!A11)</f>
        <v>44565</v>
      </c>
      <c r="C8" s="170">
        <f>Dat_01!C11</f>
        <v>190</v>
      </c>
      <c r="D8" s="170">
        <f>Dat_01!B11</f>
        <v>105</v>
      </c>
      <c r="E8" s="171">
        <f>AVERAGE(Dat_01!E11:AC11)</f>
        <v>152.1454166666667</v>
      </c>
    </row>
    <row r="9" spans="1:5">
      <c r="A9" s="168">
        <v>5</v>
      </c>
      <c r="B9" s="169">
        <f>DATE(YEAR(Dat_01!A$2),MONTH(Dat_01!A$2),Dat_01!A12)</f>
        <v>44566</v>
      </c>
      <c r="C9" s="170">
        <f>Dat_01!C12</f>
        <v>250.34</v>
      </c>
      <c r="D9" s="170">
        <f>Dat_01!B12</f>
        <v>75.38</v>
      </c>
      <c r="E9" s="171">
        <f>AVERAGE(Dat_01!E12:AC12)</f>
        <v>180.20000000000002</v>
      </c>
    </row>
    <row r="10" spans="1:5">
      <c r="A10" s="168">
        <v>6</v>
      </c>
      <c r="B10" s="169">
        <f>DATE(YEAR(Dat_01!A$2),MONTH(Dat_01!A$2),Dat_01!A13)</f>
        <v>44567</v>
      </c>
      <c r="C10" s="170">
        <f>Dat_01!C13</f>
        <v>278.36</v>
      </c>
      <c r="D10" s="170">
        <f>Dat_01!B13</f>
        <v>170.1</v>
      </c>
      <c r="E10" s="171">
        <f>AVERAGE(Dat_01!E13:AC13)</f>
        <v>212.97916666666666</v>
      </c>
    </row>
    <row r="11" spans="1:5">
      <c r="A11" s="168">
        <v>7</v>
      </c>
      <c r="B11" s="169">
        <f>DATE(YEAR(Dat_01!A$2),MONTH(Dat_01!A$2),Dat_01!A14)</f>
        <v>44568</v>
      </c>
      <c r="C11" s="170">
        <f>Dat_01!C14</f>
        <v>260</v>
      </c>
      <c r="D11" s="170">
        <f>Dat_01!B14</f>
        <v>162.80000000000001</v>
      </c>
      <c r="E11" s="171">
        <f>AVERAGE(Dat_01!E14:AC14)</f>
        <v>215.85583333333341</v>
      </c>
    </row>
    <row r="12" spans="1:5">
      <c r="A12" s="168">
        <v>8</v>
      </c>
      <c r="B12" s="169">
        <f>DATE(YEAR(Dat_01!A$2),MONTH(Dat_01!A$2),Dat_01!A15)</f>
        <v>44569</v>
      </c>
      <c r="C12" s="170">
        <f>Dat_01!C15</f>
        <v>270.02</v>
      </c>
      <c r="D12" s="170">
        <f>Dat_01!B15</f>
        <v>147.94</v>
      </c>
      <c r="E12" s="171">
        <f>AVERAGE(Dat_01!E15:AC15)</f>
        <v>203.44624999999999</v>
      </c>
    </row>
    <row r="13" spans="1:5">
      <c r="A13" s="168">
        <v>9</v>
      </c>
      <c r="B13" s="169">
        <f>DATE(YEAR(Dat_01!A$2),MONTH(Dat_01!A$2),Dat_01!A16)</f>
        <v>44570</v>
      </c>
      <c r="C13" s="170">
        <f>Dat_01!C16</f>
        <v>240</v>
      </c>
      <c r="D13" s="170">
        <f>Dat_01!B16</f>
        <v>14</v>
      </c>
      <c r="E13" s="171">
        <f>AVERAGE(Dat_01!E16:AC16)</f>
        <v>119.24375000000002</v>
      </c>
    </row>
    <row r="14" spans="1:5">
      <c r="A14" s="168">
        <v>10</v>
      </c>
      <c r="B14" s="169">
        <f>DATE(YEAR(Dat_01!A$2),MONTH(Dat_01!A$2),Dat_01!A17)</f>
        <v>44571</v>
      </c>
      <c r="C14" s="170">
        <f>Dat_01!C17</f>
        <v>294.98</v>
      </c>
      <c r="D14" s="170">
        <f>Dat_01!B17</f>
        <v>158.69999999999999</v>
      </c>
      <c r="E14" s="171">
        <f>AVERAGE(Dat_01!E17:AC17)</f>
        <v>217.26458333333335</v>
      </c>
    </row>
    <row r="15" spans="1:5">
      <c r="A15" s="168">
        <v>11</v>
      </c>
      <c r="B15" s="169">
        <f>DATE(YEAR(Dat_01!A$2),MONTH(Dat_01!A$2),Dat_01!A18)</f>
        <v>44572</v>
      </c>
      <c r="C15" s="170">
        <f>Dat_01!C18</f>
        <v>262.66000000000003</v>
      </c>
      <c r="D15" s="170">
        <f>Dat_01!B18</f>
        <v>193</v>
      </c>
      <c r="E15" s="171">
        <f>AVERAGE(Dat_01!E18:AC18)</f>
        <v>223.16333333333333</v>
      </c>
    </row>
    <row r="16" spans="1:5">
      <c r="A16" s="168">
        <v>12</v>
      </c>
      <c r="B16" s="169">
        <f>DATE(YEAR(Dat_01!A$2),MONTH(Dat_01!A$2),Dat_01!A19)</f>
        <v>44573</v>
      </c>
      <c r="C16" s="170">
        <f>Dat_01!C19</f>
        <v>261.38</v>
      </c>
      <c r="D16" s="170">
        <f>Dat_01!B19</f>
        <v>178.33</v>
      </c>
      <c r="E16" s="171">
        <f>AVERAGE(Dat_01!E19:AC19)</f>
        <v>206.06833333333338</v>
      </c>
    </row>
    <row r="17" spans="1:5">
      <c r="A17" s="168">
        <v>13</v>
      </c>
      <c r="B17" s="169">
        <f>DATE(YEAR(Dat_01!A$2),MONTH(Dat_01!A$2),Dat_01!A20)</f>
        <v>44574</v>
      </c>
      <c r="C17" s="170">
        <f>Dat_01!C20</f>
        <v>262.95</v>
      </c>
      <c r="D17" s="170">
        <f>Dat_01!B20</f>
        <v>182.88</v>
      </c>
      <c r="E17" s="171">
        <f>AVERAGE(Dat_01!E20:AC20)</f>
        <v>215.10499999999999</v>
      </c>
    </row>
    <row r="18" spans="1:5">
      <c r="A18" s="168">
        <v>14</v>
      </c>
      <c r="B18" s="169">
        <f>DATE(YEAR(Dat_01!A$2),MONTH(Dat_01!A$2),Dat_01!A21)</f>
        <v>44575</v>
      </c>
      <c r="C18" s="170">
        <f>Dat_01!C21</f>
        <v>235.01</v>
      </c>
      <c r="D18" s="170">
        <f>Dat_01!B21</f>
        <v>180.3</v>
      </c>
      <c r="E18" s="171">
        <f>AVERAGE(Dat_01!E21:AC21)</f>
        <v>202.94708333333335</v>
      </c>
    </row>
    <row r="19" spans="1:5">
      <c r="A19" s="168">
        <v>15</v>
      </c>
      <c r="B19" s="169">
        <f>DATE(YEAR(Dat_01!A$2),MONTH(Dat_01!A$2),Dat_01!A22)</f>
        <v>44576</v>
      </c>
      <c r="C19" s="170">
        <f>Dat_01!C22</f>
        <v>267.02999999999997</v>
      </c>
      <c r="D19" s="170">
        <f>Dat_01!B22</f>
        <v>193.04</v>
      </c>
      <c r="E19" s="171">
        <f>AVERAGE(Dat_01!E22:AC22)</f>
        <v>218.81833333333336</v>
      </c>
    </row>
    <row r="20" spans="1:5">
      <c r="A20" s="168">
        <v>16</v>
      </c>
      <c r="B20" s="169">
        <f>DATE(YEAR(Dat_01!A$2),MONTH(Dat_01!A$2),Dat_01!A23)</f>
        <v>44577</v>
      </c>
      <c r="C20" s="170">
        <f>Dat_01!C23</f>
        <v>265.36</v>
      </c>
      <c r="D20" s="170">
        <f>Dat_01!B23</f>
        <v>186.6</v>
      </c>
      <c r="E20" s="171">
        <f>AVERAGE(Dat_01!E23:AC23)</f>
        <v>213.09624999999997</v>
      </c>
    </row>
    <row r="21" spans="1:5">
      <c r="A21" s="168">
        <v>17</v>
      </c>
      <c r="B21" s="169">
        <f>DATE(YEAR(Dat_01!A$2),MONTH(Dat_01!A$2),Dat_01!A24)</f>
        <v>44578</v>
      </c>
      <c r="C21" s="170">
        <f>Dat_01!C24</f>
        <v>285.68</v>
      </c>
      <c r="D21" s="170">
        <f>Dat_01!B24</f>
        <v>209.55</v>
      </c>
      <c r="E21" s="171">
        <f>AVERAGE(Dat_01!E24:AC24)</f>
        <v>244.66958333333341</v>
      </c>
    </row>
    <row r="22" spans="1:5">
      <c r="A22" s="168">
        <v>18</v>
      </c>
      <c r="B22" s="169">
        <f>DATE(YEAR(Dat_01!A$2),MONTH(Dat_01!A$2),Dat_01!A25)</f>
        <v>44579</v>
      </c>
      <c r="C22" s="170">
        <f>Dat_01!C25</f>
        <v>272.22000000000003</v>
      </c>
      <c r="D22" s="170">
        <f>Dat_01!B25</f>
        <v>193.99</v>
      </c>
      <c r="E22" s="171">
        <f>AVERAGE(Dat_01!E25:AC25)</f>
        <v>222.73000000000002</v>
      </c>
    </row>
    <row r="23" spans="1:5">
      <c r="A23" s="168">
        <v>19</v>
      </c>
      <c r="B23" s="169">
        <f>DATE(YEAR(Dat_01!A$2),MONTH(Dat_01!A$2),Dat_01!A26)</f>
        <v>44580</v>
      </c>
      <c r="C23" s="170">
        <f>Dat_01!C26</f>
        <v>259.81</v>
      </c>
      <c r="D23" s="170">
        <f>Dat_01!B26</f>
        <v>179.64</v>
      </c>
      <c r="E23" s="171">
        <f>AVERAGE(Dat_01!E26:AC26)</f>
        <v>213.16083333333333</v>
      </c>
    </row>
    <row r="24" spans="1:5">
      <c r="A24" s="168">
        <v>20</v>
      </c>
      <c r="B24" s="169">
        <f>DATE(YEAR(Dat_01!A$2),MONTH(Dat_01!A$2),Dat_01!A27)</f>
        <v>44581</v>
      </c>
      <c r="C24" s="170">
        <f>Dat_01!C27</f>
        <v>239.38</v>
      </c>
      <c r="D24" s="170">
        <f>Dat_01!B27</f>
        <v>160.69</v>
      </c>
      <c r="E24" s="171">
        <f>AVERAGE(Dat_01!E27:AC27)</f>
        <v>190.63916666666668</v>
      </c>
    </row>
    <row r="25" spans="1:5">
      <c r="A25" s="168">
        <v>21</v>
      </c>
      <c r="B25" s="169">
        <f>DATE(YEAR(Dat_01!A$2),MONTH(Dat_01!A$2),Dat_01!A28)</f>
        <v>44582</v>
      </c>
      <c r="C25" s="170">
        <f>Dat_01!C28</f>
        <v>214.7</v>
      </c>
      <c r="D25" s="170">
        <f>Dat_01!B28</f>
        <v>154.69999999999999</v>
      </c>
      <c r="E25" s="171">
        <f>AVERAGE(Dat_01!E28:AC28)</f>
        <v>179.08958333333331</v>
      </c>
    </row>
    <row r="26" spans="1:5">
      <c r="A26" s="168">
        <v>22</v>
      </c>
      <c r="B26" s="169">
        <f>DATE(YEAR(Dat_01!A$2),MONTH(Dat_01!A$2),Dat_01!A29)</f>
        <v>44583</v>
      </c>
      <c r="C26" s="170">
        <f>Dat_01!C29</f>
        <v>245.27</v>
      </c>
      <c r="D26" s="170">
        <f>Dat_01!B29</f>
        <v>166.9</v>
      </c>
      <c r="E26" s="171">
        <f>AVERAGE(Dat_01!E29:AC29)</f>
        <v>190.41458333333335</v>
      </c>
    </row>
    <row r="27" spans="1:5">
      <c r="A27" s="168">
        <v>23</v>
      </c>
      <c r="B27" s="169">
        <f>DATE(YEAR(Dat_01!A$2),MONTH(Dat_01!A$2),Dat_01!A30)</f>
        <v>44584</v>
      </c>
      <c r="C27" s="170">
        <f>Dat_01!C30</f>
        <v>249</v>
      </c>
      <c r="D27" s="170">
        <f>Dat_01!B30</f>
        <v>179.04</v>
      </c>
      <c r="E27" s="171">
        <f>AVERAGE(Dat_01!E30:AC30)</f>
        <v>201.34000000000003</v>
      </c>
    </row>
    <row r="28" spans="1:5">
      <c r="A28" s="168">
        <v>24</v>
      </c>
      <c r="B28" s="169">
        <f>DATE(YEAR(Dat_01!A$2),MONTH(Dat_01!A$2),Dat_01!A31)</f>
        <v>44585</v>
      </c>
      <c r="C28" s="170">
        <f>Dat_01!C31</f>
        <v>297.33</v>
      </c>
      <c r="D28" s="170">
        <f>Dat_01!B31</f>
        <v>177.46</v>
      </c>
      <c r="E28" s="171">
        <f>AVERAGE(Dat_01!E31:AC31)</f>
        <v>226.99875000000006</v>
      </c>
    </row>
    <row r="29" spans="1:5">
      <c r="A29" s="168">
        <v>25</v>
      </c>
      <c r="B29" s="169">
        <f>DATE(YEAR(Dat_01!A$2),MONTH(Dat_01!A$2),Dat_01!A32)</f>
        <v>44586</v>
      </c>
      <c r="C29" s="170">
        <f>Dat_01!C32</f>
        <v>256.36</v>
      </c>
      <c r="D29" s="170">
        <f>Dat_01!B32</f>
        <v>196.24</v>
      </c>
      <c r="E29" s="171">
        <f>AVERAGE(Dat_01!E32:AC32)</f>
        <v>224.23666666666665</v>
      </c>
    </row>
    <row r="30" spans="1:5">
      <c r="A30" s="168">
        <v>26</v>
      </c>
      <c r="B30" s="169">
        <f>DATE(YEAR(Dat_01!A$2),MONTH(Dat_01!A$2),Dat_01!A33)</f>
        <v>44587</v>
      </c>
      <c r="C30" s="170">
        <f>Dat_01!C33</f>
        <v>250</v>
      </c>
      <c r="D30" s="170">
        <f>Dat_01!B33</f>
        <v>225.01</v>
      </c>
      <c r="E30" s="171">
        <f>AVERAGE(Dat_01!E33:AC33)</f>
        <v>236.77125000000001</v>
      </c>
    </row>
    <row r="31" spans="1:5">
      <c r="A31" s="168">
        <v>27</v>
      </c>
      <c r="B31" s="169">
        <f>DATE(YEAR(Dat_01!A$2),MONTH(Dat_01!A$2),Dat_01!A34)</f>
        <v>44588</v>
      </c>
      <c r="C31" s="170">
        <f>Dat_01!C34</f>
        <v>249.01</v>
      </c>
      <c r="D31" s="170">
        <f>Dat_01!B34</f>
        <v>215.75</v>
      </c>
      <c r="E31" s="171">
        <f>AVERAGE(Dat_01!E34:AC34)</f>
        <v>232.50208333333333</v>
      </c>
    </row>
    <row r="32" spans="1:5">
      <c r="A32" s="168">
        <v>28</v>
      </c>
      <c r="B32" s="169">
        <f>DATE(YEAR(Dat_01!A$2),MONTH(Dat_01!A$2),Dat_01!A35)</f>
        <v>44589</v>
      </c>
      <c r="C32" s="170">
        <f>Dat_01!C35</f>
        <v>255.38</v>
      </c>
      <c r="D32" s="170">
        <f>Dat_01!B35</f>
        <v>190</v>
      </c>
      <c r="E32" s="171">
        <f>AVERAGE(Dat_01!E35:AC35)</f>
        <v>224.5879166666667</v>
      </c>
    </row>
    <row r="33" spans="1:10">
      <c r="A33" s="168">
        <v>29</v>
      </c>
      <c r="B33" s="169">
        <f>DATE(YEAR(Dat_01!A$2),MONTH(Dat_01!A$2),Dat_01!A36)</f>
        <v>44590</v>
      </c>
      <c r="C33" s="170">
        <f>Dat_01!C36</f>
        <v>263.02999999999997</v>
      </c>
      <c r="D33" s="170">
        <f>Dat_01!B36</f>
        <v>181.97</v>
      </c>
      <c r="E33" s="171">
        <f>AVERAGE(Dat_01!E36:AC36)</f>
        <v>223.35499999999993</v>
      </c>
      <c r="H33" s="217"/>
      <c r="I33" s="217"/>
    </row>
    <row r="34" spans="1:10">
      <c r="A34" s="168">
        <v>30</v>
      </c>
      <c r="B34" s="169">
        <f>DATE(YEAR(Dat_01!A$2),MONTH(Dat_01!A$2),Dat_01!A37)</f>
        <v>44591</v>
      </c>
      <c r="C34" s="170">
        <f>Dat_01!C37</f>
        <v>268.64999999999998</v>
      </c>
      <c r="D34" s="170">
        <f>Dat_01!B37</f>
        <v>206.5</v>
      </c>
      <c r="E34" s="171">
        <f>AVERAGE(Dat_01!E37:AC37)</f>
        <v>230.50458333333333</v>
      </c>
    </row>
    <row r="35" spans="1:10">
      <c r="A35" s="168"/>
      <c r="B35" s="169">
        <f>DATE(YEAR(Dat_01!A$2),MONTH(Dat_01!A$2),Dat_01!A38)</f>
        <v>44592</v>
      </c>
      <c r="C35" s="170">
        <f>Dat_01!C38</f>
        <v>260</v>
      </c>
      <c r="D35" s="170">
        <f>Dat_01!B38</f>
        <v>167.8</v>
      </c>
      <c r="E35" s="171">
        <f>AVERAGE(Dat_01!E38:AC38)</f>
        <v>221.81708333333333</v>
      </c>
    </row>
    <row r="36" spans="1:10">
      <c r="A36" s="168"/>
      <c r="B36" s="167" t="s">
        <v>86</v>
      </c>
      <c r="C36" s="167" t="s">
        <v>87</v>
      </c>
      <c r="D36" s="167" t="s">
        <v>87</v>
      </c>
      <c r="E36" s="171">
        <f>AVERAGE(E5:E35)</f>
        <v>201.71762096774194</v>
      </c>
    </row>
    <row r="37" spans="1:10">
      <c r="A37" s="168"/>
      <c r="B37" s="167"/>
      <c r="C37" s="167"/>
      <c r="D37" s="167"/>
      <c r="E37" s="171"/>
    </row>
    <row r="38" spans="1:10">
      <c r="A38" s="168"/>
      <c r="B38" s="167"/>
      <c r="C38" s="167"/>
      <c r="D38" s="167"/>
      <c r="E38" s="171"/>
    </row>
    <row r="39" spans="1:10">
      <c r="A39" s="168"/>
      <c r="B39" s="167"/>
      <c r="C39" s="167"/>
      <c r="D39" s="167" t="s">
        <v>205</v>
      </c>
      <c r="E39" s="171">
        <f>AVERAGE(Dat_01!E8:AC38)</f>
        <v>201.71762096774194</v>
      </c>
      <c r="F39" s="216">
        <v>60.17</v>
      </c>
      <c r="G39" s="215">
        <f>(E39/F39-1)</f>
        <v>2.3524617079564889</v>
      </c>
    </row>
    <row r="40" spans="1:10">
      <c r="B40" s="167"/>
      <c r="C40" s="167"/>
      <c r="D40" s="167"/>
      <c r="E40" s="167"/>
    </row>
    <row r="41" spans="1:10">
      <c r="B41" s="172"/>
    </row>
    <row r="42" spans="1:10">
      <c r="A42" s="168"/>
      <c r="B42" s="125" t="s">
        <v>206</v>
      </c>
    </row>
    <row r="43" spans="1:10">
      <c r="A43" s="168"/>
      <c r="B43" s="16"/>
      <c r="C43" s="299" t="s">
        <v>20</v>
      </c>
      <c r="D43" s="299" t="s">
        <v>42</v>
      </c>
      <c r="E43" s="299" t="s">
        <v>43</v>
      </c>
      <c r="F43" s="299" t="s">
        <v>44</v>
      </c>
      <c r="G43" s="299" t="s">
        <v>24</v>
      </c>
      <c r="H43" s="299" t="s">
        <v>45</v>
      </c>
      <c r="I43" s="299" t="s">
        <v>46</v>
      </c>
      <c r="J43" s="299" t="s">
        <v>47</v>
      </c>
    </row>
    <row r="44" spans="1:10">
      <c r="A44" s="168"/>
      <c r="B44" s="17"/>
      <c r="C44" s="300"/>
      <c r="D44" s="300"/>
      <c r="E44" s="300"/>
      <c r="F44" s="300"/>
      <c r="G44" s="300"/>
      <c r="H44" s="300"/>
      <c r="I44" s="300"/>
      <c r="J44" s="300"/>
    </row>
    <row r="45" spans="1:10">
      <c r="A45" s="258" t="s">
        <v>5</v>
      </c>
      <c r="B45" s="239" t="str">
        <f>Dat_01!B344</f>
        <v>ENE-21</v>
      </c>
      <c r="C45" s="54">
        <f>Dat_01!C344</f>
        <v>55.645161290322584</v>
      </c>
      <c r="D45" s="54">
        <f>Dat_01!D344</f>
        <v>11.29032258064516</v>
      </c>
      <c r="E45" s="54">
        <f>Dat_01!E344</f>
        <v>0</v>
      </c>
      <c r="F45" s="54">
        <f>Dat_01!F344</f>
        <v>0</v>
      </c>
      <c r="G45" s="54">
        <f>Dat_01!G344</f>
        <v>5.040322580645161</v>
      </c>
      <c r="H45" s="54">
        <f>Dat_01!H344</f>
        <v>6.0483870967741939</v>
      </c>
      <c r="I45" s="54">
        <f>Dat_01!I344</f>
        <v>0</v>
      </c>
      <c r="J45" s="54">
        <f>Dat_01!J344</f>
        <v>21.975806451612904</v>
      </c>
    </row>
    <row r="46" spans="1:10">
      <c r="A46" s="258" t="s">
        <v>6</v>
      </c>
      <c r="B46" s="239" t="str">
        <f>Dat_01!B345</f>
        <v>FEB-21</v>
      </c>
      <c r="C46" s="54">
        <f>Dat_01!C345</f>
        <v>43.824404761904759</v>
      </c>
      <c r="D46" s="54">
        <f>Dat_01!D345</f>
        <v>14.211309523809524</v>
      </c>
      <c r="E46" s="54">
        <f>Dat_01!E345</f>
        <v>0</v>
      </c>
      <c r="F46" s="54">
        <f>Dat_01!F345</f>
        <v>0.14880952380952381</v>
      </c>
      <c r="G46" s="54">
        <f>Dat_01!G345</f>
        <v>3.0009920634920637</v>
      </c>
      <c r="H46" s="54">
        <f>Dat_01!H345</f>
        <v>2.0337301587301586</v>
      </c>
      <c r="I46" s="54">
        <f>Dat_01!I345</f>
        <v>0</v>
      </c>
      <c r="J46" s="54">
        <f>Dat_01!J345</f>
        <v>36.780753968253968</v>
      </c>
    </row>
    <row r="47" spans="1:10">
      <c r="A47" s="258" t="s">
        <v>7</v>
      </c>
      <c r="B47" s="239" t="str">
        <f>Dat_01!B346</f>
        <v>MAR-21</v>
      </c>
      <c r="C47" s="54">
        <f>Dat_01!C346</f>
        <v>57.053009883198563</v>
      </c>
      <c r="D47" s="54">
        <f>Dat_01!D346</f>
        <v>9.681042228212041</v>
      </c>
      <c r="E47" s="54">
        <f>Dat_01!E346</f>
        <v>0</v>
      </c>
      <c r="F47" s="54">
        <f>Dat_01!F346</f>
        <v>0.26954177897574128</v>
      </c>
      <c r="G47" s="54">
        <f>Dat_01!G346</f>
        <v>4.7843665768194068</v>
      </c>
      <c r="H47" s="54">
        <f>Dat_01!H346</f>
        <v>0.87601078167115909</v>
      </c>
      <c r="I47" s="54">
        <f>Dat_01!I346</f>
        <v>0</v>
      </c>
      <c r="J47" s="54">
        <f>Dat_01!J346</f>
        <v>27.336028751123091</v>
      </c>
    </row>
    <row r="48" spans="1:10">
      <c r="A48" s="258" t="s">
        <v>8</v>
      </c>
      <c r="B48" s="239" t="str">
        <f>Dat_01!B347</f>
        <v>ABR-21</v>
      </c>
      <c r="C48" s="54">
        <f>Dat_01!C347</f>
        <v>60.486111111111107</v>
      </c>
      <c r="D48" s="54">
        <f>Dat_01!D347</f>
        <v>8.4722222222222232</v>
      </c>
      <c r="E48" s="54">
        <f>Dat_01!E347</f>
        <v>0</v>
      </c>
      <c r="F48" s="54">
        <f>Dat_01!F347</f>
        <v>0</v>
      </c>
      <c r="G48" s="54">
        <f>Dat_01!G347</f>
        <v>9.7453703703703702</v>
      </c>
      <c r="H48" s="54">
        <f>Dat_01!H347</f>
        <v>5.1620370370370363</v>
      </c>
      <c r="I48" s="54">
        <f>Dat_01!I347</f>
        <v>0</v>
      </c>
      <c r="J48" s="54">
        <f>Dat_01!J347</f>
        <v>16.13425925925926</v>
      </c>
    </row>
    <row r="49" spans="1:12">
      <c r="A49" s="258" t="s">
        <v>7</v>
      </c>
      <c r="B49" s="239" t="str">
        <f>Dat_01!B348</f>
        <v>MAY-21</v>
      </c>
      <c r="C49" s="54">
        <f>Dat_01!C348</f>
        <v>56.093189964157702</v>
      </c>
      <c r="D49" s="54">
        <f>Dat_01!D348</f>
        <v>10.125448028673835</v>
      </c>
      <c r="E49" s="54">
        <f>Dat_01!E348</f>
        <v>0</v>
      </c>
      <c r="F49" s="54">
        <f>Dat_01!F348</f>
        <v>0</v>
      </c>
      <c r="G49" s="54">
        <f>Dat_01!G348</f>
        <v>7.93010752688172</v>
      </c>
      <c r="H49" s="54">
        <f>Dat_01!H348</f>
        <v>0.13440860215053765</v>
      </c>
      <c r="I49" s="54">
        <f>Dat_01!I348</f>
        <v>0</v>
      </c>
      <c r="J49" s="54">
        <f>Dat_01!J348</f>
        <v>25.716845878136201</v>
      </c>
    </row>
    <row r="50" spans="1:12">
      <c r="A50" s="258" t="s">
        <v>9</v>
      </c>
      <c r="B50" s="239" t="str">
        <f>Dat_01!B349</f>
        <v>JUN-21</v>
      </c>
      <c r="C50" s="54">
        <f>Dat_01!C349</f>
        <v>59.050925925925931</v>
      </c>
      <c r="D50" s="54">
        <f>Dat_01!D349</f>
        <v>3.4722222222222223</v>
      </c>
      <c r="E50" s="54">
        <f>Dat_01!E349</f>
        <v>0</v>
      </c>
      <c r="F50" s="54">
        <f>Dat_01!F349</f>
        <v>0</v>
      </c>
      <c r="G50" s="54">
        <f>Dat_01!G349</f>
        <v>22.847222222222221</v>
      </c>
      <c r="H50" s="54">
        <f>Dat_01!H349</f>
        <v>0.625</v>
      </c>
      <c r="I50" s="54">
        <f>Dat_01!I349</f>
        <v>0</v>
      </c>
      <c r="J50" s="54">
        <f>Dat_01!J349</f>
        <v>14.004629629629628</v>
      </c>
    </row>
    <row r="51" spans="1:12">
      <c r="A51" s="258" t="s">
        <v>9</v>
      </c>
      <c r="B51" s="239" t="str">
        <f>Dat_01!B350</f>
        <v>JUL-21</v>
      </c>
      <c r="C51" s="54">
        <f>Dat_01!C350</f>
        <v>54.424283154121866</v>
      </c>
      <c r="D51" s="54">
        <f>Dat_01!D350</f>
        <v>7.4708781362007164</v>
      </c>
      <c r="E51" s="54">
        <f>Dat_01!E350</f>
        <v>0</v>
      </c>
      <c r="F51" s="54">
        <f>Dat_01!F350</f>
        <v>0</v>
      </c>
      <c r="G51" s="54">
        <f>Dat_01!G350</f>
        <v>20.71012544802867</v>
      </c>
      <c r="H51" s="54">
        <f>Dat_01!H350</f>
        <v>2.486559139784946</v>
      </c>
      <c r="I51" s="54">
        <f>Dat_01!I350</f>
        <v>0</v>
      </c>
      <c r="J51" s="54">
        <f>Dat_01!J350</f>
        <v>14.908154121863801</v>
      </c>
    </row>
    <row r="52" spans="1:12">
      <c r="A52" s="258" t="s">
        <v>8</v>
      </c>
      <c r="B52" s="239" t="str">
        <f>Dat_01!B351</f>
        <v>AGO-21</v>
      </c>
      <c r="C52" s="54">
        <f>Dat_01!C351</f>
        <v>51.211305518169581</v>
      </c>
      <c r="D52" s="54">
        <f>Dat_01!D351</f>
        <v>6.9313593539703895</v>
      </c>
      <c r="E52" s="54">
        <f>Dat_01!E351</f>
        <v>0</v>
      </c>
      <c r="F52" s="54">
        <f>Dat_01!F351</f>
        <v>0</v>
      </c>
      <c r="G52" s="54">
        <f>Dat_01!G351</f>
        <v>20.659488559892328</v>
      </c>
      <c r="H52" s="54">
        <f>Dat_01!H351</f>
        <v>1.2786002691790039</v>
      </c>
      <c r="I52" s="54">
        <f>Dat_01!I351</f>
        <v>0</v>
      </c>
      <c r="J52" s="54">
        <f>Dat_01!J351</f>
        <v>19.919246298788696</v>
      </c>
    </row>
    <row r="53" spans="1:12">
      <c r="A53" s="258" t="s">
        <v>10</v>
      </c>
      <c r="B53" s="239" t="str">
        <f>Dat_01!B352</f>
        <v>SEP-21</v>
      </c>
      <c r="C53" s="54">
        <f>Dat_01!C352</f>
        <v>48.585999072786279</v>
      </c>
      <c r="D53" s="54">
        <f>Dat_01!D352</f>
        <v>7.3945294390356979</v>
      </c>
      <c r="E53" s="54">
        <f>Dat_01!E352</f>
        <v>0</v>
      </c>
      <c r="F53" s="54">
        <f>Dat_01!F352</f>
        <v>0</v>
      </c>
      <c r="G53" s="54">
        <f>Dat_01!G352</f>
        <v>27.677329624478443</v>
      </c>
      <c r="H53" s="54">
        <f>Dat_01!H352</f>
        <v>3.2452480296708393</v>
      </c>
      <c r="I53" s="54">
        <f>Dat_01!I352</f>
        <v>0</v>
      </c>
      <c r="J53" s="54">
        <f>Dat_01!J352</f>
        <v>13.096893834028741</v>
      </c>
    </row>
    <row r="54" spans="1:12">
      <c r="A54" s="258" t="s">
        <v>11</v>
      </c>
      <c r="B54" s="239" t="str">
        <f>Dat_01!B353</f>
        <v>OCT-21</v>
      </c>
      <c r="C54" s="54">
        <f>Dat_01!C353</f>
        <v>47.515666965085046</v>
      </c>
      <c r="D54" s="54">
        <f>Dat_01!D353</f>
        <v>11.526410026857652</v>
      </c>
      <c r="E54" s="54">
        <f>Dat_01!E353</f>
        <v>0</v>
      </c>
      <c r="F54" s="54">
        <f>Dat_01!F353</f>
        <v>0</v>
      </c>
      <c r="G54" s="54">
        <f>Dat_01!G353</f>
        <v>13.093106535362578</v>
      </c>
      <c r="H54" s="54">
        <f>Dat_01!H353</f>
        <v>3.0214861235452104</v>
      </c>
      <c r="I54" s="54">
        <f>Dat_01!I353</f>
        <v>0</v>
      </c>
      <c r="J54" s="54">
        <f>Dat_01!J353</f>
        <v>24.843330349149511</v>
      </c>
    </row>
    <row r="55" spans="1:12">
      <c r="A55" s="258" t="s">
        <v>12</v>
      </c>
      <c r="B55" s="239" t="str">
        <f>Dat_01!B354</f>
        <v>NOV-21</v>
      </c>
      <c r="C55" s="54">
        <f>Dat_01!C354</f>
        <v>40.671296296296305</v>
      </c>
      <c r="D55" s="54">
        <f>Dat_01!D354</f>
        <v>9.2824074074074083</v>
      </c>
      <c r="E55" s="54">
        <f>Dat_01!E354</f>
        <v>0</v>
      </c>
      <c r="F55" s="54">
        <f>Dat_01!F354</f>
        <v>0.1388888888888889</v>
      </c>
      <c r="G55" s="54">
        <f>Dat_01!G354</f>
        <v>25</v>
      </c>
      <c r="H55" s="54">
        <f>Dat_01!H354</f>
        <v>2.9166666666666665</v>
      </c>
      <c r="I55" s="54">
        <f>Dat_01!I354</f>
        <v>0</v>
      </c>
      <c r="J55" s="54">
        <f>Dat_01!J354</f>
        <v>21.990740740740737</v>
      </c>
    </row>
    <row r="56" spans="1:12">
      <c r="A56" s="258" t="s">
        <v>13</v>
      </c>
      <c r="B56" s="239" t="str">
        <f>Dat_01!B355</f>
        <v>DIC-21</v>
      </c>
      <c r="C56" s="54">
        <f>Dat_01!C355</f>
        <v>46.102150537634408</v>
      </c>
      <c r="D56" s="54">
        <f>Dat_01!D355</f>
        <v>7.728494623655914</v>
      </c>
      <c r="E56" s="54">
        <f>Dat_01!E355</f>
        <v>0</v>
      </c>
      <c r="F56" s="54">
        <f>Dat_01!F355</f>
        <v>0</v>
      </c>
      <c r="G56" s="54">
        <f>Dat_01!G355</f>
        <v>21.841397849462368</v>
      </c>
      <c r="H56" s="54">
        <f>Dat_01!H355</f>
        <v>1.3440860215053763</v>
      </c>
      <c r="I56" s="54">
        <f>Dat_01!I355</f>
        <v>0</v>
      </c>
      <c r="J56" s="54">
        <f>Dat_01!J355</f>
        <v>22.983870967741936</v>
      </c>
    </row>
    <row r="57" spans="1:12">
      <c r="A57" s="258" t="s">
        <v>5</v>
      </c>
      <c r="B57" s="56" t="str">
        <f>Dat_01!B356</f>
        <v>ENE-22</v>
      </c>
      <c r="C57" s="57">
        <f>Dat_01!C356</f>
        <v>49.361559139784944</v>
      </c>
      <c r="D57" s="57">
        <f>Dat_01!D356</f>
        <v>6.3284050179211473</v>
      </c>
      <c r="E57" s="57">
        <f>Dat_01!E356</f>
        <v>0</v>
      </c>
      <c r="F57" s="57">
        <f>Dat_01!F356</f>
        <v>0</v>
      </c>
      <c r="G57" s="57">
        <f>Dat_01!G356</f>
        <v>22.927867383512542</v>
      </c>
      <c r="H57" s="57">
        <f>Dat_01!H356</f>
        <v>4.032258064516129</v>
      </c>
      <c r="I57" s="57">
        <f>Dat_01!I356</f>
        <v>0</v>
      </c>
      <c r="J57" s="57">
        <f>Dat_01!J356</f>
        <v>17.349910394265233</v>
      </c>
    </row>
    <row r="58" spans="1:12">
      <c r="A58" s="248"/>
    </row>
    <row r="59" spans="1:12">
      <c r="A59" s="248"/>
      <c r="B59" s="125" t="s">
        <v>77</v>
      </c>
    </row>
    <row r="60" spans="1:12">
      <c r="B60" s="16"/>
      <c r="C60" s="301" t="s">
        <v>1</v>
      </c>
      <c r="D60" s="301" t="s">
        <v>2</v>
      </c>
      <c r="E60" s="301" t="s">
        <v>207</v>
      </c>
      <c r="F60" s="301" t="s">
        <v>17</v>
      </c>
      <c r="G60" s="301" t="s">
        <v>18</v>
      </c>
      <c r="H60" s="301" t="s">
        <v>27</v>
      </c>
      <c r="I60" s="301" t="s">
        <v>29</v>
      </c>
      <c r="J60" s="301" t="s">
        <v>32</v>
      </c>
      <c r="K60" s="173"/>
      <c r="L60" s="173"/>
    </row>
    <row r="61" spans="1:12">
      <c r="B61" s="17"/>
      <c r="C61" s="302"/>
      <c r="D61" s="302"/>
      <c r="E61" s="302"/>
      <c r="F61" s="302"/>
      <c r="G61" s="302"/>
      <c r="H61" s="302"/>
      <c r="I61" s="302"/>
      <c r="J61" s="302"/>
      <c r="K61" s="173"/>
      <c r="L61" s="173"/>
    </row>
    <row r="62" spans="1:12">
      <c r="B62" s="18" t="str">
        <f>Dat_01!B344</f>
        <v>ENE-21</v>
      </c>
      <c r="C62" s="124">
        <f>Dat_01!B67</f>
        <v>63.6</v>
      </c>
      <c r="D62" s="124">
        <f>Dat_01!C67</f>
        <v>0.03</v>
      </c>
      <c r="E62" s="124">
        <f>Dat_01!D67</f>
        <v>63.63</v>
      </c>
      <c r="F62" s="124">
        <f>Dat_01!E67</f>
        <v>3.72</v>
      </c>
      <c r="G62" s="124">
        <f>Dat_01!F67</f>
        <v>3.02</v>
      </c>
      <c r="H62" s="124">
        <f>Dat_01!G67</f>
        <v>0</v>
      </c>
      <c r="I62" s="124">
        <f>Dat_01!H67</f>
        <v>70.37</v>
      </c>
      <c r="J62" s="261">
        <f>Dat_01!I67</f>
        <v>22763.718625999998</v>
      </c>
      <c r="K62" s="174">
        <f>E62+F62+G62+H62-VLOOKUP("Coste medio final (€/MWh)",'Data 1'!Q86:AE102,2,FALSE)</f>
        <v>0</v>
      </c>
      <c r="L62" s="173"/>
    </row>
    <row r="63" spans="1:12">
      <c r="B63" s="18" t="str">
        <f>Dat_01!B345</f>
        <v>FEB-21</v>
      </c>
      <c r="C63" s="124">
        <f>Dat_01!B68</f>
        <v>29.86</v>
      </c>
      <c r="D63" s="124">
        <f>Dat_01!C68</f>
        <v>-0.02</v>
      </c>
      <c r="E63" s="124">
        <f>Dat_01!D68</f>
        <v>29.84</v>
      </c>
      <c r="F63" s="124">
        <f>Dat_01!E68</f>
        <v>3.9999999999999996</v>
      </c>
      <c r="G63" s="124">
        <f>Dat_01!F68</f>
        <v>2.98</v>
      </c>
      <c r="H63" s="124">
        <f>Dat_01!G68</f>
        <v>0</v>
      </c>
      <c r="I63" s="124">
        <f>Dat_01!H68</f>
        <v>36.819999999999993</v>
      </c>
      <c r="J63" s="261">
        <f>Dat_01!I68</f>
        <v>19226.403559000002</v>
      </c>
      <c r="K63" s="174">
        <f>E63+F63+G63+H63-VLOOKUP("Coste medio final (€/MWh)",'Data 1'!Q86:AE102,3,FALSE)</f>
        <v>0</v>
      </c>
      <c r="L63" s="173"/>
    </row>
    <row r="64" spans="1:12">
      <c r="B64" s="18" t="str">
        <f>Dat_01!B346</f>
        <v>MAR-21</v>
      </c>
      <c r="C64" s="124">
        <f>Dat_01!B69</f>
        <v>46.39</v>
      </c>
      <c r="D64" s="124">
        <f>Dat_01!C69</f>
        <v>-0.02</v>
      </c>
      <c r="E64" s="124">
        <f>Dat_01!D69</f>
        <v>46.37</v>
      </c>
      <c r="F64" s="124">
        <f>Dat_01!E69</f>
        <v>3.26</v>
      </c>
      <c r="G64" s="124">
        <f>Dat_01!F69</f>
        <v>2.38</v>
      </c>
      <c r="H64" s="124">
        <f>Dat_01!G69</f>
        <v>0</v>
      </c>
      <c r="I64" s="124">
        <f>Dat_01!H69</f>
        <v>52.01</v>
      </c>
      <c r="J64" s="261">
        <f>Dat_01!I69</f>
        <v>20723.314797999999</v>
      </c>
      <c r="K64" s="174">
        <f>E64+F64+G64+H64-VLOOKUP("Coste medio final (€/MWh)",'Data 1'!Q86:AE102,4,FALSE)</f>
        <v>0</v>
      </c>
      <c r="L64" s="173"/>
    </row>
    <row r="65" spans="2:32">
      <c r="B65" s="18" t="str">
        <f>Dat_01!B347</f>
        <v>ABR-21</v>
      </c>
      <c r="C65" s="124">
        <f>Dat_01!B70</f>
        <v>66.2</v>
      </c>
      <c r="D65" s="124">
        <f>Dat_01!C70</f>
        <v>-0.03</v>
      </c>
      <c r="E65" s="124">
        <f>Dat_01!D70</f>
        <v>66.17</v>
      </c>
      <c r="F65" s="124">
        <f>Dat_01!E70</f>
        <v>3.02</v>
      </c>
      <c r="G65" s="124">
        <f>Dat_01!F70</f>
        <v>2.31</v>
      </c>
      <c r="H65" s="124">
        <f>Dat_01!G70</f>
        <v>0</v>
      </c>
      <c r="I65" s="124">
        <f>Dat_01!H70</f>
        <v>71.5</v>
      </c>
      <c r="J65" s="261">
        <f>Dat_01!I70</f>
        <v>18861.37211</v>
      </c>
      <c r="K65" s="174">
        <f>E65+F65+G65+H65-VLOOKUP("Coste medio final (€/MWh)",'Data 1'!Q86:AE102,5,FALSE)</f>
        <v>0</v>
      </c>
      <c r="L65" s="173"/>
    </row>
    <row r="66" spans="2:32">
      <c r="B66" s="18" t="str">
        <f>Dat_01!B348</f>
        <v>MAY-21</v>
      </c>
      <c r="C66" s="124">
        <f>Dat_01!B71</f>
        <v>67.930000000000007</v>
      </c>
      <c r="D66" s="124">
        <f>Dat_01!C71</f>
        <v>-0.03</v>
      </c>
      <c r="E66" s="124">
        <f>Dat_01!D71</f>
        <v>67.900000000000006</v>
      </c>
      <c r="F66" s="124">
        <f>Dat_01!E71</f>
        <v>3.91</v>
      </c>
      <c r="G66" s="124">
        <f>Dat_01!F71</f>
        <v>2.2200000000000002</v>
      </c>
      <c r="H66" s="124">
        <f>Dat_01!G71</f>
        <v>0</v>
      </c>
      <c r="I66" s="124">
        <f>Dat_01!H71</f>
        <v>74.03</v>
      </c>
      <c r="J66" s="261">
        <f>Dat_01!I71</f>
        <v>19251.887315</v>
      </c>
      <c r="K66" s="174">
        <f>E66+F66+G66+H66-VLOOKUP("Coste medio final (€/MWh)",'Data 1'!Q86:AE102,6,FALSE)</f>
        <v>0</v>
      </c>
      <c r="L66" s="173"/>
    </row>
    <row r="67" spans="2:32">
      <c r="B67" s="18" t="str">
        <f>Dat_01!B349</f>
        <v>JUN-21</v>
      </c>
      <c r="C67" s="124">
        <f>Dat_01!B72</f>
        <v>83.94</v>
      </c>
      <c r="D67" s="124">
        <f>Dat_01!C72</f>
        <v>-0.03</v>
      </c>
      <c r="E67" s="124">
        <f>Dat_01!D72</f>
        <v>83.91</v>
      </c>
      <c r="F67" s="124">
        <f>Dat_01!E72</f>
        <v>3</v>
      </c>
      <c r="G67" s="124">
        <f>Dat_01!F72</f>
        <v>0.3</v>
      </c>
      <c r="H67" s="124">
        <f>Dat_01!G72</f>
        <v>0</v>
      </c>
      <c r="I67" s="124">
        <f>Dat_01!H72</f>
        <v>87.21</v>
      </c>
      <c r="J67" s="261">
        <f>Dat_01!I72</f>
        <v>19527.579833</v>
      </c>
      <c r="K67" s="174">
        <f>E67+F67+G67+H67-VLOOKUP("Coste medio final (€/MWh)",'Data 1'!Q86:AE102,7,FALSE)</f>
        <v>0</v>
      </c>
      <c r="L67" s="173"/>
    </row>
    <row r="68" spans="2:32">
      <c r="B68" s="18" t="str">
        <f>Dat_01!B350</f>
        <v>JUL-21</v>
      </c>
      <c r="C68" s="124">
        <f>Dat_01!B73</f>
        <v>92.81</v>
      </c>
      <c r="D68" s="124">
        <f>Dat_01!C73</f>
        <v>-0.03</v>
      </c>
      <c r="E68" s="124">
        <f>Dat_01!D73</f>
        <v>92.78</v>
      </c>
      <c r="F68" s="124">
        <f>Dat_01!E73</f>
        <v>3.0899999999999994</v>
      </c>
      <c r="G68" s="124">
        <f>Dat_01!F73</f>
        <v>0.54</v>
      </c>
      <c r="H68" s="124">
        <f>Dat_01!G73</f>
        <v>0</v>
      </c>
      <c r="I68" s="124">
        <f>Dat_01!H73</f>
        <v>96.410000000000011</v>
      </c>
      <c r="J68" s="261">
        <f>Dat_01!I73</f>
        <v>21502.582151000002</v>
      </c>
      <c r="K68" s="174">
        <f>E68+F68+G68+H68-VLOOKUP("Coste medio final (€/MWh)",'Data 1'!Q86:AE102,8,FALSE)</f>
        <v>0</v>
      </c>
      <c r="L68" s="173"/>
    </row>
    <row r="69" spans="2:32">
      <c r="B69" s="18" t="str">
        <f>Dat_01!B351</f>
        <v>AGO-21</v>
      </c>
      <c r="C69" s="124">
        <f>Dat_01!B74</f>
        <v>106.45</v>
      </c>
      <c r="D69" s="124">
        <f>Dat_01!C74</f>
        <v>-0.04</v>
      </c>
      <c r="E69" s="124">
        <f>Dat_01!D74</f>
        <v>106.41</v>
      </c>
      <c r="F69" s="124">
        <f>Dat_01!E74</f>
        <v>4.6100000000000003</v>
      </c>
      <c r="G69" s="124">
        <f>Dat_01!F74</f>
        <v>0.31</v>
      </c>
      <c r="H69" s="124">
        <f>Dat_01!G74</f>
        <v>0</v>
      </c>
      <c r="I69" s="124">
        <f>Dat_01!H74</f>
        <v>111.33</v>
      </c>
      <c r="J69" s="261">
        <f>Dat_01!I74</f>
        <v>20619.995693000001</v>
      </c>
      <c r="K69" s="174">
        <f>E69+F69+G69+H69-VLOOKUP("Coste medio final (€/MWh)",'Data 1'!Q86:AE102,9,FALSE)</f>
        <v>0</v>
      </c>
      <c r="L69" s="173"/>
    </row>
    <row r="70" spans="2:32">
      <c r="B70" s="18" t="str">
        <f>Dat_01!B352</f>
        <v>SEP-21</v>
      </c>
      <c r="C70" s="124">
        <f>Dat_01!B75</f>
        <v>156.53</v>
      </c>
      <c r="D70" s="124">
        <f>Dat_01!C75</f>
        <v>0</v>
      </c>
      <c r="E70" s="124">
        <f>Dat_01!D75</f>
        <v>156.53</v>
      </c>
      <c r="F70" s="124">
        <f>Dat_01!E75</f>
        <v>3.91</v>
      </c>
      <c r="G70" s="124">
        <f>Dat_01!F75</f>
        <v>0.31</v>
      </c>
      <c r="H70" s="124">
        <f>Dat_01!G75</f>
        <v>0</v>
      </c>
      <c r="I70" s="124">
        <f>Dat_01!H75</f>
        <v>160.75</v>
      </c>
      <c r="J70" s="261">
        <f>Dat_01!I75</f>
        <v>19627.077671999999</v>
      </c>
      <c r="K70" s="174">
        <f>E70+F70+G70+H70-VLOOKUP("Coste medio final (€/MWh)",'Data 1'!Q86:AE102,10,FALSE)</f>
        <v>0</v>
      </c>
      <c r="L70" s="173"/>
    </row>
    <row r="71" spans="2:32">
      <c r="B71" s="18" t="str">
        <f>Dat_01!B353</f>
        <v>OCT-21</v>
      </c>
      <c r="C71" s="124">
        <f>Dat_01!B76</f>
        <v>202.59</v>
      </c>
      <c r="D71" s="124">
        <f>Dat_01!C76</f>
        <v>-0.02</v>
      </c>
      <c r="E71" s="124">
        <f>Dat_01!D76</f>
        <v>202.57</v>
      </c>
      <c r="F71" s="124">
        <f>Dat_01!E76</f>
        <v>6.73</v>
      </c>
      <c r="G71" s="124">
        <f>Dat_01!F76</f>
        <v>0.26</v>
      </c>
      <c r="H71" s="124">
        <f>Dat_01!G76</f>
        <v>0</v>
      </c>
      <c r="I71" s="124">
        <f>Dat_01!H76</f>
        <v>209.55999999999997</v>
      </c>
      <c r="J71" s="261">
        <f>Dat_01!I76</f>
        <v>18915.337755</v>
      </c>
      <c r="K71" s="174">
        <f>E71+F71+G71+H71-VLOOKUP("Coste medio final (€/MWh)",'Data 1'!Q86:AE102,11,FALSE)</f>
        <v>0</v>
      </c>
      <c r="L71" s="173"/>
    </row>
    <row r="72" spans="2:32">
      <c r="B72" s="18" t="str">
        <f>Dat_01!B354</f>
        <v>NOV-21</v>
      </c>
      <c r="C72" s="124">
        <f>Dat_01!B77</f>
        <v>197.46</v>
      </c>
      <c r="D72" s="124">
        <f>Dat_01!C77</f>
        <v>0.03</v>
      </c>
      <c r="E72" s="124">
        <f>Dat_01!D77</f>
        <v>197.49</v>
      </c>
      <c r="F72" s="124">
        <f>Dat_01!E77</f>
        <v>5.9800000000000013</v>
      </c>
      <c r="G72" s="124">
        <f>Dat_01!F77</f>
        <v>0.38</v>
      </c>
      <c r="H72" s="124">
        <f>Dat_01!G77</f>
        <v>0</v>
      </c>
      <c r="I72" s="124">
        <f>Dat_01!H77</f>
        <v>203.85</v>
      </c>
      <c r="J72" s="261">
        <f>Dat_01!I77</f>
        <v>20241.424924999999</v>
      </c>
      <c r="K72" s="174">
        <f>E72+F72+G72+H72-VLOOKUP("Coste medio final (€/MWh)",'Data 1'!Q86:AE102,12,FALSE)</f>
        <v>0</v>
      </c>
      <c r="L72" s="173"/>
    </row>
    <row r="73" spans="2:32">
      <c r="B73" s="18" t="str">
        <f>Dat_01!B355</f>
        <v>DIC-21</v>
      </c>
      <c r="C73" s="124">
        <f>Dat_01!B78</f>
        <v>245.7</v>
      </c>
      <c r="D73" s="124">
        <f>Dat_01!C78</f>
        <v>-0.06</v>
      </c>
      <c r="E73" s="124">
        <f>Dat_01!D78</f>
        <v>245.64</v>
      </c>
      <c r="F73" s="124">
        <f>Dat_01!E78</f>
        <v>5.95</v>
      </c>
      <c r="G73" s="124">
        <f>Dat_01!F78</f>
        <v>0.54</v>
      </c>
      <c r="H73" s="124">
        <f>Dat_01!G78</f>
        <v>0</v>
      </c>
      <c r="I73" s="124">
        <f>Dat_01!H78</f>
        <v>252.12999999999997</v>
      </c>
      <c r="J73" s="261">
        <f>Dat_01!I78</f>
        <v>20757.163548999997</v>
      </c>
      <c r="K73" s="174">
        <f>E73+F73+G73+H73-VLOOKUP("Coste medio final (€/MWh)",'Data 1'!Q86:AE102,13,FALSE)</f>
        <v>0</v>
      </c>
    </row>
    <row r="74" spans="2:32">
      <c r="B74" s="56" t="str">
        <f>Dat_01!B356</f>
        <v>ENE-22</v>
      </c>
      <c r="C74" s="175">
        <f>Dat_01!B79</f>
        <v>205.79</v>
      </c>
      <c r="D74" s="175">
        <f>Dat_01!C79</f>
        <v>-0.04</v>
      </c>
      <c r="E74" s="175">
        <f>Dat_01!D79</f>
        <v>205.75</v>
      </c>
      <c r="F74" s="175">
        <f>Dat_01!E79</f>
        <v>3.78</v>
      </c>
      <c r="G74" s="175">
        <f>Dat_01!F79</f>
        <v>0.43</v>
      </c>
      <c r="H74" s="175">
        <f>Dat_01!G79</f>
        <v>0</v>
      </c>
      <c r="I74" s="175">
        <f>Dat_01!H79</f>
        <v>209.96</v>
      </c>
      <c r="J74" s="262">
        <f>Dat_01!I79</f>
        <v>21451.525493999998</v>
      </c>
      <c r="K74" s="174">
        <f>E74+F74+G74+H74-VLOOKUP("Coste medio final (€/MWh)",'Data 1'!Q86:AE102,14,FALSE)</f>
        <v>0</v>
      </c>
      <c r="L74" s="176">
        <f>(I74/I73-1)*100</f>
        <v>-16.725498750644498</v>
      </c>
      <c r="M74" s="176">
        <f>(I74/I62-1)*100</f>
        <v>198.36578087253091</v>
      </c>
    </row>
    <row r="75" spans="2:32">
      <c r="B75" s="173"/>
      <c r="C75" s="173"/>
      <c r="L75" s="173"/>
    </row>
    <row r="76" spans="2:32">
      <c r="B76" s="125" t="s">
        <v>48</v>
      </c>
    </row>
    <row r="77" spans="2:32" ht="31.2">
      <c r="B77" s="164"/>
      <c r="C77" s="164" t="s">
        <v>1</v>
      </c>
      <c r="D77" s="164" t="s">
        <v>2</v>
      </c>
      <c r="E77" s="164" t="s">
        <v>49</v>
      </c>
      <c r="F77" s="164" t="s">
        <v>36</v>
      </c>
      <c r="G77" s="164" t="s">
        <v>37</v>
      </c>
      <c r="H77" s="164" t="s">
        <v>17</v>
      </c>
      <c r="I77" s="164" t="s">
        <v>35</v>
      </c>
      <c r="J77" s="164" t="s">
        <v>22</v>
      </c>
      <c r="K77" s="164" t="s">
        <v>40</v>
      </c>
      <c r="L77" s="164" t="s">
        <v>0</v>
      </c>
    </row>
    <row r="78" spans="2:32">
      <c r="B78" s="97" t="s">
        <v>38</v>
      </c>
      <c r="C78" s="123">
        <f>VLOOKUP("Mercado Diario",'Data 1'!Q86:AE102,14,FALSE)</f>
        <v>205.79</v>
      </c>
      <c r="D78" s="123">
        <f>VLOOKUP("Mercado Intradiario",'Data 1'!Q86:AE102,14,FALSE)</f>
        <v>-0.04</v>
      </c>
      <c r="E78" s="123">
        <f>SUM(C78:D78)</f>
        <v>205.75</v>
      </c>
      <c r="F78" s="123">
        <f>VLOOKUP("Pago capacidad",'Data 1'!Q86:AE102,14,FALSE)</f>
        <v>0.43</v>
      </c>
      <c r="G78" s="123">
        <f>VLOOKUP("Servicio interrumpibilidad",'Data 1'!Q86:AE102,14,FALSE)</f>
        <v>0</v>
      </c>
      <c r="H78" s="123">
        <f>SUM(I78,J78:K78)</f>
        <v>3.7800000000000002</v>
      </c>
      <c r="I78" s="123">
        <f>VLOOKUP("Restricciones PBF",'Data 1'!Q86:AE102,14,FALSE)</f>
        <v>1.25</v>
      </c>
      <c r="J78" s="123">
        <f>VLOOKUP("Banda secundaria",'Data 1'!Q86:AE102,14,FALSE)</f>
        <v>1.02</v>
      </c>
      <c r="K78" s="123">
        <f>'Data 1'!O83+'Data 1'!O85+'Data 1'!O86+'Data 1'!O87+'Data 1'!O88+'Data 1'!O89</f>
        <v>1.5100000000000002</v>
      </c>
      <c r="L78" s="123">
        <f>'Data 1'!AD102</f>
        <v>209.96</v>
      </c>
      <c r="M78" s="174">
        <f>L78-SUM(E78:H78)</f>
        <v>0</v>
      </c>
    </row>
    <row r="80" spans="2:32">
      <c r="B80" s="98" t="s">
        <v>19</v>
      </c>
      <c r="C80" s="103"/>
      <c r="D80" s="103"/>
      <c r="E80" s="103"/>
      <c r="F80" s="104"/>
      <c r="G80" s="104"/>
      <c r="H80" s="104"/>
      <c r="I80" s="104"/>
      <c r="J80" s="104"/>
      <c r="K80" s="104"/>
      <c r="L80" s="104"/>
      <c r="M80" s="104"/>
      <c r="N80" s="104"/>
      <c r="O80" s="104"/>
      <c r="P80" s="173"/>
      <c r="Q80" s="173"/>
      <c r="R80" s="173" t="str">
        <f>MID(R83,6,1)</f>
        <v>E</v>
      </c>
      <c r="S80" s="173" t="str">
        <f t="shared" ref="S80:AD80" si="0">MID(S83,6,1)</f>
        <v>F</v>
      </c>
      <c r="T80" s="173" t="str">
        <f t="shared" si="0"/>
        <v>M</v>
      </c>
      <c r="U80" s="173" t="str">
        <f t="shared" si="0"/>
        <v>A</v>
      </c>
      <c r="V80" s="173" t="str">
        <f t="shared" si="0"/>
        <v>M</v>
      </c>
      <c r="W80" s="173" t="str">
        <f t="shared" si="0"/>
        <v>J</v>
      </c>
      <c r="X80" s="173" t="str">
        <f t="shared" si="0"/>
        <v>J</v>
      </c>
      <c r="Y80" s="173" t="str">
        <f t="shared" si="0"/>
        <v>A</v>
      </c>
      <c r="Z80" s="173" t="str">
        <f t="shared" si="0"/>
        <v>S</v>
      </c>
      <c r="AA80" s="173" t="str">
        <f t="shared" si="0"/>
        <v>O</v>
      </c>
      <c r="AB80" s="173" t="str">
        <f t="shared" si="0"/>
        <v>N</v>
      </c>
      <c r="AC80" s="173" t="str">
        <f t="shared" si="0"/>
        <v>D</v>
      </c>
      <c r="AD80" s="173" t="str">
        <f t="shared" si="0"/>
        <v>E</v>
      </c>
      <c r="AE80" s="173"/>
      <c r="AF80" s="173"/>
    </row>
    <row r="81" spans="2:32">
      <c r="B81" s="100"/>
      <c r="C81" s="105" t="str">
        <f>MID(R83,6,1)</f>
        <v>E</v>
      </c>
      <c r="D81" s="105" t="str">
        <f t="shared" ref="D81:O81" si="1">MID(S83,6,1)</f>
        <v>F</v>
      </c>
      <c r="E81" s="105" t="str">
        <f t="shared" si="1"/>
        <v>M</v>
      </c>
      <c r="F81" s="105" t="str">
        <f t="shared" si="1"/>
        <v>A</v>
      </c>
      <c r="G81" s="105" t="str">
        <f t="shared" si="1"/>
        <v>M</v>
      </c>
      <c r="H81" s="105" t="str">
        <f t="shared" si="1"/>
        <v>J</v>
      </c>
      <c r="I81" s="105" t="str">
        <f t="shared" si="1"/>
        <v>J</v>
      </c>
      <c r="J81" s="105" t="str">
        <f t="shared" si="1"/>
        <v>A</v>
      </c>
      <c r="K81" s="105" t="str">
        <f t="shared" si="1"/>
        <v>S</v>
      </c>
      <c r="L81" s="105" t="str">
        <f t="shared" si="1"/>
        <v>O</v>
      </c>
      <c r="M81" s="105" t="str">
        <f t="shared" si="1"/>
        <v>N</v>
      </c>
      <c r="N81" s="105" t="str">
        <f t="shared" si="1"/>
        <v>D</v>
      </c>
      <c r="O81" s="105" t="str">
        <f t="shared" si="1"/>
        <v>E</v>
      </c>
      <c r="P81" s="173"/>
      <c r="Q81" s="101" t="s">
        <v>30</v>
      </c>
      <c r="R81" s="101" t="s">
        <v>56</v>
      </c>
      <c r="S81" s="101" t="s">
        <v>56</v>
      </c>
      <c r="T81" s="101" t="s">
        <v>56</v>
      </c>
      <c r="U81" s="101" t="s">
        <v>56</v>
      </c>
      <c r="V81" s="101" t="s">
        <v>56</v>
      </c>
      <c r="W81" s="101" t="s">
        <v>56</v>
      </c>
      <c r="X81" s="101" t="s">
        <v>56</v>
      </c>
      <c r="Y81" s="101" t="s">
        <v>56</v>
      </c>
      <c r="Z81" s="101" t="s">
        <v>56</v>
      </c>
      <c r="AA81" s="101" t="s">
        <v>56</v>
      </c>
      <c r="AB81" s="101" t="s">
        <v>56</v>
      </c>
      <c r="AC81" s="101" t="s">
        <v>56</v>
      </c>
      <c r="AD81" s="101" t="s">
        <v>56</v>
      </c>
      <c r="AE81" s="177"/>
      <c r="AF81" s="173"/>
    </row>
    <row r="82" spans="2:32">
      <c r="B82" s="101" t="s">
        <v>21</v>
      </c>
      <c r="C82" s="106">
        <f>VLOOKUP("Restricciones PBF",$Q$86:$AE$102,2,FALSE)</f>
        <v>1.8</v>
      </c>
      <c r="D82" s="106">
        <f>VLOOKUP("Restricciones PBF",$Q$86:$AE$102,3,FALSE)</f>
        <v>2.14</v>
      </c>
      <c r="E82" s="106">
        <f>VLOOKUP("Restricciones PBF",$Q$86:$AE$102,4,FALSE)</f>
        <v>1.99</v>
      </c>
      <c r="F82" s="106">
        <f>VLOOKUP("Restricciones PBF",$Q$86:$AE$102,5,FALSE)</f>
        <v>1.7</v>
      </c>
      <c r="G82" s="106">
        <f>VLOOKUP("Restricciones PBF",$Q$86:$AE$102,6,FALSE)</f>
        <v>2.4900000000000002</v>
      </c>
      <c r="H82" s="106">
        <f>VLOOKUP("Restricciones PBF",$Q$86:$AE$102,7,FALSE)</f>
        <v>1.96</v>
      </c>
      <c r="I82" s="106">
        <f>VLOOKUP("Restricciones PBF",$Q$86:$AE$102,8,FALSE)</f>
        <v>1.21</v>
      </c>
      <c r="J82" s="106">
        <f>VLOOKUP("Restricciones PBF",$Q$86:$AE$102,9,FALSE)</f>
        <v>2.0699999999999998</v>
      </c>
      <c r="K82" s="106">
        <f>VLOOKUP("Restricciones PBF",$Q$86:$AE$102,10,FALSE)</f>
        <v>1.02</v>
      </c>
      <c r="L82" s="106">
        <f>VLOOKUP("Restricciones PBF",$Q$86:$AE$102,11,FALSE)</f>
        <v>2.44</v>
      </c>
      <c r="M82" s="106">
        <f>VLOOKUP("Restricciones PBF",$Q$86:$AE$102,12,FALSE)</f>
        <v>1.49</v>
      </c>
      <c r="N82" s="106">
        <f>VLOOKUP("Restricciones PBF",$Q$86:$AE$102,13,FALSE)</f>
        <v>1.8</v>
      </c>
      <c r="O82" s="106">
        <f>VLOOKUP("Restricciones PBF",$Q$86:$AE$102,14,FALSE)</f>
        <v>1.25</v>
      </c>
      <c r="P82" s="173"/>
      <c r="Q82" s="101" t="s">
        <v>208</v>
      </c>
      <c r="R82" s="101">
        <f>Dat_01!B42</f>
        <v>202101</v>
      </c>
      <c r="S82" s="101">
        <f>Dat_01!C42</f>
        <v>202102</v>
      </c>
      <c r="T82" s="101">
        <f>Dat_01!D42</f>
        <v>202103</v>
      </c>
      <c r="U82" s="101">
        <f>Dat_01!E42</f>
        <v>202104</v>
      </c>
      <c r="V82" s="101">
        <f>Dat_01!F42</f>
        <v>202105</v>
      </c>
      <c r="W82" s="101">
        <f>Dat_01!G42</f>
        <v>202106</v>
      </c>
      <c r="X82" s="101">
        <f>Dat_01!H42</f>
        <v>202107</v>
      </c>
      <c r="Y82" s="101">
        <f>Dat_01!I42</f>
        <v>202108</v>
      </c>
      <c r="Z82" s="101">
        <f>Dat_01!J42</f>
        <v>202109</v>
      </c>
      <c r="AA82" s="101">
        <f>Dat_01!K42</f>
        <v>202110</v>
      </c>
      <c r="AB82" s="101">
        <f>Dat_01!L42</f>
        <v>202111</v>
      </c>
      <c r="AC82" s="101">
        <f>Dat_01!M42</f>
        <v>202112</v>
      </c>
      <c r="AD82" s="101">
        <f>Dat_01!N42</f>
        <v>202201</v>
      </c>
      <c r="AE82" s="177"/>
      <c r="AF82" s="173"/>
    </row>
    <row r="83" spans="2:32">
      <c r="B83" s="101" t="s">
        <v>26</v>
      </c>
      <c r="C83" s="106">
        <f>VLOOKUP("Restricciones TR",$Q$86:$AE$102,2,FALSE)</f>
        <v>0.95</v>
      </c>
      <c r="D83" s="106">
        <f>VLOOKUP("Restricciones TR",$Q$86:$AE$102,3,FALSE)</f>
        <v>0.67</v>
      </c>
      <c r="E83" s="106">
        <f>VLOOKUP("Restricciones TR",$Q$86:$AE$102,4,FALSE)</f>
        <v>0.53</v>
      </c>
      <c r="F83" s="106">
        <f>VLOOKUP("Restricciones TR",$Q$86:$AE$102,5,FALSE)</f>
        <v>0.67</v>
      </c>
      <c r="G83" s="106">
        <f>VLOOKUP("Restricciones TR",$Q$86:$AE$102,6,FALSE)</f>
        <v>0.42</v>
      </c>
      <c r="H83" s="106">
        <f>VLOOKUP("Restricciones TR",$Q$86:$AE$102,7,FALSE)</f>
        <v>0.3</v>
      </c>
      <c r="I83" s="106">
        <f>VLOOKUP("Restricciones TR",$Q$86:$AE$102,8,FALSE)</f>
        <v>1.08</v>
      </c>
      <c r="J83" s="106">
        <f>VLOOKUP("Restricciones TR",$Q$86:$AE$102,9,FALSE)</f>
        <v>1.19</v>
      </c>
      <c r="K83" s="106">
        <f>VLOOKUP("Restricciones TR",$Q$86:$AE$102,10,FALSE)</f>
        <v>1.43</v>
      </c>
      <c r="L83" s="106">
        <f>VLOOKUP("Restricciones TR",$Q$86:$AE$102,11,FALSE)</f>
        <v>1.87</v>
      </c>
      <c r="M83" s="106">
        <f>VLOOKUP("Restricciones TR",$Q$86:$AE$102,12,FALSE)</f>
        <v>2.4500000000000002</v>
      </c>
      <c r="N83" s="106">
        <f>VLOOKUP("Restricciones TR",$Q$86:$AE$102,13,FALSE)</f>
        <v>2.2799999999999998</v>
      </c>
      <c r="O83" s="106">
        <f>VLOOKUP("Restricciones TR",$Q$86:$AE$102,14,FALSE)</f>
        <v>1.05</v>
      </c>
      <c r="P83" s="173"/>
      <c r="Q83" s="101" t="s">
        <v>209</v>
      </c>
      <c r="R83" s="101" t="str">
        <f>Dat_01!B43</f>
        <v>2021 Enero</v>
      </c>
      <c r="S83" s="101" t="str">
        <f>Dat_01!C43</f>
        <v>2021 Febrero</v>
      </c>
      <c r="T83" s="101" t="str">
        <f>Dat_01!D43</f>
        <v>2021 Marzo</v>
      </c>
      <c r="U83" s="101" t="str">
        <f>Dat_01!E43</f>
        <v>2021 Abril</v>
      </c>
      <c r="V83" s="101" t="str">
        <f>Dat_01!F43</f>
        <v>2021 Mayo</v>
      </c>
      <c r="W83" s="101" t="str">
        <f>Dat_01!G43</f>
        <v>2021 Junio</v>
      </c>
      <c r="X83" s="101" t="str">
        <f>Dat_01!H43</f>
        <v>2021 Julio</v>
      </c>
      <c r="Y83" s="101" t="str">
        <f>Dat_01!I43</f>
        <v>2021 Agosto</v>
      </c>
      <c r="Z83" s="101" t="str">
        <f>Dat_01!J43</f>
        <v>2021 Septiembre</v>
      </c>
      <c r="AA83" s="101" t="str">
        <f>Dat_01!K43</f>
        <v>2021 Octubre</v>
      </c>
      <c r="AB83" s="101" t="str">
        <f>Dat_01!L43</f>
        <v>2021 Noviembre</v>
      </c>
      <c r="AC83" s="101" t="str">
        <f>Dat_01!M43</f>
        <v>2021 Diciembre</v>
      </c>
      <c r="AD83" s="101" t="str">
        <f>Dat_01!N43</f>
        <v>2022 Enero</v>
      </c>
      <c r="AE83" s="177"/>
      <c r="AF83" s="173"/>
    </row>
    <row r="84" spans="2:32">
      <c r="B84" s="101" t="s">
        <v>14</v>
      </c>
      <c r="C84" s="106">
        <f>VLOOKUP("Banda Secundaria",$Q$86:$AE$102,2,FALSE)</f>
        <v>0.71</v>
      </c>
      <c r="D84" s="106">
        <f>VLOOKUP("Banda Secundaria",$Q$86:$AE$102,3,FALSE)</f>
        <v>1.1599999999999999</v>
      </c>
      <c r="E84" s="106">
        <f>VLOOKUP("Banda Secundaria",$Q$86:$AE$102,4,FALSE)</f>
        <v>0.66</v>
      </c>
      <c r="F84" s="106">
        <f>VLOOKUP("Banda Secundaria",$Q$86:$AE$102,5,FALSE)</f>
        <v>0.57999999999999996</v>
      </c>
      <c r="G84" s="106">
        <f>VLOOKUP("Banda Secundaria",$Q$86:$AE$102,6,FALSE)</f>
        <v>0.97</v>
      </c>
      <c r="H84" s="106">
        <f>VLOOKUP("Banda Secundaria",$Q$86:$AE$102,7,FALSE)</f>
        <v>0.73</v>
      </c>
      <c r="I84" s="106">
        <f>VLOOKUP("Banda Secundaria",$Q$86:$AE$102,8,FALSE)</f>
        <v>0.72</v>
      </c>
      <c r="J84" s="106">
        <f>VLOOKUP("Banda Secundaria",$Q$86:$AE$102,9,FALSE)</f>
        <v>1.17</v>
      </c>
      <c r="K84" s="106">
        <f>VLOOKUP("Banda Secundaria",$Q$86:$AE$102,10,FALSE)</f>
        <v>1.23</v>
      </c>
      <c r="L84" s="106">
        <f>VLOOKUP("Banda Secundaria",$Q$86:$AE$102,11,FALSE)</f>
        <v>1.97</v>
      </c>
      <c r="M84" s="106">
        <f>VLOOKUP("Banda Secundaria",$Q$86:$AE$102,12,FALSE)</f>
        <v>1.6</v>
      </c>
      <c r="N84" s="106">
        <f>VLOOKUP("Banda Secundaria",$Q$86:$AE$102,13,FALSE)</f>
        <v>1.5</v>
      </c>
      <c r="O84" s="106">
        <f>VLOOKUP("Banda Secundaria",$Q$86:$AE$102,14,FALSE)</f>
        <v>1.02</v>
      </c>
      <c r="P84" s="173"/>
      <c r="Q84" s="101" t="s">
        <v>210</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66</v>
      </c>
      <c r="C85" s="106">
        <f>+VLOOKUP("Incumplimiento energía balance",$Q$86:$AE$102,2,FALSE)</f>
        <v>-0.05</v>
      </c>
      <c r="D85" s="106">
        <f>+VLOOKUP("Incumplimiento energía balance",$Q$86:$AE$102,3,FALSE)</f>
        <v>-0.02</v>
      </c>
      <c r="E85" s="106">
        <f>+VLOOKUP("Incumplimiento energía balance",$Q$86:$AE$102,4,FALSE)</f>
        <v>-0.02</v>
      </c>
      <c r="F85" s="106">
        <f>+VLOOKUP("Incumplimiento energía balance",$Q$86:$AE$102,5,FALSE)</f>
        <v>-0.04</v>
      </c>
      <c r="G85" s="106">
        <f>+VLOOKUP("Incumplimiento energía balance",$Q$86:$AE$102,6,FALSE)</f>
        <v>-0.04</v>
      </c>
      <c r="H85" s="106">
        <f>+VLOOKUP("Incumplimiento energía balance",$Q$86:$AE$102,7,FALSE)</f>
        <v>-0.04</v>
      </c>
      <c r="I85" s="106">
        <f>+VLOOKUP("Incumplimiento energía balance",$Q$86:$AE$102,8,FALSE)</f>
        <v>-0.04</v>
      </c>
      <c r="J85" s="106">
        <f>+VLOOKUP("Incumplimiento energía balance",$Q$86:$AE$102,9,FALSE)</f>
        <v>-0.04</v>
      </c>
      <c r="K85" s="106">
        <f>+VLOOKUP("Incumplimiento energía balance",$Q$86:$AE$102,10,FALSE)</f>
        <v>-0.09</v>
      </c>
      <c r="L85" s="106">
        <f>+VLOOKUP("Incumplimiento energía balance",$Q$86:$AE$102,11,FALSE)</f>
        <v>-0.13</v>
      </c>
      <c r="M85" s="106">
        <f>+VLOOKUP("Incumplimiento energía balance",$Q$86:$AE$102,12,FALSE)</f>
        <v>-0.13</v>
      </c>
      <c r="N85" s="106">
        <f>+VLOOKUP("Incumplimiento energía balance",$Q$86:$AE$102,13,FALSE)</f>
        <v>-0.27</v>
      </c>
      <c r="O85" s="106">
        <f>+VLOOKUP("Incumplimiento energía balance",$Q$86:$AE$102,14,FALSE)</f>
        <v>-0.18</v>
      </c>
      <c r="P85" s="173"/>
      <c r="Q85" s="101" t="s">
        <v>57</v>
      </c>
      <c r="R85" s="192">
        <f>Dat_01!B45</f>
        <v>22763718.625999998</v>
      </c>
      <c r="S85" s="192">
        <f>Dat_01!C45</f>
        <v>19226403.559</v>
      </c>
      <c r="T85" s="192">
        <f>Dat_01!D45</f>
        <v>20723314.798</v>
      </c>
      <c r="U85" s="192">
        <f>Dat_01!E45</f>
        <v>18861372.109999999</v>
      </c>
      <c r="V85" s="192">
        <f>Dat_01!F45</f>
        <v>19251887.315000001</v>
      </c>
      <c r="W85" s="192">
        <f>Dat_01!G45</f>
        <v>19527579.833000001</v>
      </c>
      <c r="X85" s="192">
        <f>Dat_01!H45</f>
        <v>21502582.151000001</v>
      </c>
      <c r="Y85" s="192">
        <f>Dat_01!I45</f>
        <v>20619995.693</v>
      </c>
      <c r="Z85" s="192">
        <f>Dat_01!J45</f>
        <v>19627077.671999998</v>
      </c>
      <c r="AA85" s="192">
        <f>Dat_01!K45</f>
        <v>18915337.754999999</v>
      </c>
      <c r="AB85" s="192">
        <f>Dat_01!L45</f>
        <v>20241424.925000001</v>
      </c>
      <c r="AC85" s="192">
        <f>Dat_01!M45</f>
        <v>20757163.548999999</v>
      </c>
      <c r="AD85" s="192">
        <f>Dat_01!N45</f>
        <v>21451525.493999999</v>
      </c>
      <c r="AE85" s="179"/>
      <c r="AF85" s="173"/>
    </row>
    <row r="86" spans="2:32">
      <c r="B86" s="101" t="s">
        <v>67</v>
      </c>
      <c r="C86" s="106">
        <f>VLOOKUP("Coste desvíos",$Q$86:$AE$102,2,FALSE)</f>
        <v>0.49</v>
      </c>
      <c r="D86" s="106">
        <f>VLOOKUP("Coste desvíos",$Q$86:$AE$102,3,FALSE)</f>
        <v>0.24</v>
      </c>
      <c r="E86" s="106">
        <f>VLOOKUP("Coste desvíos",$Q$86:$AE$102,4,FALSE)</f>
        <v>0.25</v>
      </c>
      <c r="F86" s="106">
        <f>VLOOKUP("Coste desvíos",$Q$86:$AE$102,5,FALSE)</f>
        <v>0.25</v>
      </c>
      <c r="G86" s="106">
        <f>VLOOKUP("Coste desvíos",$Q$86:$AE$102,6,FALSE)</f>
        <v>0.28999999999999998</v>
      </c>
      <c r="H86" s="106">
        <f>VLOOKUP("Coste desvíos",$Q$86:$AE$102,7,FALSE)</f>
        <v>0.25</v>
      </c>
      <c r="I86" s="106">
        <f>VLOOKUP("Coste desvíos",$Q$86:$AE$102,8,FALSE)</f>
        <v>0.15</v>
      </c>
      <c r="J86" s="106">
        <f>VLOOKUP("Coste desvíos",$Q$86:$AE$102,9,FALSE)</f>
        <v>0.32</v>
      </c>
      <c r="K86" s="106">
        <f>VLOOKUP("Coste desvíos",$Q$86:$AE$102,10,FALSE)</f>
        <v>0.56999999999999995</v>
      </c>
      <c r="L86" s="106">
        <f>VLOOKUP("Coste desvíos",$Q$86:$AE$102,11,FALSE)</f>
        <v>0.5</v>
      </c>
      <c r="M86" s="106">
        <f>VLOOKUP("Coste desvíos",$Q$86:$AE$102,12,FALSE)</f>
        <v>0.42</v>
      </c>
      <c r="N86" s="106">
        <f>VLOOKUP("Coste desvíos",$Q$86:$AE$102,13,FALSE)</f>
        <v>0.86</v>
      </c>
      <c r="O86" s="106">
        <f>VLOOKUP("Coste desvíos",$Q$86:$AE$102,14,FALSE)</f>
        <v>0.64</v>
      </c>
      <c r="P86" s="173"/>
      <c r="Q86" s="101" t="str">
        <f>Dat_01!A46</f>
        <v>Cuota %</v>
      </c>
      <c r="R86" s="201">
        <f>Dat_01!B46</f>
        <v>100</v>
      </c>
      <c r="S86" s="201">
        <f>Dat_01!C46</f>
        <v>100</v>
      </c>
      <c r="T86" s="201">
        <f>Dat_01!D46</f>
        <v>100</v>
      </c>
      <c r="U86" s="201">
        <f>Dat_01!E46</f>
        <v>100</v>
      </c>
      <c r="V86" s="201">
        <f>Dat_01!F46</f>
        <v>100</v>
      </c>
      <c r="W86" s="201">
        <f>Dat_01!G46</f>
        <v>100</v>
      </c>
      <c r="X86" s="201">
        <f>Dat_01!H46</f>
        <v>100</v>
      </c>
      <c r="Y86" s="201">
        <f>Dat_01!I46</f>
        <v>100</v>
      </c>
      <c r="Z86" s="201">
        <f>Dat_01!J46</f>
        <v>100</v>
      </c>
      <c r="AA86" s="201">
        <f>Dat_01!K46</f>
        <v>100</v>
      </c>
      <c r="AB86" s="201">
        <f>Dat_01!L46</f>
        <v>100</v>
      </c>
      <c r="AC86" s="201">
        <f>Dat_01!M46</f>
        <v>100</v>
      </c>
      <c r="AD86" s="201">
        <f>Dat_01!N46</f>
        <v>100</v>
      </c>
      <c r="AE86" s="180"/>
      <c r="AF86" s="173"/>
    </row>
    <row r="87" spans="2:32">
      <c r="B87" s="101" t="s">
        <v>68</v>
      </c>
      <c r="C87" s="106">
        <f>VLOOKUP("Saldo desvíos",$Q$86:$AE$102,2,FALSE)</f>
        <v>-0.2</v>
      </c>
      <c r="D87" s="106">
        <f>VLOOKUP("Saldo desvíos",$Q$86:$AE$102,3,FALSE)</f>
        <v>-0.13</v>
      </c>
      <c r="E87" s="106">
        <f>VLOOKUP("Saldo desvíos",$Q$86:$AE$102,4,FALSE)</f>
        <v>-0.1</v>
      </c>
      <c r="F87" s="106">
        <f>VLOOKUP("Saldo desvíos",$Q$86:$AE$102,5,FALSE)</f>
        <v>-0.13</v>
      </c>
      <c r="G87" s="106">
        <f>VLOOKUP("Saldo desvíos",$Q$86:$AE$102,6,FALSE)</f>
        <v>-0.17</v>
      </c>
      <c r="H87" s="106">
        <f>VLOOKUP("Saldo desvíos",$Q$86:$AE$102,7,FALSE)</f>
        <v>-0.12</v>
      </c>
      <c r="I87" s="106">
        <f>VLOOKUP("Saldo desvíos",$Q$86:$AE$102,8,FALSE)</f>
        <v>0.01</v>
      </c>
      <c r="J87" s="106">
        <f>VLOOKUP("Saldo desvíos",$Q$86:$AE$102,9,FALSE)</f>
        <v>-0.05</v>
      </c>
      <c r="K87" s="106">
        <f>VLOOKUP("Saldo desvíos",$Q$86:$AE$102,10,FALSE)</f>
        <v>-0.25</v>
      </c>
      <c r="L87" s="106">
        <f>VLOOKUP("Saldo desvíos",$Q$86:$AE$102,11,FALSE)</f>
        <v>0.16</v>
      </c>
      <c r="M87" s="106">
        <f>VLOOKUP("Saldo desvíos",$Q$86:$AE$102,12,FALSE)</f>
        <v>0.19</v>
      </c>
      <c r="N87" s="106">
        <f>VLOOKUP("Saldo desvíos",$Q$86:$AE$102,13,FALSE)</f>
        <v>-0.19</v>
      </c>
      <c r="O87" s="106">
        <f>VLOOKUP("Saldo desvíos",$Q$86:$AE$102,14,FALSE)</f>
        <v>0.04</v>
      </c>
      <c r="P87" s="173"/>
      <c r="Q87" s="101" t="str">
        <f>Dat_01!A47</f>
        <v>Mercado Diario</v>
      </c>
      <c r="R87" s="106">
        <f>Dat_01!B47</f>
        <v>63.6</v>
      </c>
      <c r="S87" s="106">
        <f>Dat_01!C47</f>
        <v>29.86</v>
      </c>
      <c r="T87" s="106">
        <f>Dat_01!D47</f>
        <v>46.39</v>
      </c>
      <c r="U87" s="106">
        <f>Dat_01!E47</f>
        <v>66.2</v>
      </c>
      <c r="V87" s="106">
        <f>Dat_01!F47</f>
        <v>67.930000000000007</v>
      </c>
      <c r="W87" s="106">
        <f>Dat_01!G47</f>
        <v>83.94</v>
      </c>
      <c r="X87" s="106">
        <f>Dat_01!H47</f>
        <v>92.81</v>
      </c>
      <c r="Y87" s="106">
        <f>Dat_01!I47</f>
        <v>106.45</v>
      </c>
      <c r="Z87" s="106">
        <f>Dat_01!J47</f>
        <v>156.53</v>
      </c>
      <c r="AA87" s="106">
        <f>Dat_01!K47</f>
        <v>202.59</v>
      </c>
      <c r="AB87" s="106">
        <f>Dat_01!L47</f>
        <v>197.46</v>
      </c>
      <c r="AC87" s="106">
        <f>Dat_01!M47</f>
        <v>245.7</v>
      </c>
      <c r="AD87" s="106">
        <f>Dat_01!N47</f>
        <v>205.79</v>
      </c>
      <c r="AE87" s="180"/>
      <c r="AF87" s="173"/>
    </row>
    <row r="88" spans="2:32">
      <c r="B88" s="101" t="s">
        <v>23</v>
      </c>
      <c r="C88" s="106">
        <f>VLOOKUP("Control del factor de potencia",$Q$86:$AE$102,2,FALSE)</f>
        <v>0</v>
      </c>
      <c r="D88" s="106">
        <f>VLOOKUP("Control del factor de potencia",$Q$86:$AE$102,3,FALSE)</f>
        <v>-7.0000000000000007E-2</v>
      </c>
      <c r="E88" s="106">
        <f>VLOOKUP("Control del factor de potencia",$Q$86:$AE$102,4,FALSE)</f>
        <v>-0.06</v>
      </c>
      <c r="F88" s="106">
        <f>VLOOKUP("Control del factor de potencia",$Q$86:$AE$102,5,FALSE)</f>
        <v>-0.06</v>
      </c>
      <c r="G88" s="106">
        <f>VLOOKUP("Control del factor de potencia",$Q$86:$AE$102,6,FALSE)</f>
        <v>-7.0000000000000007E-2</v>
      </c>
      <c r="H88" s="106">
        <f>VLOOKUP("Control del factor de potencia",$Q$86:$AE$102,7,FALSE)</f>
        <v>-7.0000000000000007E-2</v>
      </c>
      <c r="I88" s="106">
        <f>VLOOKUP("Control del factor de potencia",$Q$86:$AE$102,8,FALSE)</f>
        <v>-7.0000000000000007E-2</v>
      </c>
      <c r="J88" s="106">
        <f>VLOOKUP("Control del factor de potencia",$Q$86:$AE$102,9,FALSE)</f>
        <v>-0.06</v>
      </c>
      <c r="K88" s="106">
        <f>VLOOKUP("Control del factor de potencia",$Q$86:$AE$102,10,FALSE)</f>
        <v>-0.06</v>
      </c>
      <c r="L88" s="106">
        <f>VLOOKUP("Control del factor de potencia",$Q$86:$AE$102,11,FALSE)</f>
        <v>-7.0000000000000007E-2</v>
      </c>
      <c r="M88" s="106">
        <f>VLOOKUP("Control del factor de potencia",$Q$86:$AE$102,12,FALSE)</f>
        <v>-0.08</v>
      </c>
      <c r="N88" s="106">
        <f>VLOOKUP("Control del factor de potencia",$Q$86:$AE$102,13,FALSE)</f>
        <v>-0.08</v>
      </c>
      <c r="O88" s="106">
        <f>VLOOKUP("Control del factor de potencia",$Q$86:$AE$102,14,FALSE)</f>
        <v>-0.08</v>
      </c>
      <c r="P88" s="173"/>
      <c r="Q88" s="101" t="str">
        <f>Dat_01!A48</f>
        <v>Restricciones PBF</v>
      </c>
      <c r="R88" s="106">
        <f>Dat_01!B48</f>
        <v>1.8</v>
      </c>
      <c r="S88" s="106">
        <f>Dat_01!C48</f>
        <v>2.14</v>
      </c>
      <c r="T88" s="106">
        <f>Dat_01!D48</f>
        <v>1.99</v>
      </c>
      <c r="U88" s="106">
        <f>Dat_01!E48</f>
        <v>1.7</v>
      </c>
      <c r="V88" s="106">
        <f>Dat_01!F48</f>
        <v>2.4900000000000002</v>
      </c>
      <c r="W88" s="106">
        <f>Dat_01!G48</f>
        <v>1.96</v>
      </c>
      <c r="X88" s="106">
        <f>Dat_01!H48</f>
        <v>1.21</v>
      </c>
      <c r="Y88" s="106">
        <f>Dat_01!I48</f>
        <v>2.0699999999999998</v>
      </c>
      <c r="Z88" s="106">
        <f>Dat_01!J48</f>
        <v>1.02</v>
      </c>
      <c r="AA88" s="106">
        <f>Dat_01!K48</f>
        <v>2.44</v>
      </c>
      <c r="AB88" s="106">
        <f>Dat_01!L48</f>
        <v>1.49</v>
      </c>
      <c r="AC88" s="106">
        <f>Dat_01!M48</f>
        <v>1.8</v>
      </c>
      <c r="AD88" s="106">
        <f>Dat_01!N48</f>
        <v>1.25</v>
      </c>
      <c r="AE88" s="180"/>
      <c r="AF88" s="173"/>
    </row>
    <row r="89" spans="2:32">
      <c r="B89" s="102" t="s">
        <v>70</v>
      </c>
      <c r="C89" s="107">
        <f>VLOOKUP("Saldo PO 14.6",$Q$86:$AE$102,2,FALSE)</f>
        <v>0.02</v>
      </c>
      <c r="D89" s="107">
        <f>VLOOKUP("Saldo PO 14.6",$Q$86:$AE$102,3,FALSE)</f>
        <v>0.01</v>
      </c>
      <c r="E89" s="107">
        <f>VLOOKUP("Saldo PO 14.6",$Q$86:$AE$102,4,FALSE)</f>
        <v>0.01</v>
      </c>
      <c r="F89" s="107">
        <f>VLOOKUP("Saldo PO 14.6",$Q$86:$AE$102,5,FALSE)</f>
        <v>0.05</v>
      </c>
      <c r="G89" s="107">
        <f>VLOOKUP("Saldo PO 14.6",$Q$86:$AE$102,6,FALSE)</f>
        <v>0.02</v>
      </c>
      <c r="H89" s="107">
        <f>VLOOKUP("Saldo PO 14.6",$Q$86:$AE$102,7,FALSE)</f>
        <v>-0.01</v>
      </c>
      <c r="I89" s="107">
        <f>VLOOKUP("Saldo PO 14.6",$Q$86:$AE$102,8,FALSE)</f>
        <v>0.03</v>
      </c>
      <c r="J89" s="107">
        <f>VLOOKUP("Saldo PO 14.6",$Q$86:$AE$102,9,FALSE)</f>
        <v>0.01</v>
      </c>
      <c r="K89" s="107">
        <f>VLOOKUP("Saldo PO 14.6",$Q$86:$AE$102,10,FALSE)</f>
        <v>0.06</v>
      </c>
      <c r="L89" s="107">
        <f>VLOOKUP("Saldo PO 14.6",$Q$86:$AE$102,11,FALSE)</f>
        <v>-0.01</v>
      </c>
      <c r="M89" s="107">
        <f>VLOOKUP("Saldo PO 14.6",$Q$86:$AE$102,12,FALSE)</f>
        <v>0.04</v>
      </c>
      <c r="N89" s="107">
        <f>VLOOKUP("Saldo PO 14.6",$Q$86:$AE$102,13,FALSE)</f>
        <v>0.05</v>
      </c>
      <c r="O89" s="107">
        <f>VLOOKUP("Saldo PO 14.6",$Q$86:$AE$102,14,FALSE)</f>
        <v>0.04</v>
      </c>
      <c r="P89" s="173"/>
      <c r="Q89" s="101" t="str">
        <f>Dat_01!A49</f>
        <v>Restricciones TR</v>
      </c>
      <c r="R89" s="106">
        <f>Dat_01!B49</f>
        <v>0.95</v>
      </c>
      <c r="S89" s="106">
        <f>Dat_01!C49</f>
        <v>0.67</v>
      </c>
      <c r="T89" s="106">
        <f>Dat_01!D49</f>
        <v>0.53</v>
      </c>
      <c r="U89" s="106">
        <f>Dat_01!E49</f>
        <v>0.67</v>
      </c>
      <c r="V89" s="106">
        <f>Dat_01!F49</f>
        <v>0.42</v>
      </c>
      <c r="W89" s="106">
        <f>Dat_01!G49</f>
        <v>0.3</v>
      </c>
      <c r="X89" s="106">
        <f>Dat_01!H49</f>
        <v>1.08</v>
      </c>
      <c r="Y89" s="106">
        <f>Dat_01!I49</f>
        <v>1.19</v>
      </c>
      <c r="Z89" s="106">
        <f>Dat_01!J49</f>
        <v>1.43</v>
      </c>
      <c r="AA89" s="106">
        <f>Dat_01!K49</f>
        <v>1.87</v>
      </c>
      <c r="AB89" s="106">
        <f>Dat_01!L49</f>
        <v>2.4500000000000002</v>
      </c>
      <c r="AC89" s="106">
        <f>Dat_01!M49</f>
        <v>2.2799999999999998</v>
      </c>
      <c r="AD89" s="106">
        <f>Dat_01!N49</f>
        <v>1.05</v>
      </c>
      <c r="AE89" s="180"/>
      <c r="AF89" s="173"/>
    </row>
    <row r="90" spans="2:32">
      <c r="B90" s="173"/>
      <c r="C90" s="181">
        <f t="shared" ref="C90:N90" si="2">SUM(C82:C89)</f>
        <v>3.72</v>
      </c>
      <c r="D90" s="181">
        <f t="shared" si="2"/>
        <v>3.9999999999999996</v>
      </c>
      <c r="E90" s="181">
        <f t="shared" si="2"/>
        <v>3.26</v>
      </c>
      <c r="F90" s="181">
        <f t="shared" si="2"/>
        <v>3.02</v>
      </c>
      <c r="G90" s="181">
        <f t="shared" si="2"/>
        <v>3.91</v>
      </c>
      <c r="H90" s="181">
        <f t="shared" si="2"/>
        <v>3</v>
      </c>
      <c r="I90" s="181">
        <f t="shared" si="2"/>
        <v>3.0899999999999994</v>
      </c>
      <c r="J90" s="181">
        <f t="shared" si="2"/>
        <v>4.6100000000000003</v>
      </c>
      <c r="K90" s="181">
        <f t="shared" si="2"/>
        <v>3.91</v>
      </c>
      <c r="L90" s="181">
        <f t="shared" si="2"/>
        <v>6.73</v>
      </c>
      <c r="M90" s="181">
        <f t="shared" si="2"/>
        <v>5.9800000000000013</v>
      </c>
      <c r="N90" s="181">
        <f t="shared" si="2"/>
        <v>5.95</v>
      </c>
      <c r="O90" s="181">
        <f>SUM(O82:O89)</f>
        <v>3.78</v>
      </c>
      <c r="P90" s="173"/>
      <c r="Q90" s="101" t="str">
        <f>Dat_01!A50</f>
        <v>Mercado Intradiario</v>
      </c>
      <c r="R90" s="106">
        <f>Dat_01!B50</f>
        <v>0.03</v>
      </c>
      <c r="S90" s="106">
        <f>Dat_01!C50</f>
        <v>-0.02</v>
      </c>
      <c r="T90" s="106">
        <f>Dat_01!D50</f>
        <v>-0.02</v>
      </c>
      <c r="U90" s="106">
        <f>Dat_01!E50</f>
        <v>-0.03</v>
      </c>
      <c r="V90" s="106">
        <f>Dat_01!F50</f>
        <v>-0.03</v>
      </c>
      <c r="W90" s="106">
        <f>Dat_01!G50</f>
        <v>-0.03</v>
      </c>
      <c r="X90" s="106">
        <f>Dat_01!H50</f>
        <v>-0.03</v>
      </c>
      <c r="Y90" s="106">
        <f>Dat_01!I50</f>
        <v>-0.04</v>
      </c>
      <c r="Z90" s="106">
        <f>Dat_01!J50</f>
        <v>0</v>
      </c>
      <c r="AA90" s="106">
        <f>Dat_01!K50</f>
        <v>-0.02</v>
      </c>
      <c r="AB90" s="106">
        <f>Dat_01!L50</f>
        <v>0.03</v>
      </c>
      <c r="AC90" s="106">
        <f>Dat_01!M50</f>
        <v>-0.06</v>
      </c>
      <c r="AD90" s="106">
        <f>Dat_01!N50</f>
        <v>-0.04</v>
      </c>
      <c r="AE90" s="180"/>
      <c r="AF90" s="173"/>
    </row>
    <row r="91" spans="2:32">
      <c r="B91" s="173"/>
      <c r="C91" s="173"/>
      <c r="D91" s="173"/>
      <c r="E91" s="173"/>
      <c r="F91" s="173"/>
      <c r="G91" s="173"/>
      <c r="H91" s="173"/>
      <c r="I91" s="173"/>
      <c r="J91" s="173"/>
      <c r="K91" s="173"/>
      <c r="L91" s="173"/>
      <c r="M91" s="173"/>
      <c r="N91" s="173"/>
      <c r="O91" s="173"/>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211</v>
      </c>
      <c r="N92" s="101"/>
      <c r="O92" s="183">
        <f>(O90-C90)/C90</f>
        <v>1.6129032258064412E-2</v>
      </c>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2"/>
      <c r="D93" s="182"/>
      <c r="E93" s="182"/>
      <c r="F93" s="182"/>
      <c r="G93" s="182"/>
      <c r="H93" s="182"/>
      <c r="I93" s="182"/>
      <c r="J93" s="182"/>
      <c r="K93" s="182"/>
      <c r="L93" s="182"/>
      <c r="M93" s="101" t="s">
        <v>212</v>
      </c>
      <c r="N93" s="101"/>
      <c r="O93" s="184"/>
      <c r="P93" s="173"/>
      <c r="Q93" s="101" t="str">
        <f>Dat_01!A53</f>
        <v>Banda Secundaria</v>
      </c>
      <c r="R93" s="106">
        <f>Dat_01!B53</f>
        <v>0.71</v>
      </c>
      <c r="S93" s="106">
        <f>Dat_01!C53</f>
        <v>1.1599999999999999</v>
      </c>
      <c r="T93" s="106">
        <f>Dat_01!D53</f>
        <v>0.66</v>
      </c>
      <c r="U93" s="106">
        <f>Dat_01!E53</f>
        <v>0.57999999999999996</v>
      </c>
      <c r="V93" s="106">
        <f>Dat_01!F53</f>
        <v>0.97</v>
      </c>
      <c r="W93" s="106">
        <f>Dat_01!G53</f>
        <v>0.73</v>
      </c>
      <c r="X93" s="106">
        <f>Dat_01!H53</f>
        <v>0.72</v>
      </c>
      <c r="Y93" s="106">
        <f>Dat_01!I53</f>
        <v>1.17</v>
      </c>
      <c r="Z93" s="106">
        <f>Dat_01!J53</f>
        <v>1.23</v>
      </c>
      <c r="AA93" s="106">
        <f>Dat_01!K53</f>
        <v>1.97</v>
      </c>
      <c r="AB93" s="106">
        <f>Dat_01!L53</f>
        <v>1.6</v>
      </c>
      <c r="AC93" s="106">
        <f>Dat_01!M53</f>
        <v>1.5</v>
      </c>
      <c r="AD93" s="106">
        <f>Dat_01!N53</f>
        <v>1.02</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-0.05</v>
      </c>
      <c r="S94" s="106">
        <f>Dat_01!C54</f>
        <v>-0.02</v>
      </c>
      <c r="T94" s="106">
        <f>Dat_01!D54</f>
        <v>-0.02</v>
      </c>
      <c r="U94" s="106">
        <f>Dat_01!E54</f>
        <v>-0.04</v>
      </c>
      <c r="V94" s="106">
        <f>Dat_01!F54</f>
        <v>-0.04</v>
      </c>
      <c r="W94" s="106">
        <f>Dat_01!G54</f>
        <v>-0.04</v>
      </c>
      <c r="X94" s="106">
        <f>Dat_01!H54</f>
        <v>-0.04</v>
      </c>
      <c r="Y94" s="106">
        <f>Dat_01!I54</f>
        <v>-0.04</v>
      </c>
      <c r="Z94" s="106">
        <f>Dat_01!J54</f>
        <v>-0.09</v>
      </c>
      <c r="AA94" s="106">
        <f>Dat_01!K54</f>
        <v>-0.13</v>
      </c>
      <c r="AB94" s="106">
        <f>Dat_01!L54</f>
        <v>-0.13</v>
      </c>
      <c r="AC94" s="106">
        <f>Dat_01!M54</f>
        <v>-0.27</v>
      </c>
      <c r="AD94" s="106">
        <f>Dat_01!N54</f>
        <v>-0.18</v>
      </c>
      <c r="AE94" s="180"/>
      <c r="AF94" s="173"/>
    </row>
    <row r="95" spans="2:32">
      <c r="C95" s="185"/>
      <c r="D95" s="185"/>
      <c r="E95" s="185"/>
      <c r="F95" s="185"/>
      <c r="G95" s="185"/>
      <c r="H95" s="185"/>
      <c r="I95" s="185"/>
      <c r="J95" s="185"/>
      <c r="K95" s="185"/>
      <c r="L95" s="185"/>
      <c r="M95" s="185"/>
      <c r="N95" s="185"/>
      <c r="O95" s="185"/>
      <c r="P95" s="186"/>
      <c r="Q95" s="101" t="str">
        <f>Dat_01!A55</f>
        <v>Coste desvíos</v>
      </c>
      <c r="R95" s="106">
        <f>Dat_01!B55</f>
        <v>0.49</v>
      </c>
      <c r="S95" s="106">
        <f>Dat_01!C55</f>
        <v>0.24</v>
      </c>
      <c r="T95" s="106">
        <f>Dat_01!D55</f>
        <v>0.25</v>
      </c>
      <c r="U95" s="106">
        <f>Dat_01!E55</f>
        <v>0.25</v>
      </c>
      <c r="V95" s="106">
        <f>Dat_01!F55</f>
        <v>0.28999999999999998</v>
      </c>
      <c r="W95" s="106">
        <f>Dat_01!G55</f>
        <v>0.25</v>
      </c>
      <c r="X95" s="106">
        <f>Dat_01!H55</f>
        <v>0.15</v>
      </c>
      <c r="Y95" s="106">
        <f>Dat_01!I55</f>
        <v>0.32</v>
      </c>
      <c r="Z95" s="106">
        <f>Dat_01!J55</f>
        <v>0.56999999999999995</v>
      </c>
      <c r="AA95" s="106">
        <f>Dat_01!K55</f>
        <v>0.5</v>
      </c>
      <c r="AB95" s="106">
        <f>Dat_01!L55</f>
        <v>0.42</v>
      </c>
      <c r="AC95" s="106">
        <f>Dat_01!M55</f>
        <v>0.86</v>
      </c>
      <c r="AD95" s="106">
        <f>Dat_01!N55</f>
        <v>0.64</v>
      </c>
      <c r="AE95" s="180"/>
      <c r="AF95" s="173"/>
    </row>
    <row r="96" spans="2:32">
      <c r="C96" s="186"/>
      <c r="D96" s="186"/>
      <c r="E96" s="186"/>
      <c r="F96" s="186"/>
      <c r="G96" s="186"/>
      <c r="H96" s="186"/>
      <c r="I96" s="186"/>
      <c r="J96" s="186"/>
      <c r="K96" s="186"/>
      <c r="L96" s="186"/>
      <c r="M96" s="186"/>
      <c r="N96" s="186"/>
      <c r="O96" s="186"/>
      <c r="P96" s="186"/>
      <c r="Q96" s="101" t="str">
        <f>Dat_01!A56</f>
        <v>Saldo desvíos</v>
      </c>
      <c r="R96" s="106">
        <f>Dat_01!B56</f>
        <v>-0.2</v>
      </c>
      <c r="S96" s="106">
        <f>Dat_01!C56</f>
        <v>-0.13</v>
      </c>
      <c r="T96" s="106">
        <f>Dat_01!D56</f>
        <v>-0.1</v>
      </c>
      <c r="U96" s="106">
        <f>Dat_01!E56</f>
        <v>-0.13</v>
      </c>
      <c r="V96" s="106">
        <f>Dat_01!F56</f>
        <v>-0.17</v>
      </c>
      <c r="W96" s="106">
        <f>Dat_01!G56</f>
        <v>-0.12</v>
      </c>
      <c r="X96" s="106">
        <f>Dat_01!H56</f>
        <v>0.01</v>
      </c>
      <c r="Y96" s="106">
        <f>Dat_01!I56</f>
        <v>-0.05</v>
      </c>
      <c r="Z96" s="106">
        <f>Dat_01!J56</f>
        <v>-0.25</v>
      </c>
      <c r="AA96" s="106">
        <f>Dat_01!K56</f>
        <v>0.16</v>
      </c>
      <c r="AB96" s="106">
        <f>Dat_01!L56</f>
        <v>0.19</v>
      </c>
      <c r="AC96" s="106">
        <f>Dat_01!M56</f>
        <v>-0.19</v>
      </c>
      <c r="AD96" s="106">
        <f>Dat_01!N56</f>
        <v>0.04</v>
      </c>
      <c r="AE96" s="180"/>
      <c r="AF96" s="173"/>
    </row>
    <row r="97" spans="2:32">
      <c r="C97" s="186"/>
      <c r="D97" s="186"/>
      <c r="E97" s="186"/>
      <c r="F97" s="186"/>
      <c r="G97" s="186"/>
      <c r="H97" s="186"/>
      <c r="I97" s="186"/>
      <c r="J97" s="186"/>
      <c r="K97" s="186"/>
      <c r="L97" s="186"/>
      <c r="M97" s="186"/>
      <c r="N97" s="186"/>
      <c r="O97" s="186"/>
      <c r="P97" s="186"/>
      <c r="Q97" s="101" t="str">
        <f>Dat_01!A57</f>
        <v>Control del factor de potencia</v>
      </c>
      <c r="R97" s="106">
        <f>Dat_01!B57</f>
        <v>0</v>
      </c>
      <c r="S97" s="106">
        <f>Dat_01!C57</f>
        <v>-7.0000000000000007E-2</v>
      </c>
      <c r="T97" s="106">
        <f>Dat_01!D57</f>
        <v>-0.06</v>
      </c>
      <c r="U97" s="106">
        <f>Dat_01!E57</f>
        <v>-0.06</v>
      </c>
      <c r="V97" s="106">
        <f>Dat_01!F57</f>
        <v>-7.0000000000000007E-2</v>
      </c>
      <c r="W97" s="106">
        <f>Dat_01!G57</f>
        <v>-7.0000000000000007E-2</v>
      </c>
      <c r="X97" s="106">
        <f>Dat_01!H57</f>
        <v>-7.0000000000000007E-2</v>
      </c>
      <c r="Y97" s="106">
        <f>Dat_01!I57</f>
        <v>-0.06</v>
      </c>
      <c r="Z97" s="106">
        <f>Dat_01!J57</f>
        <v>-0.06</v>
      </c>
      <c r="AA97" s="106">
        <f>Dat_01!K57</f>
        <v>-7.0000000000000007E-2</v>
      </c>
      <c r="AB97" s="106">
        <f>Dat_01!L57</f>
        <v>-0.08</v>
      </c>
      <c r="AC97" s="106">
        <f>Dat_01!M57</f>
        <v>-0.08</v>
      </c>
      <c r="AD97" s="106">
        <f>Dat_01!N57</f>
        <v>-0.08</v>
      </c>
      <c r="AE97" s="180"/>
      <c r="AF97" s="173"/>
    </row>
    <row r="98" spans="2:32">
      <c r="Q98" s="101" t="str">
        <f>Dat_01!A58</f>
        <v>Pago capacidad</v>
      </c>
      <c r="R98" s="106">
        <f>Dat_01!B58</f>
        <v>3.02</v>
      </c>
      <c r="S98" s="106">
        <f>Dat_01!C58</f>
        <v>2.98</v>
      </c>
      <c r="T98" s="106">
        <f>Dat_01!D58</f>
        <v>2.38</v>
      </c>
      <c r="U98" s="106">
        <f>Dat_01!E58</f>
        <v>2.31</v>
      </c>
      <c r="V98" s="106">
        <f>Dat_01!F58</f>
        <v>2.2200000000000002</v>
      </c>
      <c r="W98" s="106">
        <f>Dat_01!G58</f>
        <v>0.3</v>
      </c>
      <c r="X98" s="106">
        <f>Dat_01!H58</f>
        <v>0.54</v>
      </c>
      <c r="Y98" s="106">
        <f>Dat_01!I58</f>
        <v>0.31</v>
      </c>
      <c r="Z98" s="106">
        <f>Dat_01!J58</f>
        <v>0.31</v>
      </c>
      <c r="AA98" s="106">
        <f>Dat_01!K58</f>
        <v>0.26</v>
      </c>
      <c r="AB98" s="106">
        <f>Dat_01!L58</f>
        <v>0.38</v>
      </c>
      <c r="AC98" s="106">
        <f>Dat_01!M58</f>
        <v>0.54</v>
      </c>
      <c r="AD98" s="106">
        <f>Dat_01!N58</f>
        <v>0.43</v>
      </c>
      <c r="AE98" s="180"/>
    </row>
    <row r="99" spans="2:32">
      <c r="Q99" s="101" t="str">
        <f>Dat_01!A59</f>
        <v>Servicio interrumpibilidad</v>
      </c>
      <c r="R99" s="106">
        <f>Dat_01!B59</f>
        <v>0</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0.02</v>
      </c>
      <c r="S100" s="106">
        <f>Dat_01!C60</f>
        <v>0.01</v>
      </c>
      <c r="T100" s="106">
        <f>Dat_01!D60</f>
        <v>0.01</v>
      </c>
      <c r="U100" s="106">
        <f>Dat_01!E60</f>
        <v>0.05</v>
      </c>
      <c r="V100" s="106">
        <f>Dat_01!F60</f>
        <v>0.02</v>
      </c>
      <c r="W100" s="106">
        <f>Dat_01!G60</f>
        <v>-0.01</v>
      </c>
      <c r="X100" s="106">
        <f>Dat_01!H60</f>
        <v>0.03</v>
      </c>
      <c r="Y100" s="106">
        <f>Dat_01!I60</f>
        <v>0.01</v>
      </c>
      <c r="Z100" s="106">
        <f>Dat_01!J60</f>
        <v>0.06</v>
      </c>
      <c r="AA100" s="106">
        <f>Dat_01!K60</f>
        <v>-0.01</v>
      </c>
      <c r="AB100" s="106">
        <f>Dat_01!L60</f>
        <v>0.04</v>
      </c>
      <c r="AC100" s="106">
        <f>Dat_01!M60</f>
        <v>0.05</v>
      </c>
      <c r="AD100" s="106">
        <f>Dat_01!N60</f>
        <v>0.04</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70.37</v>
      </c>
      <c r="S102" s="106">
        <f>Dat_01!C62</f>
        <v>36.82</v>
      </c>
      <c r="T102" s="106">
        <f>Dat_01!D62</f>
        <v>52.01</v>
      </c>
      <c r="U102" s="106">
        <f>Dat_01!E62</f>
        <v>71.5</v>
      </c>
      <c r="V102" s="106">
        <f>Dat_01!F62</f>
        <v>74.03</v>
      </c>
      <c r="W102" s="106">
        <f>Dat_01!G62</f>
        <v>87.21</v>
      </c>
      <c r="X102" s="106">
        <f>Dat_01!H62</f>
        <v>96.41</v>
      </c>
      <c r="Y102" s="106">
        <f>Dat_01!I62</f>
        <v>111.33</v>
      </c>
      <c r="Z102" s="106">
        <f>Dat_01!J62</f>
        <v>160.75</v>
      </c>
      <c r="AA102" s="106">
        <f>Dat_01!K62</f>
        <v>209.56</v>
      </c>
      <c r="AB102" s="106">
        <f>Dat_01!L62</f>
        <v>203.85</v>
      </c>
      <c r="AC102" s="106">
        <f>Dat_01!M62</f>
        <v>252.13</v>
      </c>
      <c r="AD102" s="106">
        <f>Dat_01!N62</f>
        <v>209.96</v>
      </c>
    </row>
    <row r="104" spans="2:32">
      <c r="B104" s="98" t="s">
        <v>213</v>
      </c>
      <c r="C104" s="98"/>
      <c r="D104" s="98"/>
      <c r="E104" s="98"/>
      <c r="F104" s="98"/>
      <c r="G104" s="98"/>
      <c r="H104" s="98"/>
      <c r="I104" s="104"/>
    </row>
    <row r="105" spans="2:32">
      <c r="B105" s="100" t="s">
        <v>214</v>
      </c>
      <c r="C105" s="100"/>
      <c r="D105" s="100" t="str">
        <f>AD83</f>
        <v>2022 Enero</v>
      </c>
      <c r="E105" s="100"/>
      <c r="F105" s="100" t="s">
        <v>214</v>
      </c>
      <c r="G105" s="100"/>
      <c r="H105" s="100" t="str">
        <f>R83</f>
        <v>2021 Enero</v>
      </c>
      <c r="I105" s="104"/>
    </row>
    <row r="106" spans="2:32">
      <c r="B106" s="100" t="s">
        <v>30</v>
      </c>
      <c r="C106" s="100"/>
      <c r="D106" s="100" t="s">
        <v>73</v>
      </c>
      <c r="E106" s="100"/>
      <c r="F106" s="100" t="s">
        <v>30</v>
      </c>
      <c r="G106" s="100" t="s">
        <v>215</v>
      </c>
      <c r="H106" s="100" t="s">
        <v>73</v>
      </c>
      <c r="I106" s="104"/>
    </row>
    <row r="107" spans="2:32">
      <c r="B107" s="101"/>
      <c r="C107" s="106"/>
      <c r="D107" s="106"/>
      <c r="E107" s="106"/>
      <c r="F107" s="101"/>
      <c r="G107" s="101"/>
      <c r="H107" s="101"/>
      <c r="I107" s="104"/>
    </row>
    <row r="108" spans="2:32">
      <c r="B108" s="190" t="s">
        <v>60</v>
      </c>
      <c r="C108" s="106"/>
      <c r="D108" s="106">
        <f>IF(VLOOKUP(B108,Dat_01!$A$45:$N$61,14,FALSE)=0,"-",VLOOKUP(B108,Dat_01!$A$45:$N$61,14,FALSE)*Dat_01!$N$45)</f>
        <v>26814406.8675</v>
      </c>
      <c r="E108" s="106"/>
      <c r="F108" s="190" t="s">
        <v>60</v>
      </c>
      <c r="G108" s="106"/>
      <c r="H108" s="106">
        <f>IF(VLOOKUP(F108,Dat_01!$A$45:$N$61,2,FALSE)=0,"-",VLOOKUP(F108,Dat_01!$A$45:$N$61,2,FALSE)*Dat_01!$B$45)</f>
        <v>40974693.526799999</v>
      </c>
      <c r="I108" s="104"/>
    </row>
    <row r="109" spans="2:32">
      <c r="B109" s="190" t="s">
        <v>61</v>
      </c>
      <c r="C109" s="106"/>
      <c r="D109" s="106">
        <f>IF(VLOOKUP(B109,Dat_01!$A$45:$N$61,14,FALSE)=0,"-",VLOOKUP(B109,Dat_01!$A$45:$N$61,14,FALSE)*Dat_01!$N$45)</f>
        <v>22524101.7687</v>
      </c>
      <c r="E109" s="106"/>
      <c r="F109" s="190" t="s">
        <v>61</v>
      </c>
      <c r="G109" s="106"/>
      <c r="H109" s="106">
        <f>IF(VLOOKUP(F109,Dat_01!$A$45:$N$61,2,FALSE)=0,"-",VLOOKUP(F109,Dat_01!$A$45:$N$61,2,FALSE)*Dat_01!$B$45)</f>
        <v>21625532.694699999</v>
      </c>
      <c r="I109" s="104"/>
    </row>
    <row r="110" spans="2:32">
      <c r="B110" s="190" t="s">
        <v>64</v>
      </c>
      <c r="C110" s="106"/>
      <c r="D110" s="106" t="str">
        <f>IF(VLOOKUP(B110,Dat_01!$A$45:$N$61,14,FALSE)=0,"-",VLOOKUP(B110,Dat_01!$A$45:$N$61,14,FALSE)*Dat_01!$N$45)</f>
        <v>-</v>
      </c>
      <c r="E110" s="106"/>
      <c r="F110" s="190" t="s">
        <v>64</v>
      </c>
      <c r="G110" s="106"/>
      <c r="H110" s="106" t="str">
        <f>IF(VLOOKUP(F110,Dat_01!$A$45:$N$61,2,FALSE)=0,"-",VLOOKUP(F110,Dat_01!$A$45:$N$61,2,FALSE)*Dat_01!$B$45)</f>
        <v>-</v>
      </c>
      <c r="I110" s="104"/>
    </row>
    <row r="111" spans="2:32">
      <c r="B111" s="190" t="s">
        <v>65</v>
      </c>
      <c r="C111" s="106"/>
      <c r="D111" s="106">
        <f>IF(VLOOKUP(B111,Dat_01!$A$45:$N$61,14,FALSE)=0,"-",VLOOKUP(B111,Dat_01!$A$45:$N$61,14,FALSE)*Dat_01!$N$45)</f>
        <v>21880556.003879998</v>
      </c>
      <c r="E111" s="106"/>
      <c r="F111" s="190" t="s">
        <v>65</v>
      </c>
      <c r="G111" s="106"/>
      <c r="H111" s="106">
        <f>IF(VLOOKUP(F111,Dat_01!$A$45:$N$61,2,FALSE)=0,"-",VLOOKUP(F111,Dat_01!$A$45:$N$61,2,FALSE)*Dat_01!$B$45)</f>
        <v>16162240.224459998</v>
      </c>
      <c r="I111" s="104"/>
    </row>
    <row r="112" spans="2:32">
      <c r="B112" s="190" t="s">
        <v>67</v>
      </c>
      <c r="C112" s="106"/>
      <c r="D112" s="106">
        <f>IF(VLOOKUP(B112,Dat_01!$A$45:$N$61,14,FALSE)=0,"-",VLOOKUP(B112,Dat_01!$A$45:$N$61,14,FALSE)*Dat_01!$N$45)</f>
        <v>13728976.316159999</v>
      </c>
      <c r="E112" s="106"/>
      <c r="F112" s="190" t="s">
        <v>67</v>
      </c>
      <c r="G112" s="106"/>
      <c r="H112" s="106">
        <f>IF(VLOOKUP(F112,Dat_01!$A$45:$N$61,2,FALSE)=0,"-",VLOOKUP(F112,Dat_01!$A$45:$N$61,2,FALSE)*Dat_01!$B$45)</f>
        <v>11154222.126739999</v>
      </c>
      <c r="I112" s="104"/>
    </row>
    <row r="113" spans="2:9">
      <c r="B113" s="190" t="s">
        <v>66</v>
      </c>
      <c r="C113" s="106"/>
      <c r="D113" s="106">
        <f>IF(VLOOKUP(B113,Dat_01!$A$45:$N$61,14,FALSE)=0,"-",VLOOKUP(B113,Dat_01!$A$45:$N$61,14,FALSE)*Dat_01!$N$45)</f>
        <v>-3861274.5889199995</v>
      </c>
      <c r="E113" s="106"/>
      <c r="F113" s="190" t="s">
        <v>66</v>
      </c>
      <c r="G113" s="106"/>
      <c r="H113" s="106">
        <f>IF(VLOOKUP(F113,Dat_01!$A$45:$N$61,2,FALSE)=0,"-",VLOOKUP(F113,Dat_01!$A$45:$N$61,2,FALSE)*Dat_01!$B$45)</f>
        <v>-1138185.9313000001</v>
      </c>
      <c r="I113" s="104"/>
    </row>
    <row r="114" spans="2:9">
      <c r="B114" s="190" t="s">
        <v>68</v>
      </c>
      <c r="C114" s="106"/>
      <c r="D114" s="106">
        <f>IF(VLOOKUP(B114,Dat_01!$A$45:$N$61,14,FALSE)=0,"-",VLOOKUP(B114,Dat_01!$A$45:$N$61,14,FALSE)*Dat_01!$N$45)</f>
        <v>858061.01975999994</v>
      </c>
      <c r="E114" s="106"/>
      <c r="F114" s="190" t="s">
        <v>68</v>
      </c>
      <c r="G114" s="106"/>
      <c r="H114" s="106">
        <f>IF(VLOOKUP(F114,Dat_01!$A$45:$N$61,2,FALSE)=0,"-",VLOOKUP(F114,Dat_01!$A$45:$N$61,2,FALSE)*Dat_01!$B$45)</f>
        <v>-4552743.7252000002</v>
      </c>
      <c r="I114" s="104"/>
    </row>
    <row r="115" spans="2:9">
      <c r="B115" s="190" t="s">
        <v>70</v>
      </c>
      <c r="C115" s="106"/>
      <c r="D115" s="106">
        <f>IF(VLOOKUP(B115,Dat_01!$A$45:$N$61,14,FALSE)=0,"-",VLOOKUP(B115,Dat_01!$A$45:$N$61,14,FALSE)*Dat_01!$N$45)</f>
        <v>858061.01975999994</v>
      </c>
      <c r="E115" s="106"/>
      <c r="F115" s="190" t="s">
        <v>70</v>
      </c>
      <c r="G115" s="106"/>
      <c r="H115" s="106">
        <f>IF(VLOOKUP(F115,Dat_01!$A$45:$N$61,2,FALSE)=0,"-",VLOOKUP(F115,Dat_01!$A$45:$N$61,2,FALSE)*Dat_01!$B$45)</f>
        <v>455274.37251999998</v>
      </c>
      <c r="I115" s="104"/>
    </row>
    <row r="116" spans="2:9">
      <c r="B116" s="190" t="s">
        <v>71</v>
      </c>
      <c r="C116" s="106"/>
      <c r="D116" s="106" t="str">
        <f>IF(VLOOKUP(B116,Dat_01!$A$45:$N$61,14,FALSE)=0,"-",VLOOKUP(B116,Dat_01!$A$45:$N$61,14,FALSE)*Dat_01!$N$45)</f>
        <v>-</v>
      </c>
      <c r="E116" s="106"/>
      <c r="F116" s="190" t="s">
        <v>71</v>
      </c>
      <c r="G116" s="106"/>
      <c r="H116" s="106" t="str">
        <f>IF(VLOOKUP(F116,Dat_01!$A$45:$N$61,2,FALSE)=0,"-",VLOOKUP(F116,Dat_01!$A$45:$N$61,2,FALSE)*Dat_01!$B$45)</f>
        <v>-</v>
      </c>
      <c r="I116" s="104"/>
    </row>
    <row r="117" spans="2:9">
      <c r="B117" s="102" t="s">
        <v>23</v>
      </c>
      <c r="C117" s="187"/>
      <c r="D117" s="253">
        <f>IF(VLOOKUP(B117,Dat_01!$A$45:$N$61,14,FALSE)=0,"-",VLOOKUP(B117,Dat_01!$A$45:$N$61,14,FALSE)*Dat_01!$N$45)</f>
        <v>-1716122.0395199999</v>
      </c>
      <c r="E117" s="102"/>
      <c r="F117" s="102" t="s">
        <v>23</v>
      </c>
      <c r="G117" s="102"/>
      <c r="H117" s="253" t="str">
        <f>IF(VLOOKUP(F117,Dat_01!$A$45:$N$61,2,FALSE)=0,"-",VLOOKUP(F117,Dat_01!$A$45:$N$61,2,FALSE)*Dat_01!$B$45)</f>
        <v>-</v>
      </c>
      <c r="I117" s="104"/>
    </row>
    <row r="118" spans="2:9">
      <c r="I118" s="104"/>
    </row>
    <row r="119" spans="2:9">
      <c r="D119" s="255">
        <f>O90*Dat_01!N45/1000000</f>
        <v>81.086766367319981</v>
      </c>
      <c r="H119" s="255">
        <f>'Data 1'!C90*Dat_01!B45/1000000</f>
        <v>84.681033288720002</v>
      </c>
    </row>
    <row r="120" spans="2:9">
      <c r="D120" s="254">
        <f>D119*1000000-SUM(D108:D117)</f>
        <v>0</v>
      </c>
      <c r="E120" s="254"/>
      <c r="F120" s="254"/>
      <c r="G120" s="254"/>
      <c r="H120" s="254">
        <f>H119*1000000-SUM(H108:H117)</f>
        <v>0</v>
      </c>
    </row>
    <row r="123" spans="2:9">
      <c r="B123" s="100"/>
      <c r="C123" s="211">
        <f>YEAR(B5)-1</f>
        <v>2021</v>
      </c>
      <c r="D123" s="211">
        <f>YEAR(B5)</f>
        <v>2022</v>
      </c>
    </row>
    <row r="124" spans="2:9">
      <c r="B124" s="100"/>
      <c r="C124" s="211" t="str">
        <f>MID(H105,6,10)</f>
        <v>Enero</v>
      </c>
      <c r="D124" s="211" t="str">
        <f>MID(D105,6,10)</f>
        <v>Enero</v>
      </c>
    </row>
    <row r="125" spans="2:9">
      <c r="B125" s="288" t="s">
        <v>345</v>
      </c>
      <c r="C125" s="290">
        <f>SUM(C126:C127)</f>
        <v>974.34170000000006</v>
      </c>
      <c r="D125" s="290">
        <f>SUM(D126:D127)</f>
        <v>384.69189999999998</v>
      </c>
    </row>
    <row r="126" spans="2:9">
      <c r="B126" s="190" t="str">
        <f>Dat_01!A122</f>
        <v>Restricciones Técnicas al PBF</v>
      </c>
      <c r="C126" s="106">
        <f>Dat_01!B122</f>
        <v>733.44770000000005</v>
      </c>
      <c r="D126" s="106">
        <f>Dat_01!C122</f>
        <v>297.10239999999999</v>
      </c>
    </row>
    <row r="127" spans="2:9">
      <c r="B127" s="102" t="str">
        <f>Dat_01!A123</f>
        <v>Restric. en Tiempo Real</v>
      </c>
      <c r="C127" s="191">
        <f>Dat_01!B123</f>
        <v>240.89400000000001</v>
      </c>
      <c r="D127" s="191">
        <f>Dat_01!C123</f>
        <v>87.589500000000001</v>
      </c>
    </row>
    <row r="128" spans="2:9">
      <c r="B128" s="289" t="s">
        <v>346</v>
      </c>
      <c r="C128" s="290">
        <f>SUM(C129:C132)</f>
        <v>952.85589500000003</v>
      </c>
      <c r="D128" s="290">
        <f>SUM(D129:D132)</f>
        <v>890.07463899999993</v>
      </c>
    </row>
    <row r="129" spans="2:16">
      <c r="B129" s="190" t="str">
        <f>Dat_01!A124</f>
        <v>Regulación secundaria</v>
      </c>
      <c r="C129" s="106">
        <f>Dat_01!B124</f>
        <v>267.89747</v>
      </c>
      <c r="D129" s="106">
        <f>Dat_01!C124</f>
        <v>246.27144999999999</v>
      </c>
    </row>
    <row r="130" spans="2:16">
      <c r="B130" s="190" t="str">
        <f>Dat_01!A125</f>
        <v>Regulación terciaria</v>
      </c>
      <c r="C130" s="106">
        <f>Dat_01!B125</f>
        <v>311.77730000000003</v>
      </c>
      <c r="D130" s="106">
        <f>Dat_01!C125</f>
        <v>281.90719999999999</v>
      </c>
    </row>
    <row r="131" spans="2:16">
      <c r="B131" s="190" t="str">
        <f>Dat_01!A126</f>
        <v>Reserva de sustitución (RR)</v>
      </c>
      <c r="C131" s="106">
        <f>Dat_01!B126</f>
        <v>320.85599999999999</v>
      </c>
      <c r="D131" s="106">
        <f>Dat_01!C126</f>
        <v>283.971</v>
      </c>
    </row>
    <row r="132" spans="2:16">
      <c r="B132" s="102" t="str">
        <f>Dat_01!A127</f>
        <v>IGCC</v>
      </c>
      <c r="C132" s="191">
        <f>Dat_01!B127</f>
        <v>52.325125</v>
      </c>
      <c r="D132" s="191">
        <f>Dat_01!C127</f>
        <v>77.924988999999997</v>
      </c>
    </row>
    <row r="135" spans="2:16">
      <c r="B135" s="98" t="s">
        <v>216</v>
      </c>
    </row>
    <row r="136" spans="2:16">
      <c r="B136" s="189"/>
      <c r="C136" s="189" t="s">
        <v>30</v>
      </c>
      <c r="D136" s="189" t="s">
        <v>217</v>
      </c>
      <c r="E136" s="189" t="s">
        <v>217</v>
      </c>
      <c r="F136" s="189" t="s">
        <v>217</v>
      </c>
      <c r="G136" s="189" t="s">
        <v>217</v>
      </c>
      <c r="H136" s="189" t="s">
        <v>217</v>
      </c>
      <c r="I136" s="189" t="s">
        <v>217</v>
      </c>
      <c r="J136" s="189" t="s">
        <v>217</v>
      </c>
      <c r="K136" s="189" t="s">
        <v>217</v>
      </c>
      <c r="L136" s="189" t="s">
        <v>217</v>
      </c>
      <c r="M136" s="189" t="s">
        <v>217</v>
      </c>
      <c r="N136" s="189" t="s">
        <v>217</v>
      </c>
      <c r="O136" s="189" t="s">
        <v>217</v>
      </c>
      <c r="P136" s="98" t="s">
        <v>217</v>
      </c>
    </row>
    <row r="137" spans="2:16">
      <c r="B137" s="189"/>
      <c r="C137" s="189" t="s">
        <v>214</v>
      </c>
      <c r="D137" s="211" t="str">
        <f>Dat_01!C132</f>
        <v>2021 Enero</v>
      </c>
      <c r="E137" s="211" t="str">
        <f>Dat_01!D132</f>
        <v>2021 Febrero</v>
      </c>
      <c r="F137" s="211" t="str">
        <f>Dat_01!E132</f>
        <v>2021 Marzo</v>
      </c>
      <c r="G137" s="211" t="str">
        <f>Dat_01!F132</f>
        <v>2021 Abril</v>
      </c>
      <c r="H137" s="211" t="str">
        <f>Dat_01!G132</f>
        <v>2021 Mayo</v>
      </c>
      <c r="I137" s="211" t="str">
        <f>Dat_01!H132</f>
        <v>2021 Junio</v>
      </c>
      <c r="J137" s="211" t="str">
        <f>Dat_01!I132</f>
        <v>2021 Julio</v>
      </c>
      <c r="K137" s="211" t="str">
        <f>Dat_01!J132</f>
        <v>2021 Agosto</v>
      </c>
      <c r="L137" s="211" t="str">
        <f>Dat_01!K132</f>
        <v>2021 Septiembre</v>
      </c>
      <c r="M137" s="211" t="str">
        <f>Dat_01!L132</f>
        <v>2021 Octubre</v>
      </c>
      <c r="N137" s="211" t="str">
        <f>Dat_01!M132</f>
        <v>2021 Noviembre</v>
      </c>
      <c r="O137" s="211" t="str">
        <f>Dat_01!N132</f>
        <v>2021 Diciembre</v>
      </c>
      <c r="P137" s="211" t="str">
        <f>Dat_01!O132</f>
        <v>2022 Enero</v>
      </c>
    </row>
    <row r="138" spans="2:16">
      <c r="B138" s="189" t="s">
        <v>218</v>
      </c>
      <c r="C138" s="189" t="s">
        <v>219</v>
      </c>
      <c r="D138" s="211" t="str">
        <f>MID(D137,6,1)</f>
        <v>E</v>
      </c>
      <c r="E138" s="211" t="str">
        <f t="shared" ref="E138:P138" si="3">MID(E137,6,1)</f>
        <v>F</v>
      </c>
      <c r="F138" s="211" t="str">
        <f t="shared" si="3"/>
        <v>M</v>
      </c>
      <c r="G138" s="211" t="str">
        <f t="shared" si="3"/>
        <v>A</v>
      </c>
      <c r="H138" s="211" t="str">
        <f t="shared" si="3"/>
        <v>M</v>
      </c>
      <c r="I138" s="211" t="str">
        <f t="shared" si="3"/>
        <v>J</v>
      </c>
      <c r="J138" s="211" t="str">
        <f t="shared" si="3"/>
        <v>J</v>
      </c>
      <c r="K138" s="211" t="str">
        <f t="shared" si="3"/>
        <v>A</v>
      </c>
      <c r="L138" s="211" t="str">
        <f t="shared" si="3"/>
        <v>S</v>
      </c>
      <c r="M138" s="211" t="str">
        <f t="shared" si="3"/>
        <v>O</v>
      </c>
      <c r="N138" s="211" t="str">
        <f t="shared" si="3"/>
        <v>N</v>
      </c>
      <c r="O138" s="211" t="str">
        <f t="shared" si="3"/>
        <v>D</v>
      </c>
      <c r="P138" s="211" t="str">
        <f t="shared" si="3"/>
        <v>E</v>
      </c>
    </row>
    <row r="139" spans="2:16">
      <c r="B139" s="101" t="s">
        <v>92</v>
      </c>
      <c r="C139" s="101" t="s">
        <v>20</v>
      </c>
      <c r="D139" s="192">
        <f>IFERROR(INDEX(Dat_01!$B$134:$O$139,MATCH($C139,Dat_01!$B$134:$B$139,0),2),"")</f>
        <v>0</v>
      </c>
      <c r="E139" s="192">
        <f>IFERROR(INDEX(Dat_01!$B$134:$O$139,MATCH($C139,Dat_01!$B$134:$B$139,0),3),"")</f>
        <v>0</v>
      </c>
      <c r="F139" s="192">
        <f>IFERROR(INDEX(Dat_01!$B$134:$O$139,MATCH($C139,Dat_01!$B$134:$B$139,0),4),"")</f>
        <v>0</v>
      </c>
      <c r="G139" s="192">
        <f>IFERROR(INDEX(Dat_01!$B$134:$O$139,MATCH($C139,Dat_01!$B$134:$B$139,0),5),"")</f>
        <v>1232</v>
      </c>
      <c r="H139" s="192">
        <f>IFERROR(INDEX(Dat_01!$B$134:$O$139,MATCH($C139,Dat_01!$B$134:$B$139,0),6),"")</f>
        <v>3977.2</v>
      </c>
      <c r="I139" s="192">
        <f>IFERROR(INDEX(Dat_01!$B$134:$O$139,MATCH($C139,Dat_01!$B$134:$B$139,0),7),"")</f>
        <v>4778.5</v>
      </c>
      <c r="J139" s="192">
        <f>IFERROR(INDEX(Dat_01!$B$134:$O$139,MATCH($C139,Dat_01!$B$134:$B$139,0),8),"")</f>
        <v>1914.7</v>
      </c>
      <c r="K139" s="192">
        <f>IFERROR(INDEX(Dat_01!$B$134:$O$139,MATCH($C139,Dat_01!$B$134:$B$139,0),9),"")</f>
        <v>0</v>
      </c>
      <c r="L139" s="192">
        <f>IFERROR(INDEX(Dat_01!$B$134:$O$139,MATCH($C139,Dat_01!$B$134:$B$139,0),10),"")</f>
        <v>0</v>
      </c>
      <c r="M139" s="192">
        <f>IFERROR(INDEX(Dat_01!$B$134:$O$139,MATCH($C139,Dat_01!$B$134:$B$139,0),11),"")</f>
        <v>597.79999999999995</v>
      </c>
      <c r="N139" s="192">
        <f>IFERROR(INDEX(Dat_01!$B$134:$O$139,MATCH($C139,Dat_01!$B$134:$B$139,0),12),"")</f>
        <v>100</v>
      </c>
      <c r="O139" s="192">
        <f>IFERROR(INDEX(Dat_01!$B$134:$O$139,MATCH($C139,Dat_01!$B$134:$B$139,0),13),"")</f>
        <v>335</v>
      </c>
      <c r="P139" s="192">
        <f>IFERROR(INDEX(Dat_01!$B$134:$O$139,MATCH($C139,Dat_01!$B$134:$B$139,0),14),"")</f>
        <v>0</v>
      </c>
    </row>
    <row r="140" spans="2:16">
      <c r="B140" s="101" t="s">
        <v>92</v>
      </c>
      <c r="C140" s="101" t="s">
        <v>97</v>
      </c>
      <c r="D140" s="192" t="str">
        <f>IFERROR(INDEX(Dat_01!$B$134:$O$139,MATCH($C140,Dat_01!$B$134:$B$139,0),2),"")</f>
        <v/>
      </c>
      <c r="E140" s="192" t="str">
        <f>IFERROR(INDEX(Dat_01!$B$134:$O$139,MATCH($C140,Dat_01!$B$134:$B$139,0),3),"")</f>
        <v/>
      </c>
      <c r="F140" s="192" t="str">
        <f>IFERROR(INDEX(Dat_01!$B$134:$O$139,MATCH($C140,Dat_01!$B$134:$B$139,0),4),"")</f>
        <v/>
      </c>
      <c r="G140" s="192" t="str">
        <f>IFERROR(INDEX(Dat_01!$B$134:$O$139,MATCH($C140,Dat_01!$B$134:$B$139,0),5),"")</f>
        <v/>
      </c>
      <c r="H140" s="192" t="str">
        <f>IFERROR(INDEX(Dat_01!$B$134:$O$139,MATCH($C140,Dat_01!$B$134:$B$139,0),6),"")</f>
        <v/>
      </c>
      <c r="I140" s="192" t="str">
        <f>IFERROR(INDEX(Dat_01!$B$134:$O$139,MATCH($C140,Dat_01!$B$134:$B$139,0),7),"")</f>
        <v/>
      </c>
      <c r="J140" s="192" t="str">
        <f>IFERROR(INDEX(Dat_01!$B$134:$O$139,MATCH($C140,Dat_01!$B$134:$B$139,0),8),"")</f>
        <v/>
      </c>
      <c r="K140" s="192" t="str">
        <f>IFERROR(INDEX(Dat_01!$B$134:$O$139,MATCH($C140,Dat_01!$B$134:$B$139,0),9),"")</f>
        <v/>
      </c>
      <c r="L140" s="192" t="str">
        <f>IFERROR(INDEX(Dat_01!$B$134:$O$139,MATCH($C140,Dat_01!$B$134:$B$139,0),10),"")</f>
        <v/>
      </c>
      <c r="M140" s="192" t="str">
        <f>IFERROR(INDEX(Dat_01!$B$134:$O$139,MATCH($C140,Dat_01!$B$134:$B$139,0),11),"")</f>
        <v/>
      </c>
      <c r="N140" s="192" t="str">
        <f>IFERROR(INDEX(Dat_01!$B$134:$O$139,MATCH($C140,Dat_01!$B$134:$B$139,0),12),"")</f>
        <v/>
      </c>
      <c r="O140" s="192" t="str">
        <f>IFERROR(INDEX(Dat_01!$B$134:$O$139,MATCH($C140,Dat_01!$B$134:$B$139,0),13),"")</f>
        <v/>
      </c>
      <c r="P140" s="192" t="str">
        <f>IFERROR(INDEX(Dat_01!$B$134:$O$139,MATCH($C140,Dat_01!$B$134:$B$139,0),14),"")</f>
        <v/>
      </c>
    </row>
    <row r="141" spans="2:16">
      <c r="B141" s="101" t="s">
        <v>92</v>
      </c>
      <c r="C141" s="101" t="s">
        <v>94</v>
      </c>
      <c r="D141" s="192">
        <f>IFERROR(INDEX(Dat_01!$B$134:$O$139,MATCH($C141,Dat_01!$B$134:$B$139,0),2),"")</f>
        <v>82898</v>
      </c>
      <c r="E141" s="192">
        <f>IFERROR(INDEX(Dat_01!$B$134:$O$139,MATCH($C141,Dat_01!$B$134:$B$139,0),3),"")</f>
        <v>103840</v>
      </c>
      <c r="F141" s="192">
        <f>IFERROR(INDEX(Dat_01!$B$134:$O$139,MATCH($C141,Dat_01!$B$134:$B$139,0),4),"")</f>
        <v>182851</v>
      </c>
      <c r="G141" s="192">
        <f>IFERROR(INDEX(Dat_01!$B$134:$O$139,MATCH($C141,Dat_01!$B$134:$B$139,0),5),"")</f>
        <v>225243</v>
      </c>
      <c r="H141" s="192">
        <f>IFERROR(INDEX(Dat_01!$B$134:$O$139,MATCH($C141,Dat_01!$B$134:$B$139,0),6),"")</f>
        <v>257359</v>
      </c>
      <c r="I141" s="192">
        <f>IFERROR(INDEX(Dat_01!$B$134:$O$139,MATCH($C141,Dat_01!$B$134:$B$139,0),7),"")</f>
        <v>383637</v>
      </c>
      <c r="J141" s="192">
        <f>IFERROR(INDEX(Dat_01!$B$134:$O$139,MATCH($C141,Dat_01!$B$134:$B$139,0),8),"")</f>
        <v>210445</v>
      </c>
      <c r="K141" s="192">
        <f>IFERROR(INDEX(Dat_01!$B$134:$O$139,MATCH($C141,Dat_01!$B$134:$B$139,0),9),"")</f>
        <v>99208.5</v>
      </c>
      <c r="L141" s="192">
        <f>IFERROR(INDEX(Dat_01!$B$134:$O$139,MATCH($C141,Dat_01!$B$134:$B$139,0),10),"")</f>
        <v>634</v>
      </c>
      <c r="M141" s="192">
        <f>IFERROR(INDEX(Dat_01!$B$134:$O$139,MATCH($C141,Dat_01!$B$134:$B$139,0),11),"")</f>
        <v>12750</v>
      </c>
      <c r="N141" s="192">
        <f>IFERROR(INDEX(Dat_01!$B$134:$O$139,MATCH($C141,Dat_01!$B$134:$B$139,0),12),"")</f>
        <v>11251</v>
      </c>
      <c r="O141" s="192">
        <f>IFERROR(INDEX(Dat_01!$B$134:$O$139,MATCH($C141,Dat_01!$B$134:$B$139,0),13),"")</f>
        <v>6493</v>
      </c>
      <c r="P141" s="192">
        <f>IFERROR(INDEX(Dat_01!$B$134:$O$139,MATCH($C141,Dat_01!$B$134:$B$139,0),14),"")</f>
        <v>4320</v>
      </c>
    </row>
    <row r="142" spans="2:16">
      <c r="B142" s="101" t="s">
        <v>92</v>
      </c>
      <c r="C142" s="101" t="s">
        <v>308</v>
      </c>
      <c r="D142" s="192">
        <f>IFERROR(INDEX(Dat_01!$B$134:$O$139,MATCH($C142,Dat_01!$B$134:$B$139,0),2),"")</f>
        <v>644611.69999999995</v>
      </c>
      <c r="E142" s="192">
        <f>IFERROR(INDEX(Dat_01!$B$134:$O$139,MATCH($C142,Dat_01!$B$134:$B$139,0),3),"")</f>
        <v>510673.9</v>
      </c>
      <c r="F142" s="192">
        <f>IFERROR(INDEX(Dat_01!$B$134:$O$139,MATCH($C142,Dat_01!$B$134:$B$139,0),4),"")</f>
        <v>627886.9</v>
      </c>
      <c r="G142" s="192">
        <f>IFERROR(INDEX(Dat_01!$B$134:$O$139,MATCH($C142,Dat_01!$B$134:$B$139,0),5),"")</f>
        <v>562620.69999999995</v>
      </c>
      <c r="H142" s="192">
        <f>IFERROR(INDEX(Dat_01!$B$134:$O$139,MATCH($C142,Dat_01!$B$134:$B$139,0),6),"")</f>
        <v>635666.9</v>
      </c>
      <c r="I142" s="192">
        <f>IFERROR(INDEX(Dat_01!$B$134:$O$139,MATCH($C142,Dat_01!$B$134:$B$139,0),7),"")</f>
        <v>499983.7</v>
      </c>
      <c r="J142" s="192">
        <f>IFERROR(INDEX(Dat_01!$B$134:$O$139,MATCH($C142,Dat_01!$B$134:$B$139,0),8),"")</f>
        <v>480749.8</v>
      </c>
      <c r="K142" s="192">
        <f>IFERROR(INDEX(Dat_01!$B$134:$O$139,MATCH($C142,Dat_01!$B$134:$B$139,0),9),"")</f>
        <v>665537.80000000005</v>
      </c>
      <c r="L142" s="192">
        <f>IFERROR(INDEX(Dat_01!$B$134:$O$139,MATCH($C142,Dat_01!$B$134:$B$139,0),10),"")</f>
        <v>375205.9</v>
      </c>
      <c r="M142" s="192">
        <f>IFERROR(INDEX(Dat_01!$B$134:$O$139,MATCH($C142,Dat_01!$B$134:$B$139,0),11),"")</f>
        <v>508119.2</v>
      </c>
      <c r="N142" s="192">
        <f>IFERROR(INDEX(Dat_01!$B$134:$O$139,MATCH($C142,Dat_01!$B$134:$B$139,0),12),"")</f>
        <v>348916.7</v>
      </c>
      <c r="O142" s="192">
        <f>IFERROR(INDEX(Dat_01!$B$134:$O$139,MATCH($C142,Dat_01!$B$134:$B$139,0),13),"")</f>
        <v>332239.3</v>
      </c>
      <c r="P142" s="192">
        <f>IFERROR(INDEX(Dat_01!$B$134:$O$139,MATCH($C142,Dat_01!$B$134:$B$139,0),14),"")</f>
        <v>285393.5</v>
      </c>
    </row>
    <row r="143" spans="2:16">
      <c r="B143" s="101" t="s">
        <v>92</v>
      </c>
      <c r="C143" s="101" t="s">
        <v>98</v>
      </c>
      <c r="D143" s="192" t="str">
        <f>IFERROR(INDEX(Dat_01!$B$134:$O$139,MATCH($C143,Dat_01!$B$134:$B$139,0),2),"")</f>
        <v/>
      </c>
      <c r="E143" s="192" t="str">
        <f>IFERROR(INDEX(Dat_01!$B$134:$O$139,MATCH($C143,Dat_01!$B$134:$B$139,0),3),"")</f>
        <v/>
      </c>
      <c r="F143" s="192" t="str">
        <f>IFERROR(INDEX(Dat_01!$B$134:$O$139,MATCH($C143,Dat_01!$B$134:$B$139,0),4),"")</f>
        <v/>
      </c>
      <c r="G143" s="192" t="str">
        <f>IFERROR(INDEX(Dat_01!$B$134:$O$139,MATCH($C143,Dat_01!$B$134:$B$139,0),5),"")</f>
        <v/>
      </c>
      <c r="H143" s="192" t="str">
        <f>IFERROR(INDEX(Dat_01!$B$134:$O$139,MATCH($C143,Dat_01!$B$134:$B$139,0),6),"")</f>
        <v/>
      </c>
      <c r="I143" s="192" t="str">
        <f>IFERROR(INDEX(Dat_01!$B$134:$O$139,MATCH($C143,Dat_01!$B$134:$B$139,0),7),"")</f>
        <v/>
      </c>
      <c r="J143" s="192" t="str">
        <f>IFERROR(INDEX(Dat_01!$B$134:$O$139,MATCH($C143,Dat_01!$B$134:$B$139,0),8),"")</f>
        <v/>
      </c>
      <c r="K143" s="192" t="str">
        <f>IFERROR(INDEX(Dat_01!$B$134:$O$139,MATCH($C143,Dat_01!$B$134:$B$139,0),9),"")</f>
        <v/>
      </c>
      <c r="L143" s="192" t="str">
        <f>IFERROR(INDEX(Dat_01!$B$134:$O$139,MATCH($C143,Dat_01!$B$134:$B$139,0),10),"")</f>
        <v/>
      </c>
      <c r="M143" s="192" t="str">
        <f>IFERROR(INDEX(Dat_01!$B$134:$O$139,MATCH($C143,Dat_01!$B$134:$B$139,0),11),"")</f>
        <v/>
      </c>
      <c r="N143" s="192" t="str">
        <f>IFERROR(INDEX(Dat_01!$B$134:$O$139,MATCH($C143,Dat_01!$B$134:$B$139,0),12),"")</f>
        <v/>
      </c>
      <c r="O143" s="192" t="str">
        <f>IFERROR(INDEX(Dat_01!$B$134:$O$139,MATCH($C143,Dat_01!$B$134:$B$139,0),13),"")</f>
        <v/>
      </c>
      <c r="P143" s="192" t="str">
        <f>IFERROR(INDEX(Dat_01!$B$134:$O$139,MATCH($C143,Dat_01!$B$134:$B$139,0),14),"")</f>
        <v/>
      </c>
    </row>
    <row r="144" spans="2:16">
      <c r="B144" s="101" t="s">
        <v>92</v>
      </c>
      <c r="C144" s="101" t="str">
        <f>Dat_01!B138</f>
        <v>Consumo Bombeo</v>
      </c>
      <c r="D144" s="192">
        <f>IFERROR(INDEX(Dat_01!$B$134:$O$139,MATCH($C144,Dat_01!$B$134:$B$139,0),2),"")</f>
        <v>0</v>
      </c>
      <c r="E144" s="192">
        <f>IFERROR(INDEX(Dat_01!$B$134:$O$139,MATCH($C144,Dat_01!$B$134:$B$139,0),3),"")</f>
        <v>0</v>
      </c>
      <c r="F144" s="192">
        <f>IFERROR(INDEX(Dat_01!$B$134:$O$139,MATCH($C144,Dat_01!$B$134:$B$139,0),4),"")</f>
        <v>0</v>
      </c>
      <c r="G144" s="192">
        <f>IFERROR(INDEX(Dat_01!$B$134:$O$139,MATCH($C144,Dat_01!$B$134:$B$139,0),5),"")</f>
        <v>0</v>
      </c>
      <c r="H144" s="192">
        <f>IFERROR(INDEX(Dat_01!$B$134:$O$139,MATCH($C144,Dat_01!$B$134:$B$139,0),6),"")</f>
        <v>0</v>
      </c>
      <c r="I144" s="192">
        <f>IFERROR(INDEX(Dat_01!$B$134:$O$139,MATCH($C144,Dat_01!$B$134:$B$139,0),7),"")</f>
        <v>0</v>
      </c>
      <c r="J144" s="192">
        <f>IFERROR(INDEX(Dat_01!$B$134:$O$139,MATCH($C144,Dat_01!$B$134:$B$139,0),8),"")</f>
        <v>0</v>
      </c>
      <c r="K144" s="192">
        <f>IFERROR(INDEX(Dat_01!$B$134:$O$139,MATCH($C144,Dat_01!$B$134:$B$139,0),9),"")</f>
        <v>5384.9</v>
      </c>
      <c r="L144" s="192">
        <f>IFERROR(INDEX(Dat_01!$B$134:$O$139,MATCH($C144,Dat_01!$B$134:$B$139,0),10),"")</f>
        <v>0</v>
      </c>
      <c r="M144" s="192">
        <f>IFERROR(INDEX(Dat_01!$B$134:$O$139,MATCH($C144,Dat_01!$B$134:$B$139,0),11),"")</f>
        <v>1625.9</v>
      </c>
      <c r="N144" s="192">
        <f>IFERROR(INDEX(Dat_01!$B$134:$O$139,MATCH($C144,Dat_01!$B$134:$B$139,0),12),"")</f>
        <v>0</v>
      </c>
      <c r="O144" s="192">
        <f>IFERROR(INDEX(Dat_01!$B$134:$O$139,MATCH($C144,Dat_01!$B$134:$B$139,0),13),"")</f>
        <v>0</v>
      </c>
      <c r="P144" s="192">
        <f>IFERROR(INDEX(Dat_01!$B$134:$O$139,MATCH($C144,Dat_01!$B$134:$B$139,0),14),"")</f>
        <v>0</v>
      </c>
    </row>
    <row r="145" spans="2:16">
      <c r="B145" s="101" t="s">
        <v>92</v>
      </c>
      <c r="C145" s="101" t="s">
        <v>101</v>
      </c>
      <c r="D145" s="192">
        <f>IFERROR(INDEX(Dat_01!$B$134:$O$139,MATCH($C145,Dat_01!$B$134:$B$139,0),2),"")</f>
        <v>0</v>
      </c>
      <c r="E145" s="192">
        <f>IFERROR(INDEX(Dat_01!$B$134:$O$139,MATCH($C145,Dat_01!$B$134:$B$139,0),3),"")</f>
        <v>28</v>
      </c>
      <c r="F145" s="192">
        <f>IFERROR(INDEX(Dat_01!$B$134:$O$139,MATCH($C145,Dat_01!$B$134:$B$139,0),4),"")</f>
        <v>0</v>
      </c>
      <c r="G145" s="192">
        <f>IFERROR(INDEX(Dat_01!$B$134:$O$139,MATCH($C145,Dat_01!$B$134:$B$139,0),5),"")</f>
        <v>0</v>
      </c>
      <c r="H145" s="192">
        <f>IFERROR(INDEX(Dat_01!$B$134:$O$139,MATCH($C145,Dat_01!$B$134:$B$139,0),6),"")</f>
        <v>0</v>
      </c>
      <c r="I145" s="192">
        <f>IFERROR(INDEX(Dat_01!$B$134:$O$139,MATCH($C145,Dat_01!$B$134:$B$139,0),7),"")</f>
        <v>0</v>
      </c>
      <c r="J145" s="192">
        <f>IFERROR(INDEX(Dat_01!$B$134:$O$139,MATCH($C145,Dat_01!$B$134:$B$139,0),8),"")</f>
        <v>0</v>
      </c>
      <c r="K145" s="192">
        <f>IFERROR(INDEX(Dat_01!$B$134:$O$139,MATCH($C145,Dat_01!$B$134:$B$139,0),9),"")</f>
        <v>0</v>
      </c>
      <c r="L145" s="192">
        <f>IFERROR(INDEX(Dat_01!$B$134:$O$139,MATCH($C145,Dat_01!$B$134:$B$139,0),10),"")</f>
        <v>0</v>
      </c>
      <c r="M145" s="192">
        <f>IFERROR(INDEX(Dat_01!$B$134:$O$139,MATCH($C145,Dat_01!$B$134:$B$139,0),11),"")</f>
        <v>0</v>
      </c>
      <c r="N145" s="192">
        <f>IFERROR(INDEX(Dat_01!$B$134:$O$139,MATCH($C145,Dat_01!$B$134:$B$139,0),12),"")</f>
        <v>0</v>
      </c>
      <c r="O145" s="192">
        <f>IFERROR(INDEX(Dat_01!$B$134:$O$139,MATCH($C145,Dat_01!$B$134:$B$139,0),13),"")</f>
        <v>0</v>
      </c>
      <c r="P145" s="192">
        <f>IFERROR(INDEX(Dat_01!$B$134:$O$139,MATCH($C145,Dat_01!$B$134:$B$139,0),14),"")</f>
        <v>0</v>
      </c>
    </row>
    <row r="146" spans="2:16">
      <c r="B146" s="101" t="s">
        <v>92</v>
      </c>
      <c r="C146" s="101" t="s">
        <v>309</v>
      </c>
      <c r="D146" s="192" t="str">
        <f>IFERROR(INDEX(Dat_01!$B$134:$O$139,MATCH($C146,Dat_01!$B$134:$B$139,0),2),"")</f>
        <v/>
      </c>
      <c r="E146" s="192" t="str">
        <f>IFERROR(INDEX(Dat_01!$B$134:$O$139,MATCH($C146,Dat_01!$B$134:$B$139,0),3),"")</f>
        <v/>
      </c>
      <c r="F146" s="192" t="str">
        <f>IFERROR(INDEX(Dat_01!$B$134:$O$139,MATCH($C146,Dat_01!$B$134:$B$139,0),4),"")</f>
        <v/>
      </c>
      <c r="G146" s="192" t="str">
        <f>IFERROR(INDEX(Dat_01!$B$134:$O$139,MATCH($C146,Dat_01!$B$134:$B$139,0),5),"")</f>
        <v/>
      </c>
      <c r="H146" s="192" t="str">
        <f>IFERROR(INDEX(Dat_01!$B$134:$O$139,MATCH($C146,Dat_01!$B$134:$B$139,0),6),"")</f>
        <v/>
      </c>
      <c r="I146" s="192" t="str">
        <f>IFERROR(INDEX(Dat_01!$B$134:$O$139,MATCH($C146,Dat_01!$B$134:$B$139,0),7),"")</f>
        <v/>
      </c>
      <c r="J146" s="192" t="str">
        <f>IFERROR(INDEX(Dat_01!$B$134:$O$139,MATCH($C146,Dat_01!$B$134:$B$139,0),8),"")</f>
        <v/>
      </c>
      <c r="K146" s="192" t="str">
        <f>IFERROR(INDEX(Dat_01!$B$134:$O$139,MATCH($C146,Dat_01!$B$134:$B$139,0),9),"")</f>
        <v/>
      </c>
      <c r="L146" s="192" t="str">
        <f>IFERROR(INDEX(Dat_01!$B$134:$O$139,MATCH($C146,Dat_01!$B$134:$B$139,0),10),"")</f>
        <v/>
      </c>
      <c r="M146" s="192" t="str">
        <f>IFERROR(INDEX(Dat_01!$B$134:$O$139,MATCH($C146,Dat_01!$B$134:$B$139,0),11),"")</f>
        <v/>
      </c>
      <c r="N146" s="192" t="str">
        <f>IFERROR(INDEX(Dat_01!$B$134:$O$139,MATCH($C146,Dat_01!$B$134:$B$139,0),12),"")</f>
        <v/>
      </c>
      <c r="O146" s="192" t="str">
        <f>IFERROR(INDEX(Dat_01!$B$134:$O$139,MATCH($C146,Dat_01!$B$134:$B$139,0),13),"")</f>
        <v/>
      </c>
      <c r="P146" s="192" t="str">
        <f>IFERROR(INDEX(Dat_01!$B$134:$O$139,MATCH($C146,Dat_01!$B$134:$B$139,0),14),"")</f>
        <v/>
      </c>
    </row>
    <row r="147" spans="2:16">
      <c r="B147" s="101" t="s">
        <v>92</v>
      </c>
      <c r="C147" s="193" t="s">
        <v>0</v>
      </c>
      <c r="D147" s="194">
        <f>IFERROR(INDEX(Dat_01!$B$134:$O$139,MATCH($C147,Dat_01!$B$134:$B$139,0),2),"")</f>
        <v>727509.7</v>
      </c>
      <c r="E147" s="194">
        <f>IFERROR(INDEX(Dat_01!$B$134:$O$139,MATCH($C147,Dat_01!$B$134:$B$139,0),3),"")</f>
        <v>614541.9</v>
      </c>
      <c r="F147" s="194">
        <f>IFERROR(INDEX(Dat_01!$B$134:$O$139,MATCH($C147,Dat_01!$B$134:$B$139,0),4),"")</f>
        <v>810737.9</v>
      </c>
      <c r="G147" s="194">
        <f>IFERROR(INDEX(Dat_01!$B$134:$O$139,MATCH($C147,Dat_01!$B$134:$B$139,0),5),"")</f>
        <v>789095.7</v>
      </c>
      <c r="H147" s="194">
        <f>IFERROR(INDEX(Dat_01!$B$134:$O$139,MATCH($C147,Dat_01!$B$134:$B$139,0),6),"")</f>
        <v>897003.1</v>
      </c>
      <c r="I147" s="194">
        <f>IFERROR(INDEX(Dat_01!$B$134:$O$139,MATCH($C147,Dat_01!$B$134:$B$139,0),7),"")</f>
        <v>888399.2</v>
      </c>
      <c r="J147" s="194">
        <f>IFERROR(INDEX(Dat_01!$B$134:$O$139,MATCH($C147,Dat_01!$B$134:$B$139,0),8),"")</f>
        <v>693109.5</v>
      </c>
      <c r="K147" s="194">
        <f>IFERROR(INDEX(Dat_01!$B$134:$O$139,MATCH($C147,Dat_01!$B$134:$B$139,0),9),"")</f>
        <v>770131.2</v>
      </c>
      <c r="L147" s="194">
        <f>IFERROR(INDEX(Dat_01!$B$134:$O$139,MATCH($C147,Dat_01!$B$134:$B$139,0),10),"")</f>
        <v>375839.9</v>
      </c>
      <c r="M147" s="194">
        <f>IFERROR(INDEX(Dat_01!$B$134:$O$139,MATCH($C147,Dat_01!$B$134:$B$139,0),11),"")</f>
        <v>523092.9</v>
      </c>
      <c r="N147" s="194">
        <f>IFERROR(INDEX(Dat_01!$B$134:$O$139,MATCH($C147,Dat_01!$B$134:$B$139,0),12),"")</f>
        <v>360267.7</v>
      </c>
      <c r="O147" s="194">
        <f>IFERROR(INDEX(Dat_01!$B$134:$O$139,MATCH($C147,Dat_01!$B$134:$B$139,0),13),"")</f>
        <v>339067.3</v>
      </c>
      <c r="P147" s="194">
        <f>IFERROR(INDEX(Dat_01!$B$134:$O$139,MATCH($C147,Dat_01!$B$134:$B$139,0),14),"")</f>
        <v>289713.5</v>
      </c>
    </row>
    <row r="148" spans="2:16">
      <c r="B148" s="101" t="s">
        <v>96</v>
      </c>
      <c r="C148" s="101" t="s">
        <v>20</v>
      </c>
      <c r="D148" s="192">
        <f>IFERROR(INDEX(Dat_01!$B$140:$O$148,MATCH($C148,Dat_01!$B$140:$B$148,0),2),"")</f>
        <v>0</v>
      </c>
      <c r="E148" s="192">
        <f>IFERROR(INDEX(Dat_01!$B$140:$O$148,MATCH($C148,Dat_01!$B$140:$B$148,0),3),"")</f>
        <v>816.9</v>
      </c>
      <c r="F148" s="192">
        <f>IFERROR(INDEX(Dat_01!$B$140:$O$148,MATCH($C148,Dat_01!$B$140:$B$148,0),4),"")</f>
        <v>1031.9000000000001</v>
      </c>
      <c r="G148" s="192">
        <f>IFERROR(INDEX(Dat_01!$B$140:$O$148,MATCH($C148,Dat_01!$B$140:$B$148,0),5),"")</f>
        <v>7</v>
      </c>
      <c r="H148" s="192">
        <f>IFERROR(INDEX(Dat_01!$B$140:$O$148,MATCH($C148,Dat_01!$B$140:$B$148,0),6),"")</f>
        <v>2268.1</v>
      </c>
      <c r="I148" s="192">
        <f>IFERROR(INDEX(Dat_01!$B$140:$O$148,MATCH($C148,Dat_01!$B$140:$B$148,0),7),"")</f>
        <v>373</v>
      </c>
      <c r="J148" s="192">
        <f>IFERROR(INDEX(Dat_01!$B$140:$O$148,MATCH($C148,Dat_01!$B$140:$B$148,0),8),"")</f>
        <v>3888</v>
      </c>
      <c r="K148" s="192">
        <f>IFERROR(INDEX(Dat_01!$B$140:$O$148,MATCH($C148,Dat_01!$B$140:$B$148,0),9),"")</f>
        <v>2555.1</v>
      </c>
      <c r="L148" s="192">
        <f>IFERROR(INDEX(Dat_01!$B$140:$O$148,MATCH($C148,Dat_01!$B$140:$B$148,0),10),"")</f>
        <v>7017.6</v>
      </c>
      <c r="M148" s="192">
        <f>IFERROR(INDEX(Dat_01!$B$140:$O$148,MATCH($C148,Dat_01!$B$140:$B$148,0),11),"")</f>
        <v>10</v>
      </c>
      <c r="N148" s="192">
        <f>IFERROR(INDEX(Dat_01!$B$140:$O$148,MATCH($C148,Dat_01!$B$140:$B$148,0),12),"")</f>
        <v>209.5</v>
      </c>
      <c r="O148" s="192">
        <f>IFERROR(INDEX(Dat_01!$B$140:$O$148,MATCH($C148,Dat_01!$B$140:$B$148,0),13),"")</f>
        <v>1762.1</v>
      </c>
      <c r="P148" s="192">
        <f>IFERROR(INDEX(Dat_01!$B$140:$O$148,MATCH($C148,Dat_01!$B$140:$B$148,0),14),"")</f>
        <v>0</v>
      </c>
    </row>
    <row r="149" spans="2:16">
      <c r="B149" s="101" t="s">
        <v>96</v>
      </c>
      <c r="C149" s="101" t="s">
        <v>97</v>
      </c>
      <c r="D149" s="192">
        <f>IFERROR(INDEX(Dat_01!$B$140:$O$148,MATCH($C149,Dat_01!$B$140:$B$148,0),2),"")</f>
        <v>13.3</v>
      </c>
      <c r="E149" s="192">
        <f>IFERROR(INDEX(Dat_01!$B$140:$O$148,MATCH($C149,Dat_01!$B$140:$B$148,0),3),"")</f>
        <v>0</v>
      </c>
      <c r="F149" s="192">
        <f>IFERROR(INDEX(Dat_01!$B$140:$O$148,MATCH($C149,Dat_01!$B$140:$B$148,0),4),"")</f>
        <v>0</v>
      </c>
      <c r="G149" s="192">
        <f>IFERROR(INDEX(Dat_01!$B$140:$O$148,MATCH($C149,Dat_01!$B$140:$B$148,0),5),"")</f>
        <v>143.6</v>
      </c>
      <c r="H149" s="192">
        <f>IFERROR(INDEX(Dat_01!$B$140:$O$148,MATCH($C149,Dat_01!$B$140:$B$148,0),6),"")</f>
        <v>0</v>
      </c>
      <c r="I149" s="192">
        <f>IFERROR(INDEX(Dat_01!$B$140:$O$148,MATCH($C149,Dat_01!$B$140:$B$148,0),7),"")</f>
        <v>0</v>
      </c>
      <c r="J149" s="192">
        <f>IFERROR(INDEX(Dat_01!$B$140:$O$148,MATCH($C149,Dat_01!$B$140:$B$148,0),8),"")</f>
        <v>1300</v>
      </c>
      <c r="K149" s="192">
        <f>IFERROR(INDEX(Dat_01!$B$140:$O$148,MATCH($C149,Dat_01!$B$140:$B$148,0),9),"")</f>
        <v>330</v>
      </c>
      <c r="L149" s="192">
        <f>IFERROR(INDEX(Dat_01!$B$140:$O$148,MATCH($C149,Dat_01!$B$140:$B$148,0),10),"")</f>
        <v>630</v>
      </c>
      <c r="M149" s="192">
        <f>IFERROR(INDEX(Dat_01!$B$140:$O$148,MATCH($C149,Dat_01!$B$140:$B$148,0),11),"")</f>
        <v>3200</v>
      </c>
      <c r="N149" s="192">
        <f>IFERROR(INDEX(Dat_01!$B$140:$O$148,MATCH($C149,Dat_01!$B$140:$B$148,0),12),"")</f>
        <v>0</v>
      </c>
      <c r="O149" s="192">
        <f>IFERROR(INDEX(Dat_01!$B$140:$O$148,MATCH($C149,Dat_01!$B$140:$B$148,0),13),"")</f>
        <v>0</v>
      </c>
      <c r="P149" s="192">
        <f>IFERROR(INDEX(Dat_01!$B$140:$O$148,MATCH($C149,Dat_01!$B$140:$B$148,0),14),"")</f>
        <v>0</v>
      </c>
    </row>
    <row r="150" spans="2:16">
      <c r="B150" s="101" t="s">
        <v>96</v>
      </c>
      <c r="C150" s="101" t="s">
        <v>24</v>
      </c>
      <c r="D150" s="192">
        <f>IFERROR(INDEX(Dat_01!$B$140:$O$148,MATCH($C150,Dat_01!$B$140:$B$148,0),2),"")</f>
        <v>0</v>
      </c>
      <c r="E150" s="192">
        <f>IFERROR(INDEX(Dat_01!$B$140:$O$148,MATCH($C150,Dat_01!$B$140:$B$148,0),3),"")</f>
        <v>0</v>
      </c>
      <c r="F150" s="192">
        <f>IFERROR(INDEX(Dat_01!$B$140:$O$148,MATCH($C150,Dat_01!$B$140:$B$148,0),4),"")</f>
        <v>0</v>
      </c>
      <c r="G150" s="192">
        <f>IFERROR(INDEX(Dat_01!$B$140:$O$148,MATCH($C150,Dat_01!$B$140:$B$148,0),5),"")</f>
        <v>7210.3</v>
      </c>
      <c r="H150" s="192">
        <f>IFERROR(INDEX(Dat_01!$B$140:$O$148,MATCH($C150,Dat_01!$B$140:$B$148,0),6),"")</f>
        <v>5171.1000000000004</v>
      </c>
      <c r="I150" s="192">
        <f>IFERROR(INDEX(Dat_01!$B$140:$O$148,MATCH($C150,Dat_01!$B$140:$B$148,0),7),"")</f>
        <v>35080.5</v>
      </c>
      <c r="J150" s="192">
        <f>IFERROR(INDEX(Dat_01!$B$140:$O$148,MATCH($C150,Dat_01!$B$140:$B$148,0),8),"")</f>
        <v>45653</v>
      </c>
      <c r="K150" s="192">
        <f>IFERROR(INDEX(Dat_01!$B$140:$O$148,MATCH($C150,Dat_01!$B$140:$B$148,0),9),"")</f>
        <v>1436.8</v>
      </c>
      <c r="L150" s="192">
        <f>IFERROR(INDEX(Dat_01!$B$140:$O$148,MATCH($C150,Dat_01!$B$140:$B$148,0),10),"")</f>
        <v>9373.2999999999993</v>
      </c>
      <c r="M150" s="192">
        <f>IFERROR(INDEX(Dat_01!$B$140:$O$148,MATCH($C150,Dat_01!$B$140:$B$148,0),11),"")</f>
        <v>4799.8</v>
      </c>
      <c r="N150" s="192">
        <f>IFERROR(INDEX(Dat_01!$B$140:$O$148,MATCH($C150,Dat_01!$B$140:$B$148,0),12),"")</f>
        <v>33709.9</v>
      </c>
      <c r="O150" s="192">
        <f>IFERROR(INDEX(Dat_01!$B$140:$O$148,MATCH($C150,Dat_01!$B$140:$B$148,0),13),"")</f>
        <v>3930.7</v>
      </c>
      <c r="P150" s="192">
        <f>IFERROR(INDEX(Dat_01!$B$140:$O$148,MATCH($C150,Dat_01!$B$140:$B$148,0),14),"")</f>
        <v>7388.9</v>
      </c>
    </row>
    <row r="151" spans="2:16">
      <c r="B151" s="101" t="s">
        <v>96</v>
      </c>
      <c r="C151" s="101" t="s">
        <v>98</v>
      </c>
      <c r="D151" s="192">
        <f>IFERROR(INDEX(Dat_01!$B$140:$O$148,MATCH($C151,Dat_01!$B$140:$B$148,0),2),"")</f>
        <v>5915.7</v>
      </c>
      <c r="E151" s="192">
        <f>IFERROR(INDEX(Dat_01!$B$140:$O$148,MATCH($C151,Dat_01!$B$140:$B$148,0),3),"")</f>
        <v>896.1</v>
      </c>
      <c r="F151" s="192">
        <f>IFERROR(INDEX(Dat_01!$B$140:$O$148,MATCH($C151,Dat_01!$B$140:$B$148,0),4),"")</f>
        <v>948.1</v>
      </c>
      <c r="G151" s="192">
        <f>IFERROR(INDEX(Dat_01!$B$140:$O$148,MATCH($C151,Dat_01!$B$140:$B$148,0),5),"")</f>
        <v>2761</v>
      </c>
      <c r="H151" s="192">
        <f>IFERROR(INDEX(Dat_01!$B$140:$O$148,MATCH($C151,Dat_01!$B$140:$B$148,0),6),"")</f>
        <v>10463.200000000001</v>
      </c>
      <c r="I151" s="192">
        <f>IFERROR(INDEX(Dat_01!$B$140:$O$148,MATCH($C151,Dat_01!$B$140:$B$148,0),7),"")</f>
        <v>13742.9</v>
      </c>
      <c r="J151" s="192">
        <f>IFERROR(INDEX(Dat_01!$B$140:$O$148,MATCH($C151,Dat_01!$B$140:$B$148,0),8),"")</f>
        <v>6042.2</v>
      </c>
      <c r="K151" s="192">
        <f>IFERROR(INDEX(Dat_01!$B$140:$O$148,MATCH($C151,Dat_01!$B$140:$B$148,0),9),"")</f>
        <v>9933.5</v>
      </c>
      <c r="L151" s="192">
        <f>IFERROR(INDEX(Dat_01!$B$140:$O$148,MATCH($C151,Dat_01!$B$140:$B$148,0),10),"")</f>
        <v>17462.5</v>
      </c>
      <c r="M151" s="192">
        <f>IFERROR(INDEX(Dat_01!$B$140:$O$148,MATCH($C151,Dat_01!$B$140:$B$148,0),11),"")</f>
        <v>1194.5</v>
      </c>
      <c r="N151" s="192">
        <f>IFERROR(INDEX(Dat_01!$B$140:$O$148,MATCH($C151,Dat_01!$B$140:$B$148,0),12),"")</f>
        <v>110.5</v>
      </c>
      <c r="O151" s="192">
        <f>IFERROR(INDEX(Dat_01!$B$140:$O$148,MATCH($C151,Dat_01!$B$140:$B$148,0),13),"")</f>
        <v>149.1</v>
      </c>
      <c r="P151" s="192">
        <f>IFERROR(INDEX(Dat_01!$B$140:$O$148,MATCH($C151,Dat_01!$B$140:$B$148,0),14),"")</f>
        <v>0</v>
      </c>
    </row>
    <row r="152" spans="2:16">
      <c r="B152" s="101" t="s">
        <v>96</v>
      </c>
      <c r="C152" s="101" t="s">
        <v>99</v>
      </c>
      <c r="D152" s="192">
        <f>IFERROR(INDEX(Dat_01!$B$140:$O$148,MATCH($C152,Dat_01!$B$140:$B$148,0),2),"")</f>
        <v>0</v>
      </c>
      <c r="E152" s="192">
        <f>IFERROR(INDEX(Dat_01!$B$140:$O$148,MATCH($C152,Dat_01!$B$140:$B$148,0),3),"")</f>
        <v>0</v>
      </c>
      <c r="F152" s="192">
        <f>IFERROR(INDEX(Dat_01!$B$140:$O$148,MATCH($C152,Dat_01!$B$140:$B$148,0),4),"")</f>
        <v>118.2</v>
      </c>
      <c r="G152" s="192">
        <f>IFERROR(INDEX(Dat_01!$B$140:$O$148,MATCH($C152,Dat_01!$B$140:$B$148,0),5),"")</f>
        <v>0</v>
      </c>
      <c r="H152" s="192">
        <f>IFERROR(INDEX(Dat_01!$B$140:$O$148,MATCH($C152,Dat_01!$B$140:$B$148,0),6),"")</f>
        <v>62.8</v>
      </c>
      <c r="I152" s="192">
        <f>IFERROR(INDEX(Dat_01!$B$140:$O$148,MATCH($C152,Dat_01!$B$140:$B$148,0),7),"")</f>
        <v>0</v>
      </c>
      <c r="J152" s="192">
        <f>IFERROR(INDEX(Dat_01!$B$140:$O$148,MATCH($C152,Dat_01!$B$140:$B$148,0),8),"")</f>
        <v>0</v>
      </c>
      <c r="K152" s="192">
        <f>IFERROR(INDEX(Dat_01!$B$140:$O$148,MATCH($C152,Dat_01!$B$140:$B$148,0),9),"")</f>
        <v>0</v>
      </c>
      <c r="L152" s="192">
        <f>IFERROR(INDEX(Dat_01!$B$140:$O$148,MATCH($C152,Dat_01!$B$140:$B$148,0),10),"")</f>
        <v>881.5</v>
      </c>
      <c r="M152" s="192">
        <f>IFERROR(INDEX(Dat_01!$B$140:$O$148,MATCH($C152,Dat_01!$B$140:$B$148,0),11),"")</f>
        <v>206.3</v>
      </c>
      <c r="N152" s="192">
        <f>IFERROR(INDEX(Dat_01!$B$140:$O$148,MATCH($C152,Dat_01!$B$140:$B$148,0),12),"")</f>
        <v>0</v>
      </c>
      <c r="O152" s="192">
        <f>IFERROR(INDEX(Dat_01!$B$140:$O$148,MATCH($C152,Dat_01!$B$140:$B$148,0),13),"")</f>
        <v>18.8</v>
      </c>
      <c r="P152" s="192">
        <f>IFERROR(INDEX(Dat_01!$B$140:$O$148,MATCH($C152,Dat_01!$B$140:$B$148,0),14),"")</f>
        <v>0</v>
      </c>
    </row>
    <row r="153" spans="2:16">
      <c r="B153" s="101" t="s">
        <v>96</v>
      </c>
      <c r="C153" s="101" t="s">
        <v>100</v>
      </c>
      <c r="D153" s="192">
        <f>IFERROR(INDEX(Dat_01!$B$140:$O$148,MATCH($C153,Dat_01!$B$140:$B$148,0),2),"")</f>
        <v>9</v>
      </c>
      <c r="E153" s="192">
        <f>IFERROR(INDEX(Dat_01!$B$140:$O$148,MATCH($C153,Dat_01!$B$140:$B$148,0),3),"")</f>
        <v>0</v>
      </c>
      <c r="F153" s="192">
        <f>IFERROR(INDEX(Dat_01!$B$140:$O$148,MATCH($C153,Dat_01!$B$140:$B$148,0),4),"")</f>
        <v>5112.8999999999996</v>
      </c>
      <c r="G153" s="192">
        <f>IFERROR(INDEX(Dat_01!$B$140:$O$148,MATCH($C153,Dat_01!$B$140:$B$148,0),5),"")</f>
        <v>0</v>
      </c>
      <c r="H153" s="192">
        <f>IFERROR(INDEX(Dat_01!$B$140:$O$148,MATCH($C153,Dat_01!$B$140:$B$148,0),6),"")</f>
        <v>139.19999999999999</v>
      </c>
      <c r="I153" s="192">
        <f>IFERROR(INDEX(Dat_01!$B$140:$O$148,MATCH($C153,Dat_01!$B$140:$B$148,0),7),"")</f>
        <v>885.1</v>
      </c>
      <c r="J153" s="192">
        <f>IFERROR(INDEX(Dat_01!$B$140:$O$148,MATCH($C153,Dat_01!$B$140:$B$148,0),8),"")</f>
        <v>0</v>
      </c>
      <c r="K153" s="192">
        <f>IFERROR(INDEX(Dat_01!$B$140:$O$148,MATCH($C153,Dat_01!$B$140:$B$148,0),9),"")</f>
        <v>0</v>
      </c>
      <c r="L153" s="192">
        <f>IFERROR(INDEX(Dat_01!$B$140:$O$148,MATCH($C153,Dat_01!$B$140:$B$148,0),10),"")</f>
        <v>0</v>
      </c>
      <c r="M153" s="192">
        <f>IFERROR(INDEX(Dat_01!$B$140:$O$148,MATCH($C153,Dat_01!$B$140:$B$148,0),11),"")</f>
        <v>0</v>
      </c>
      <c r="N153" s="192">
        <f>IFERROR(INDEX(Dat_01!$B$140:$O$148,MATCH($C153,Dat_01!$B$140:$B$148,0),12),"")</f>
        <v>0</v>
      </c>
      <c r="O153" s="192">
        <f>IFERROR(INDEX(Dat_01!$B$140:$O$148,MATCH($C153,Dat_01!$B$140:$B$148,0),13),"")</f>
        <v>0</v>
      </c>
      <c r="P153" s="192">
        <f>IFERROR(INDEX(Dat_01!$B$140:$O$148,MATCH($C153,Dat_01!$B$140:$B$148,0),14),"")</f>
        <v>0</v>
      </c>
    </row>
    <row r="154" spans="2:16">
      <c r="B154" s="101" t="s">
        <v>96</v>
      </c>
      <c r="C154" s="101" t="s">
        <v>101</v>
      </c>
      <c r="D154" s="192">
        <f>IFERROR(INDEX(Dat_01!$B$140:$O$148,MATCH($C154,Dat_01!$B$140:$B$148,0),2),"")</f>
        <v>0</v>
      </c>
      <c r="E154" s="192">
        <f>IFERROR(INDEX(Dat_01!$B$140:$O$148,MATCH($C154,Dat_01!$B$140:$B$148,0),3),"")</f>
        <v>0</v>
      </c>
      <c r="F154" s="192">
        <f>IFERROR(INDEX(Dat_01!$B$140:$O$148,MATCH($C154,Dat_01!$B$140:$B$148,0),4),"")</f>
        <v>2906.3</v>
      </c>
      <c r="G154" s="192">
        <f>IFERROR(INDEX(Dat_01!$B$140:$O$148,MATCH($C154,Dat_01!$B$140:$B$148,0),5),"")</f>
        <v>0</v>
      </c>
      <c r="H154" s="192">
        <f>IFERROR(INDEX(Dat_01!$B$140:$O$148,MATCH($C154,Dat_01!$B$140:$B$148,0),6),"")</f>
        <v>60</v>
      </c>
      <c r="I154" s="192">
        <f>IFERROR(INDEX(Dat_01!$B$140:$O$148,MATCH($C154,Dat_01!$B$140:$B$148,0),7),"")</f>
        <v>0</v>
      </c>
      <c r="J154" s="192">
        <f>IFERROR(INDEX(Dat_01!$B$140:$O$148,MATCH($C154,Dat_01!$B$140:$B$148,0),8),"")</f>
        <v>130.19999999999999</v>
      </c>
      <c r="K154" s="192">
        <f>IFERROR(INDEX(Dat_01!$B$140:$O$148,MATCH($C154,Dat_01!$B$140:$B$148,0),9),"")</f>
        <v>180</v>
      </c>
      <c r="L154" s="192">
        <f>IFERROR(INDEX(Dat_01!$B$140:$O$148,MATCH($C154,Dat_01!$B$140:$B$148,0),10),"")</f>
        <v>187.6</v>
      </c>
      <c r="M154" s="192">
        <f>IFERROR(INDEX(Dat_01!$B$140:$O$148,MATCH($C154,Dat_01!$B$140:$B$148,0),11),"")</f>
        <v>0</v>
      </c>
      <c r="N154" s="192">
        <f>IFERROR(INDEX(Dat_01!$B$140:$O$148,MATCH($C154,Dat_01!$B$140:$B$148,0),12),"")</f>
        <v>8</v>
      </c>
      <c r="O154" s="192">
        <f>IFERROR(INDEX(Dat_01!$B$140:$O$148,MATCH($C154,Dat_01!$B$140:$B$148,0),13),"")</f>
        <v>0</v>
      </c>
      <c r="P154" s="192">
        <f>IFERROR(INDEX(Dat_01!$B$140:$O$148,MATCH($C154,Dat_01!$B$140:$B$148,0),14),"")</f>
        <v>0</v>
      </c>
    </row>
    <row r="155" spans="2:16">
      <c r="B155" s="101" t="s">
        <v>96</v>
      </c>
      <c r="C155" s="101" t="s">
        <v>102</v>
      </c>
      <c r="D155" s="192">
        <f>IFERROR(INDEX(Dat_01!$B$140:$O$148,MATCH($C155,Dat_01!$B$140:$B$148,0),2),"")</f>
        <v>0</v>
      </c>
      <c r="E155" s="192">
        <f>IFERROR(INDEX(Dat_01!$B$140:$O$148,MATCH($C155,Dat_01!$B$140:$B$148,0),3),"")</f>
        <v>0</v>
      </c>
      <c r="F155" s="192">
        <f>IFERROR(INDEX(Dat_01!$B$140:$O$148,MATCH($C155,Dat_01!$B$140:$B$148,0),4),"")</f>
        <v>0</v>
      </c>
      <c r="G155" s="192">
        <f>IFERROR(INDEX(Dat_01!$B$140:$O$148,MATCH($C155,Dat_01!$B$140:$B$148,0),5),"")</f>
        <v>0</v>
      </c>
      <c r="H155" s="192">
        <f>IFERROR(INDEX(Dat_01!$B$140:$O$148,MATCH($C155,Dat_01!$B$140:$B$148,0),6),"")</f>
        <v>0</v>
      </c>
      <c r="I155" s="192">
        <f>IFERROR(INDEX(Dat_01!$B$140:$O$148,MATCH($C155,Dat_01!$B$140:$B$148,0),7),"")</f>
        <v>0</v>
      </c>
      <c r="J155" s="192">
        <f>IFERROR(INDEX(Dat_01!$B$140:$O$148,MATCH($C155,Dat_01!$B$140:$B$148,0),8),"")</f>
        <v>0</v>
      </c>
      <c r="K155" s="192">
        <f>IFERROR(INDEX(Dat_01!$B$140:$O$148,MATCH($C155,Dat_01!$B$140:$B$148,0),9),"")</f>
        <v>260</v>
      </c>
      <c r="L155" s="192">
        <f>IFERROR(INDEX(Dat_01!$B$140:$O$148,MATCH($C155,Dat_01!$B$140:$B$148,0),10),"")</f>
        <v>0</v>
      </c>
      <c r="M155" s="192">
        <f>IFERROR(INDEX(Dat_01!$B$140:$O$148,MATCH($C155,Dat_01!$B$140:$B$148,0),11),"")</f>
        <v>0</v>
      </c>
      <c r="N155" s="192">
        <f>IFERROR(INDEX(Dat_01!$B$140:$O$148,MATCH($C155,Dat_01!$B$140:$B$148,0),12),"")</f>
        <v>0</v>
      </c>
      <c r="O155" s="192">
        <f>IFERROR(INDEX(Dat_01!$B$140:$O$148,MATCH($C155,Dat_01!$B$140:$B$148,0),13),"")</f>
        <v>0</v>
      </c>
      <c r="P155" s="192">
        <f>IFERROR(INDEX(Dat_01!$B$140:$O$148,MATCH($C155,Dat_01!$B$140:$B$148,0),14),"")</f>
        <v>0</v>
      </c>
    </row>
    <row r="156" spans="2:16">
      <c r="B156" s="101" t="s">
        <v>96</v>
      </c>
      <c r="C156" s="193" t="s">
        <v>0</v>
      </c>
      <c r="D156" s="194">
        <f>IFERROR(INDEX(Dat_01!$B$140:$O$148,MATCH($C156,Dat_01!$B$140:$B$148,0),2),"")</f>
        <v>5938</v>
      </c>
      <c r="E156" s="194">
        <f>IFERROR(INDEX(Dat_01!$B$140:$O$148,MATCH($C156,Dat_01!$B$140:$B$148,0),3),"")</f>
        <v>1713</v>
      </c>
      <c r="F156" s="194">
        <f>IFERROR(INDEX(Dat_01!$B$140:$O$148,MATCH($C156,Dat_01!$B$140:$B$148,0),4),"")</f>
        <v>10117.4</v>
      </c>
      <c r="G156" s="194">
        <f>IFERROR(INDEX(Dat_01!$B$140:$O$148,MATCH($C156,Dat_01!$B$140:$B$148,0),5),"")</f>
        <v>10121.9</v>
      </c>
      <c r="H156" s="194">
        <f>IFERROR(INDEX(Dat_01!$B$140:$O$148,MATCH($C156,Dat_01!$B$140:$B$148,0),6),"")</f>
        <v>18164.400000000001</v>
      </c>
      <c r="I156" s="194">
        <f>IFERROR(INDEX(Dat_01!$B$140:$O$148,MATCH($C156,Dat_01!$B$140:$B$148,0),7),"")</f>
        <v>50081.5</v>
      </c>
      <c r="J156" s="194">
        <f>IFERROR(INDEX(Dat_01!$B$140:$O$148,MATCH($C156,Dat_01!$B$140:$B$148,0),8),"")</f>
        <v>57013.4</v>
      </c>
      <c r="K156" s="194">
        <f>IFERROR(INDEX(Dat_01!$B$140:$O$148,MATCH($C156,Dat_01!$B$140:$B$148,0),9),"")</f>
        <v>14695.4</v>
      </c>
      <c r="L156" s="194">
        <f>IFERROR(INDEX(Dat_01!$B$140:$O$148,MATCH($C156,Dat_01!$B$140:$B$148,0),10),"")</f>
        <v>35552.5</v>
      </c>
      <c r="M156" s="194">
        <f>IFERROR(INDEX(Dat_01!$B$140:$O$148,MATCH($C156,Dat_01!$B$140:$B$148,0),11),"")</f>
        <v>9410.6</v>
      </c>
      <c r="N156" s="194">
        <f>IFERROR(INDEX(Dat_01!$B$140:$O$148,MATCH($C156,Dat_01!$B$140:$B$148,0),12),"")</f>
        <v>34037.9</v>
      </c>
      <c r="O156" s="194">
        <f>IFERROR(INDEX(Dat_01!$B$140:$O$148,MATCH($C156,Dat_01!$B$140:$B$148,0),13),"")</f>
        <v>5860.7</v>
      </c>
      <c r="P156" s="194">
        <f>IFERROR(INDEX(Dat_01!$B$140:$O$148,MATCH($C156,Dat_01!$B$140:$B$148,0),14),"")</f>
        <v>7388.9</v>
      </c>
    </row>
    <row r="157" spans="2:16">
      <c r="B157" s="101"/>
      <c r="C157" s="101"/>
      <c r="D157" s="106">
        <f>Dat_01!C364</f>
        <v>110.26006203049999</v>
      </c>
      <c r="E157" s="106">
        <f>Dat_01!D364</f>
        <v>94.510837275699998</v>
      </c>
      <c r="F157" s="106">
        <f>Dat_01!E364</f>
        <v>95.841393451599998</v>
      </c>
      <c r="G157" s="106">
        <f>Dat_01!F364</f>
        <v>101.43984967999999</v>
      </c>
      <c r="H157" s="106">
        <f>Dat_01!G364</f>
        <v>119.43567724570001</v>
      </c>
      <c r="I157" s="106">
        <f>Dat_01!H364</f>
        <v>124.7641188464</v>
      </c>
      <c r="J157" s="106">
        <f>Dat_01!I364</f>
        <v>128.72152353760001</v>
      </c>
      <c r="K157" s="106">
        <f>Dat_01!J364</f>
        <v>156.26961709899999</v>
      </c>
      <c r="L157" s="106">
        <f>Dat_01!K364</f>
        <v>206.45439589259999</v>
      </c>
      <c r="M157" s="106">
        <f>Dat_01!L364</f>
        <v>274.85440796680001</v>
      </c>
      <c r="N157" s="106">
        <f>Dat_01!M364</f>
        <v>245.7289197213</v>
      </c>
      <c r="O157" s="106">
        <f>Dat_01!N364</f>
        <v>297.45400465360001</v>
      </c>
      <c r="P157" s="106">
        <f>Dat_01!O364</f>
        <v>257.7031844018</v>
      </c>
    </row>
    <row r="158" spans="2:16">
      <c r="B158" s="102"/>
      <c r="C158" s="102"/>
      <c r="D158" s="191">
        <f>Dat_01!C373</f>
        <v>53.946552699400002</v>
      </c>
      <c r="E158" s="191">
        <f>Dat_01!D373</f>
        <v>27.162176346300001</v>
      </c>
      <c r="F158" s="191">
        <f>Dat_01!E373</f>
        <v>44.690481325699999</v>
      </c>
      <c r="G158" s="191">
        <f>Dat_01!F373</f>
        <v>60.373853773900002</v>
      </c>
      <c r="H158" s="191">
        <f>Dat_01!G373</f>
        <v>66.064211160499994</v>
      </c>
      <c r="I158" s="191">
        <f>Dat_01!H373</f>
        <v>81.556878052200005</v>
      </c>
      <c r="J158" s="191">
        <f>Dat_01!I373</f>
        <v>90.825389397899997</v>
      </c>
      <c r="K158" s="191">
        <f>Dat_01!J373</f>
        <v>100.26005549440001</v>
      </c>
      <c r="L158" s="191">
        <f>Dat_01!K373</f>
        <v>153.02489306410001</v>
      </c>
      <c r="M158" s="191">
        <f>Dat_01!L373</f>
        <v>186.1303684419</v>
      </c>
      <c r="N158" s="191">
        <f>Dat_01!M373</f>
        <v>165.3887794366</v>
      </c>
      <c r="O158" s="191">
        <f>Dat_01!N373</f>
        <v>191.188599877</v>
      </c>
      <c r="P158" s="191">
        <f>Dat_01!O373</f>
        <v>165.8980468789</v>
      </c>
    </row>
    <row r="159" spans="2:16">
      <c r="B159" s="195"/>
      <c r="C159" s="195"/>
      <c r="D159" s="195"/>
      <c r="E159" s="195"/>
      <c r="F159" s="195"/>
      <c r="G159" s="195"/>
      <c r="H159" s="195"/>
      <c r="I159" s="195"/>
      <c r="J159" s="195"/>
      <c r="K159" s="195"/>
      <c r="L159" s="195"/>
      <c r="M159" s="195"/>
      <c r="N159" s="195"/>
      <c r="O159" s="195"/>
      <c r="P159" s="195"/>
    </row>
    <row r="160" spans="2:16">
      <c r="B160" s="195"/>
      <c r="C160" s="101"/>
      <c r="D160" s="101"/>
      <c r="E160" s="101" t="s">
        <v>220</v>
      </c>
      <c r="F160" s="195"/>
      <c r="G160" s="195"/>
      <c r="H160" s="195"/>
      <c r="I160" s="195"/>
      <c r="J160" s="195"/>
      <c r="K160" s="195"/>
      <c r="L160" s="195"/>
      <c r="M160" s="195"/>
      <c r="N160" s="195"/>
      <c r="O160" s="195"/>
      <c r="P160" s="195"/>
    </row>
    <row r="161" spans="2:16">
      <c r="B161" s="195"/>
      <c r="C161" s="101" t="s">
        <v>266</v>
      </c>
      <c r="D161" s="101"/>
      <c r="E161" s="183">
        <f>(P147-D147)/D147</f>
        <v>-0.60177369456379759</v>
      </c>
      <c r="F161" s="195"/>
      <c r="G161" s="195"/>
      <c r="H161" s="195"/>
      <c r="I161" s="195"/>
      <c r="J161" s="195"/>
      <c r="K161" s="195"/>
      <c r="L161" s="195"/>
      <c r="M161" s="195"/>
      <c r="N161" s="195"/>
      <c r="O161" s="195"/>
      <c r="P161" s="195"/>
    </row>
    <row r="162" spans="2:16">
      <c r="B162" s="195"/>
      <c r="C162" s="101" t="s">
        <v>267</v>
      </c>
      <c r="D162" s="101"/>
      <c r="E162" s="263">
        <f>(P156-D156)/D156</f>
        <v>0.24434152913438861</v>
      </c>
      <c r="F162" s="195"/>
      <c r="G162" s="195"/>
      <c r="H162" s="195"/>
      <c r="I162" s="195"/>
      <c r="J162" s="195"/>
      <c r="K162" s="195"/>
      <c r="L162" s="195"/>
      <c r="M162" s="195"/>
      <c r="N162" s="195"/>
      <c r="O162" s="195"/>
      <c r="P162" s="195"/>
    </row>
    <row r="163" spans="2:16">
      <c r="B163" s="195"/>
      <c r="C163" s="101" t="s">
        <v>221</v>
      </c>
      <c r="D163" s="101"/>
      <c r="E163" s="263">
        <f>((P147+ABS(P156))-(D147+ABS(D156)))/(D147+ABS(D156))</f>
        <v>-0.59492353715200141</v>
      </c>
      <c r="F163" s="195"/>
      <c r="G163" s="195"/>
      <c r="H163" s="195"/>
      <c r="I163" s="195"/>
      <c r="J163" s="195"/>
      <c r="K163" s="195"/>
      <c r="L163" s="195"/>
      <c r="M163" s="195"/>
      <c r="N163" s="195"/>
      <c r="O163" s="195"/>
      <c r="P163" s="195"/>
    </row>
    <row r="164" spans="2:16">
      <c r="B164" s="195"/>
      <c r="C164" s="101" t="s">
        <v>222</v>
      </c>
      <c r="D164" s="101"/>
      <c r="E164" s="183">
        <f>(P157-D157)/D157</f>
        <v>1.3372305407420728</v>
      </c>
      <c r="F164" s="195"/>
      <c r="G164" s="195"/>
      <c r="H164" s="195"/>
      <c r="I164" s="195"/>
      <c r="J164" s="195"/>
      <c r="K164" s="195"/>
      <c r="L164" s="195"/>
      <c r="M164" s="195"/>
      <c r="N164" s="195"/>
      <c r="O164" s="195"/>
      <c r="P164" s="195"/>
    </row>
    <row r="165" spans="2:16">
      <c r="B165" s="195"/>
      <c r="C165" s="101" t="s">
        <v>223</v>
      </c>
      <c r="D165" s="101"/>
      <c r="E165" s="183">
        <f>(P158-D158)/D158</f>
        <v>2.0752298076081725</v>
      </c>
      <c r="F165" s="195"/>
      <c r="G165" s="195"/>
      <c r="H165" s="195"/>
      <c r="I165" s="195"/>
      <c r="J165" s="195"/>
      <c r="K165" s="195"/>
      <c r="L165" s="195"/>
      <c r="M165" s="195"/>
      <c r="N165" s="195"/>
      <c r="O165" s="195"/>
      <c r="P165" s="195"/>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zoomScale="106" zoomScaleNormal="106" workbookViewId="0">
      <selection activeCell="F39" sqref="F39"/>
    </sheetView>
  </sheetViews>
  <sheetFormatPr baseColWidth="10" defaultColWidth="11.44140625" defaultRowHeight="13.2"/>
  <cols>
    <col min="1" max="1" width="11.44140625" style="99"/>
    <col min="2" max="2" width="23.44140625" style="99" bestFit="1" customWidth="1"/>
    <col min="3" max="3" width="19.109375" style="99" bestFit="1" customWidth="1"/>
    <col min="4" max="16384" width="11.44140625" style="99"/>
  </cols>
  <sheetData>
    <row r="2" spans="2:15">
      <c r="B2" s="98" t="s">
        <v>224</v>
      </c>
      <c r="C2" s="98"/>
      <c r="D2" s="98"/>
      <c r="E2" s="98"/>
      <c r="F2" s="98"/>
      <c r="G2" s="98"/>
      <c r="H2" s="98"/>
      <c r="I2" s="98"/>
      <c r="J2" s="98"/>
      <c r="K2" s="98"/>
      <c r="L2" s="98"/>
      <c r="M2" s="98"/>
      <c r="N2" s="98"/>
      <c r="O2" s="98"/>
    </row>
    <row r="3" spans="2:15">
      <c r="B3" s="100"/>
      <c r="C3" s="100" t="str">
        <f>MID(C4,6,1)</f>
        <v>E</v>
      </c>
      <c r="D3" s="100" t="str">
        <f t="shared" ref="D3:O3" si="0">MID(D4,6,1)</f>
        <v>F</v>
      </c>
      <c r="E3" s="100" t="str">
        <f t="shared" si="0"/>
        <v>M</v>
      </c>
      <c r="F3" s="100" t="str">
        <f t="shared" si="0"/>
        <v>A</v>
      </c>
      <c r="G3" s="100" t="str">
        <f t="shared" si="0"/>
        <v>M</v>
      </c>
      <c r="H3" s="100" t="str">
        <f t="shared" si="0"/>
        <v>J</v>
      </c>
      <c r="I3" s="100" t="str">
        <f t="shared" si="0"/>
        <v>J</v>
      </c>
      <c r="J3" s="100" t="str">
        <f t="shared" si="0"/>
        <v>A</v>
      </c>
      <c r="K3" s="100" t="str">
        <f t="shared" si="0"/>
        <v>S</v>
      </c>
      <c r="L3" s="100" t="str">
        <f t="shared" si="0"/>
        <v>O</v>
      </c>
      <c r="M3" s="100" t="str">
        <f t="shared" si="0"/>
        <v>N</v>
      </c>
      <c r="N3" s="100" t="str">
        <f t="shared" si="0"/>
        <v>D</v>
      </c>
      <c r="O3" s="100" t="str">
        <f t="shared" si="0"/>
        <v>E</v>
      </c>
    </row>
    <row r="4" spans="2:15">
      <c r="B4" s="98" t="s">
        <v>214</v>
      </c>
      <c r="C4" s="98" t="str">
        <f>Dat_01!B167</f>
        <v>2021 Enero</v>
      </c>
      <c r="D4" s="98" t="str">
        <f>Dat_01!C167</f>
        <v>2021 Febrero</v>
      </c>
      <c r="E4" s="98" t="str">
        <f>Dat_01!D167</f>
        <v>2021 Marzo</v>
      </c>
      <c r="F4" s="98" t="str">
        <f>Dat_01!E167</f>
        <v>2021 Abril</v>
      </c>
      <c r="G4" s="98" t="str">
        <f>Dat_01!F167</f>
        <v>2021 Mayo</v>
      </c>
      <c r="H4" s="98" t="str">
        <f>Dat_01!G167</f>
        <v>2021 Junio</v>
      </c>
      <c r="I4" s="98" t="str">
        <f>Dat_01!H167</f>
        <v>2021 Julio</v>
      </c>
      <c r="J4" s="98" t="str">
        <f>Dat_01!I167</f>
        <v>2021 Agosto</v>
      </c>
      <c r="K4" s="98" t="str">
        <f>Dat_01!J167</f>
        <v>2021 Septiembre</v>
      </c>
      <c r="L4" s="98" t="str">
        <f>Dat_01!K167</f>
        <v>2021 Octubre</v>
      </c>
      <c r="M4" s="98" t="str">
        <f>Dat_01!L167</f>
        <v>2021 Noviembre</v>
      </c>
      <c r="N4" s="98" t="str">
        <f>Dat_01!M167</f>
        <v>2021 Diciembre</v>
      </c>
      <c r="O4" s="98" t="str">
        <f>Dat_01!N167</f>
        <v>2022 Enero</v>
      </c>
    </row>
    <row r="5" spans="2:15">
      <c r="B5" s="100" t="s">
        <v>30</v>
      </c>
      <c r="C5" s="100"/>
      <c r="D5" s="100"/>
      <c r="E5" s="100"/>
      <c r="F5" s="100"/>
      <c r="G5" s="100"/>
      <c r="H5" s="100"/>
      <c r="I5" s="100"/>
      <c r="J5" s="100"/>
      <c r="K5" s="100"/>
      <c r="L5" s="100"/>
      <c r="M5" s="100"/>
      <c r="N5" s="100"/>
      <c r="O5" s="100"/>
    </row>
    <row r="6" spans="2:15">
      <c r="B6" s="101" t="s">
        <v>251</v>
      </c>
      <c r="C6" s="192">
        <f>Dat_01!B169</f>
        <v>607.87231182799997</v>
      </c>
      <c r="D6" s="192">
        <f>Dat_01!C169</f>
        <v>595.99107142859998</v>
      </c>
      <c r="E6" s="192">
        <f>Dat_01!D169</f>
        <v>595.54104979809995</v>
      </c>
      <c r="F6" s="192">
        <f>Dat_01!E169</f>
        <v>569.27083333329995</v>
      </c>
      <c r="G6" s="192">
        <f>Dat_01!F169</f>
        <v>557.38978494620005</v>
      </c>
      <c r="H6" s="192">
        <f>Dat_01!G169</f>
        <v>576.58888888889999</v>
      </c>
      <c r="I6" s="192">
        <f>Dat_01!H169</f>
        <v>568.41801075269996</v>
      </c>
      <c r="J6" s="192">
        <f>Dat_01!I169</f>
        <v>571.75806451610003</v>
      </c>
      <c r="K6" s="192">
        <f>Dat_01!J169</f>
        <v>574.15694444439998</v>
      </c>
      <c r="L6" s="192">
        <f>Dat_01!K169</f>
        <v>583.01610738260001</v>
      </c>
      <c r="M6" s="192">
        <f>Dat_01!L169</f>
        <v>586.37777777780002</v>
      </c>
      <c r="N6" s="192">
        <f>Dat_01!M169</f>
        <v>579.84677419349998</v>
      </c>
      <c r="O6" s="192">
        <f>Dat_01!N169</f>
        <v>595.42338709679996</v>
      </c>
    </row>
    <row r="7" spans="2:15">
      <c r="B7" s="101" t="s">
        <v>252</v>
      </c>
      <c r="C7" s="192">
        <f>Dat_01!B170</f>
        <v>495.70698924729999</v>
      </c>
      <c r="D7" s="192">
        <f>Dat_01!C170</f>
        <v>494.87797619050002</v>
      </c>
      <c r="E7" s="192">
        <f>Dat_01!D170</f>
        <v>503.95289367430001</v>
      </c>
      <c r="F7" s="192">
        <f>Dat_01!E170</f>
        <v>491.24305555559999</v>
      </c>
      <c r="G7" s="192">
        <f>Dat_01!F170</f>
        <v>489.0994623656</v>
      </c>
      <c r="H7" s="192">
        <f>Dat_01!G170</f>
        <v>489.18611111109999</v>
      </c>
      <c r="I7" s="192">
        <f>Dat_01!H170</f>
        <v>487.0416666667</v>
      </c>
      <c r="J7" s="192">
        <f>Dat_01!I170</f>
        <v>487.6088709677</v>
      </c>
      <c r="K7" s="192">
        <f>Dat_01!J170</f>
        <v>490.68055555559999</v>
      </c>
      <c r="L7" s="192">
        <f>Dat_01!K170</f>
        <v>493.04563758389997</v>
      </c>
      <c r="M7" s="192">
        <f>Dat_01!L170</f>
        <v>494.00972222220003</v>
      </c>
      <c r="N7" s="192">
        <f>Dat_01!M170</f>
        <v>494.26881720429998</v>
      </c>
      <c r="O7" s="192">
        <f>Dat_01!N170</f>
        <v>496</v>
      </c>
    </row>
    <row r="8" spans="2:15">
      <c r="B8" s="102" t="s">
        <v>250</v>
      </c>
      <c r="C8" s="196">
        <f>Dat_01!B171</f>
        <v>16.655519515600002</v>
      </c>
      <c r="D8" s="196">
        <f>Dat_01!C171</f>
        <v>27.540775143800001</v>
      </c>
      <c r="E8" s="196">
        <f>Dat_01!D171</f>
        <v>14.375630389099999</v>
      </c>
      <c r="F8" s="196">
        <f>Dat_01!E171</f>
        <v>12.330096533400001</v>
      </c>
      <c r="G8" s="196">
        <f>Dat_01!F171</f>
        <v>21.259185153099999</v>
      </c>
      <c r="H8" s="196">
        <f>Dat_01!G171</f>
        <v>16.212260548500002</v>
      </c>
      <c r="I8" s="196">
        <f>Dat_01!H171</f>
        <v>17.7897737316</v>
      </c>
      <c r="J8" s="196">
        <f>Dat_01!I171</f>
        <v>27.3192267268</v>
      </c>
      <c r="K8" s="196">
        <f>Dat_01!J171</f>
        <v>27.8295922826</v>
      </c>
      <c r="L8" s="196">
        <f>Dat_01!K171</f>
        <v>41.450569314399999</v>
      </c>
      <c r="M8" s="196">
        <f>Dat_01!L171</f>
        <v>35.946007103900001</v>
      </c>
      <c r="N8" s="196">
        <f>Dat_01!M171</f>
        <v>35.1796402517</v>
      </c>
      <c r="O8" s="196">
        <f>Dat_01!N171</f>
        <v>24.032215305299999</v>
      </c>
    </row>
    <row r="9" spans="2:15">
      <c r="B9" s="197"/>
      <c r="C9" s="197"/>
      <c r="D9" s="197"/>
      <c r="E9" s="197"/>
      <c r="F9" s="197"/>
      <c r="G9" s="197"/>
      <c r="H9" s="197"/>
      <c r="I9" s="197"/>
      <c r="J9" s="197"/>
      <c r="K9" s="197"/>
      <c r="L9" s="197"/>
      <c r="M9" s="197"/>
      <c r="N9" s="197"/>
      <c r="O9" s="197"/>
    </row>
    <row r="10" spans="2:15">
      <c r="B10" s="195"/>
      <c r="C10" s="195"/>
      <c r="D10" s="195"/>
      <c r="E10" s="195"/>
      <c r="F10" s="195"/>
      <c r="G10" s="195"/>
      <c r="H10" s="195"/>
      <c r="I10" s="195"/>
      <c r="J10" s="195"/>
      <c r="K10" s="195"/>
      <c r="L10" s="195"/>
      <c r="M10" s="195"/>
      <c r="N10" s="195"/>
      <c r="O10" s="198"/>
    </row>
    <row r="11" spans="2:15">
      <c r="B11" s="101"/>
      <c r="C11" s="101" t="s">
        <v>225</v>
      </c>
      <c r="D11" s="195"/>
      <c r="E11" s="195"/>
      <c r="F11" s="195"/>
      <c r="G11" s="195"/>
      <c r="H11" s="195"/>
      <c r="I11" s="195"/>
      <c r="J11" s="195"/>
      <c r="K11" s="195"/>
      <c r="L11" s="195"/>
      <c r="M11" s="195"/>
      <c r="N11" s="195"/>
      <c r="O11" s="198"/>
    </row>
    <row r="12" spans="2:15">
      <c r="B12" s="101" t="s">
        <v>226</v>
      </c>
      <c r="C12" s="183">
        <f>(O6-C6)/C6</f>
        <v>-2.0479506121546271E-2</v>
      </c>
      <c r="D12" s="195"/>
      <c r="E12" s="195"/>
      <c r="F12" s="195"/>
      <c r="G12" s="195"/>
      <c r="H12" s="195"/>
      <c r="I12" s="195"/>
      <c r="J12" s="195"/>
      <c r="K12" s="195"/>
      <c r="L12" s="195"/>
      <c r="M12" s="195"/>
      <c r="N12" s="195"/>
      <c r="O12" s="195"/>
    </row>
    <row r="13" spans="2:15">
      <c r="B13" s="101" t="s">
        <v>202</v>
      </c>
      <c r="C13" s="183">
        <f>(O8-C8)/C8</f>
        <v>0.4428979704170013</v>
      </c>
      <c r="D13" s="195"/>
      <c r="E13" s="195"/>
      <c r="F13" s="195"/>
      <c r="G13" s="195"/>
      <c r="H13" s="195"/>
      <c r="I13" s="195"/>
      <c r="J13" s="195"/>
      <c r="K13" s="195"/>
      <c r="L13" s="195"/>
      <c r="M13" s="195"/>
      <c r="N13" s="195"/>
      <c r="O13" s="195"/>
    </row>
    <row r="14" spans="2:15">
      <c r="B14" s="195"/>
      <c r="C14" s="195"/>
      <c r="D14" s="195"/>
      <c r="E14" s="195"/>
      <c r="F14" s="195"/>
      <c r="G14" s="195"/>
      <c r="H14" s="195"/>
      <c r="I14" s="195"/>
      <c r="J14" s="195"/>
      <c r="K14" s="195"/>
      <c r="L14" s="195"/>
      <c r="M14" s="195"/>
      <c r="N14" s="195"/>
      <c r="O14" s="195"/>
    </row>
    <row r="15" spans="2:15">
      <c r="B15" s="98" t="s">
        <v>227</v>
      </c>
      <c r="C15" s="195"/>
      <c r="D15" s="195"/>
      <c r="E15" s="195"/>
      <c r="F15" s="195"/>
      <c r="G15" s="195"/>
      <c r="H15" s="195"/>
      <c r="I15" s="195"/>
      <c r="J15" s="195"/>
      <c r="K15" s="195"/>
      <c r="L15" s="195"/>
      <c r="M15" s="195"/>
      <c r="N15" s="195"/>
      <c r="O15" s="195"/>
    </row>
    <row r="16" spans="2:15">
      <c r="B16" s="100" t="s">
        <v>228</v>
      </c>
      <c r="C16" s="100" t="str">
        <f>MID(C17,1,4)</f>
        <v>2021</v>
      </c>
      <c r="D16" s="100" t="str">
        <f t="shared" ref="D16:O16" si="1">MID(D17,1,4)</f>
        <v>2021</v>
      </c>
      <c r="E16" s="100" t="str">
        <f t="shared" si="1"/>
        <v>2021</v>
      </c>
      <c r="F16" s="100" t="str">
        <f t="shared" si="1"/>
        <v>2021</v>
      </c>
      <c r="G16" s="100" t="str">
        <f t="shared" si="1"/>
        <v>2021</v>
      </c>
      <c r="H16" s="100" t="str">
        <f t="shared" si="1"/>
        <v>2021</v>
      </c>
      <c r="I16" s="100" t="str">
        <f t="shared" si="1"/>
        <v>2021</v>
      </c>
      <c r="J16" s="100" t="str">
        <f t="shared" si="1"/>
        <v>2021</v>
      </c>
      <c r="K16" s="100" t="str">
        <f t="shared" si="1"/>
        <v>2021</v>
      </c>
      <c r="L16" s="100" t="str">
        <f t="shared" si="1"/>
        <v>2021</v>
      </c>
      <c r="M16" s="100" t="str">
        <f t="shared" si="1"/>
        <v>2021</v>
      </c>
      <c r="N16" s="100" t="str">
        <f t="shared" si="1"/>
        <v>2021</v>
      </c>
      <c r="O16" s="100" t="str">
        <f t="shared" si="1"/>
        <v>2022</v>
      </c>
    </row>
    <row r="17" spans="2:20">
      <c r="B17" s="98" t="s">
        <v>214</v>
      </c>
      <c r="C17" s="281" t="str">
        <f>Dat_01!B173</f>
        <v>2021 Enero</v>
      </c>
      <c r="D17" s="281" t="str">
        <f>Dat_01!C173</f>
        <v>2021 Febrero</v>
      </c>
      <c r="E17" s="281" t="str">
        <f>Dat_01!D173</f>
        <v>2021 Marzo</v>
      </c>
      <c r="F17" s="281" t="str">
        <f>Dat_01!E173</f>
        <v>2021 Abril</v>
      </c>
      <c r="G17" s="281" t="str">
        <f>Dat_01!F173</f>
        <v>2021 Mayo</v>
      </c>
      <c r="H17" s="281" t="str">
        <f>Dat_01!G173</f>
        <v>2021 Junio</v>
      </c>
      <c r="I17" s="281" t="str">
        <f>Dat_01!H173</f>
        <v>2021 Julio</v>
      </c>
      <c r="J17" s="281" t="str">
        <f>Dat_01!I173</f>
        <v>2021 Agosto</v>
      </c>
      <c r="K17" s="281" t="str">
        <f>Dat_01!J173</f>
        <v>2021 Septiembre</v>
      </c>
      <c r="L17" s="281" t="str">
        <f>Dat_01!K173</f>
        <v>2021 Octubre</v>
      </c>
      <c r="M17" s="281" t="str">
        <f>Dat_01!L173</f>
        <v>2021 Noviembre</v>
      </c>
      <c r="N17" s="281" t="str">
        <f>Dat_01!M173</f>
        <v>2021 Diciembre</v>
      </c>
      <c r="O17" s="281" t="str">
        <f>Dat_01!N173</f>
        <v>2022 Enero</v>
      </c>
    </row>
    <row r="18" spans="2:20">
      <c r="B18" s="100" t="s">
        <v>30</v>
      </c>
      <c r="C18" s="194" t="str">
        <f>MID(C17,6,1)</f>
        <v>E</v>
      </c>
      <c r="D18" s="194" t="str">
        <f t="shared" ref="D18:O18" si="2">MID(D17,6,1)</f>
        <v>F</v>
      </c>
      <c r="E18" s="194" t="str">
        <f t="shared" si="2"/>
        <v>M</v>
      </c>
      <c r="F18" s="194" t="str">
        <f t="shared" si="2"/>
        <v>A</v>
      </c>
      <c r="G18" s="194" t="str">
        <f t="shared" si="2"/>
        <v>M</v>
      </c>
      <c r="H18" s="194" t="str">
        <f t="shared" si="2"/>
        <v>J</v>
      </c>
      <c r="I18" s="194" t="str">
        <f t="shared" si="2"/>
        <v>J</v>
      </c>
      <c r="J18" s="194" t="str">
        <f t="shared" si="2"/>
        <v>A</v>
      </c>
      <c r="K18" s="194" t="str">
        <f t="shared" si="2"/>
        <v>S</v>
      </c>
      <c r="L18" s="194" t="str">
        <f t="shared" si="2"/>
        <v>O</v>
      </c>
      <c r="M18" s="194" t="str">
        <f t="shared" si="2"/>
        <v>N</v>
      </c>
      <c r="N18" s="194" t="str">
        <f t="shared" si="2"/>
        <v>D</v>
      </c>
      <c r="O18" s="194" t="str">
        <f t="shared" si="2"/>
        <v>E</v>
      </c>
    </row>
    <row r="19" spans="2:20">
      <c r="B19" s="101" t="s">
        <v>229</v>
      </c>
      <c r="C19" s="192">
        <f>Dat_01!B176*1000</f>
        <v>129562.4</v>
      </c>
      <c r="D19" s="192">
        <f>Dat_01!C176*1000</f>
        <v>122253.2</v>
      </c>
      <c r="E19" s="192">
        <f>Dat_01!D176*1000</f>
        <v>138006.39999999999</v>
      </c>
      <c r="F19" s="192">
        <f>Dat_01!E176*1000</f>
        <v>117669.8</v>
      </c>
      <c r="G19" s="192">
        <f>Dat_01!F176*1000</f>
        <v>131492.9</v>
      </c>
      <c r="H19" s="192">
        <f>Dat_01!G176*1000</f>
        <v>80018.899999999994</v>
      </c>
      <c r="I19" s="192">
        <f>Dat_01!H176*1000</f>
        <v>89656.9</v>
      </c>
      <c r="J19" s="192">
        <f>Dat_01!I176*1000</f>
        <v>101876.2</v>
      </c>
      <c r="K19" s="192">
        <f>Dat_01!J176*1000</f>
        <v>87124.6</v>
      </c>
      <c r="L19" s="192">
        <f>Dat_01!K176*1000</f>
        <v>122328.3</v>
      </c>
      <c r="M19" s="192">
        <f>Dat_01!L176*1000</f>
        <v>79438.399999999994</v>
      </c>
      <c r="N19" s="192">
        <f>Dat_01!M176*1000</f>
        <v>100154.5</v>
      </c>
      <c r="O19" s="192">
        <f>Dat_01!N176*1000</f>
        <v>100882.88099999999</v>
      </c>
    </row>
    <row r="20" spans="2:20">
      <c r="B20" s="102" t="s">
        <v>230</v>
      </c>
      <c r="C20" s="199">
        <f>Dat_01!B175*1000</f>
        <v>138331.70000000001</v>
      </c>
      <c r="D20" s="199">
        <f>Dat_01!C175*1000</f>
        <v>85107.199999999997</v>
      </c>
      <c r="E20" s="199">
        <f>Dat_01!D175*1000</f>
        <v>101943.1</v>
      </c>
      <c r="F20" s="199">
        <f>Dat_01!E175*1000</f>
        <v>121018.2</v>
      </c>
      <c r="G20" s="199">
        <f>Dat_01!F175*1000</f>
        <v>120376.9</v>
      </c>
      <c r="H20" s="199">
        <f>Dat_01!G175*1000</f>
        <v>160577.60000000001</v>
      </c>
      <c r="I20" s="199">
        <f>Dat_01!H175*1000</f>
        <v>143660.1</v>
      </c>
      <c r="J20" s="199">
        <f>Dat_01!I175*1000</f>
        <v>127341.2</v>
      </c>
      <c r="K20" s="199">
        <f>Dat_01!J175*1000</f>
        <v>119623.2</v>
      </c>
      <c r="L20" s="199">
        <f>Dat_01!K175*1000</f>
        <v>110773.9</v>
      </c>
      <c r="M20" s="199">
        <f>Dat_01!L175*1000</f>
        <v>163480.29999999999</v>
      </c>
      <c r="N20" s="199">
        <f>Dat_01!M175*1000</f>
        <v>148636.1</v>
      </c>
      <c r="O20" s="199">
        <f>Dat_01!N175*1000</f>
        <v>145388.56899999999</v>
      </c>
    </row>
    <row r="21" spans="2:20">
      <c r="B21" s="200"/>
      <c r="C21" s="199"/>
      <c r="D21" s="199"/>
      <c r="E21" s="199"/>
      <c r="F21" s="199"/>
      <c r="G21" s="199"/>
      <c r="H21" s="199"/>
      <c r="I21" s="199"/>
      <c r="J21" s="199"/>
      <c r="K21" s="199"/>
      <c r="L21" s="199"/>
      <c r="M21" s="199"/>
      <c r="N21" s="199"/>
      <c r="O21" s="199"/>
    </row>
    <row r="22" spans="2:20">
      <c r="B22" s="100"/>
      <c r="C22" s="100"/>
      <c r="D22" s="100"/>
      <c r="E22" s="100"/>
      <c r="F22" s="100"/>
      <c r="G22" s="100"/>
      <c r="H22" s="100"/>
      <c r="I22" s="100"/>
      <c r="J22" s="100"/>
      <c r="K22" s="100"/>
      <c r="L22" s="100"/>
      <c r="M22" s="100"/>
      <c r="N22" s="100"/>
      <c r="O22" s="100"/>
    </row>
    <row r="23" spans="2:20">
      <c r="B23" s="101" t="s">
        <v>231</v>
      </c>
      <c r="C23" s="201">
        <f>Dat_01!B181</f>
        <v>63.220681052700002</v>
      </c>
      <c r="D23" s="201">
        <f>Dat_01!C181</f>
        <v>37.996210302500003</v>
      </c>
      <c r="E23" s="201">
        <f>Dat_01!D181</f>
        <v>49.886666826800003</v>
      </c>
      <c r="F23" s="201">
        <f>Dat_01!E181</f>
        <v>68.736615395200005</v>
      </c>
      <c r="G23" s="201">
        <f>Dat_01!F181</f>
        <v>71.364942740900005</v>
      </c>
      <c r="H23" s="201">
        <f>Dat_01!G181</f>
        <v>91.156488779</v>
      </c>
      <c r="I23" s="201">
        <f>Dat_01!H181</f>
        <v>96.757169407899994</v>
      </c>
      <c r="J23" s="201">
        <f>Dat_01!I181</f>
        <v>110.01602101650001</v>
      </c>
      <c r="K23" s="201">
        <f>Dat_01!J181</f>
        <v>163.59300467950001</v>
      </c>
      <c r="L23" s="201">
        <f>Dat_01!K181</f>
        <v>212.36212133250001</v>
      </c>
      <c r="M23" s="201">
        <f>Dat_01!L181</f>
        <v>205.75351654170001</v>
      </c>
      <c r="N23" s="201">
        <f>Dat_01!M181</f>
        <v>247.17005219609999</v>
      </c>
      <c r="O23" s="201">
        <f>Dat_01!N181</f>
        <v>223.8608930092</v>
      </c>
    </row>
    <row r="24" spans="2:20">
      <c r="B24" s="102" t="s">
        <v>232</v>
      </c>
      <c r="C24" s="202">
        <f>Dat_01!B182</f>
        <v>59.951908228599997</v>
      </c>
      <c r="D24" s="202">
        <f>Dat_01!C182</f>
        <v>17.655055665900001</v>
      </c>
      <c r="E24" s="202">
        <f>Dat_01!D182</f>
        <v>35.931237126500001</v>
      </c>
      <c r="F24" s="202">
        <f>Dat_01!E182</f>
        <v>56.916393445799997</v>
      </c>
      <c r="G24" s="202">
        <f>Dat_01!F182</f>
        <v>59.402698533699997</v>
      </c>
      <c r="H24" s="202">
        <f>Dat_01!G182</f>
        <v>70.049151887899995</v>
      </c>
      <c r="I24" s="202">
        <f>Dat_01!H182</f>
        <v>76.443767935500006</v>
      </c>
      <c r="J24" s="202">
        <f>Dat_01!I182</f>
        <v>88.488353008800004</v>
      </c>
      <c r="K24" s="202">
        <f>Dat_01!J182</f>
        <v>130.76360995760001</v>
      </c>
      <c r="L24" s="202">
        <f>Dat_01!K182</f>
        <v>163.59991653629999</v>
      </c>
      <c r="M24" s="202">
        <f>Dat_01!L182</f>
        <v>170.5480600436</v>
      </c>
      <c r="N24" s="202">
        <f>Dat_01!M182</f>
        <v>217.2346750303</v>
      </c>
      <c r="O24" s="202">
        <f>Dat_01!N182</f>
        <v>176.02500627129999</v>
      </c>
    </row>
    <row r="25" spans="2:20" ht="14.4">
      <c r="B25" s="195"/>
      <c r="C25" s="203"/>
      <c r="D25" s="203"/>
      <c r="E25" s="203"/>
      <c r="F25" s="203"/>
      <c r="G25" s="203"/>
      <c r="H25" s="203"/>
      <c r="I25" s="203"/>
      <c r="J25" s="203"/>
      <c r="K25" s="203"/>
      <c r="L25" s="203"/>
      <c r="M25" s="203"/>
      <c r="N25" s="203"/>
      <c r="O25" s="101" t="s">
        <v>220</v>
      </c>
      <c r="T25" s="204"/>
    </row>
    <row r="26" spans="2:20" ht="14.4">
      <c r="B26" s="195"/>
      <c r="C26" s="203"/>
      <c r="D26" s="203"/>
      <c r="E26" s="203"/>
      <c r="F26" s="203"/>
      <c r="G26" s="203"/>
      <c r="H26" s="203"/>
      <c r="I26" s="203"/>
      <c r="J26" s="203"/>
      <c r="K26" s="203"/>
      <c r="L26" s="203"/>
      <c r="M26" s="101" t="s">
        <v>233</v>
      </c>
      <c r="N26" s="101"/>
      <c r="O26" s="183">
        <f>(O19-C19)/C19</f>
        <v>-0.2213568056781906</v>
      </c>
      <c r="T26" s="188"/>
    </row>
    <row r="27" spans="2:20" ht="14.4">
      <c r="B27" s="195"/>
      <c r="C27" s="203"/>
      <c r="D27" s="203"/>
      <c r="E27" s="203"/>
      <c r="F27" s="203"/>
      <c r="G27" s="203"/>
      <c r="H27" s="203"/>
      <c r="I27" s="203"/>
      <c r="J27" s="203"/>
      <c r="K27" s="203"/>
      <c r="L27" s="203"/>
      <c r="M27" s="101" t="s">
        <v>234</v>
      </c>
      <c r="N27" s="101"/>
      <c r="O27" s="183">
        <f>(O20-C20)/C20</f>
        <v>5.1014113178685552E-2</v>
      </c>
    </row>
    <row r="28" spans="2:20" ht="14.4">
      <c r="B28" s="195"/>
      <c r="C28" s="203"/>
      <c r="D28" s="203"/>
      <c r="E28" s="203"/>
      <c r="F28" s="203"/>
      <c r="G28" s="203"/>
      <c r="H28" s="203"/>
      <c r="I28" s="203"/>
      <c r="J28" s="203"/>
      <c r="K28" s="203"/>
      <c r="L28" s="203"/>
      <c r="M28" s="101" t="s">
        <v>235</v>
      </c>
      <c r="N28" s="101"/>
      <c r="O28" s="183">
        <f>((O19+O20)-(C19+C20))/(C19+C20)</f>
        <v>-8.0713423699887363E-2</v>
      </c>
    </row>
    <row r="29" spans="2:20" ht="14.4">
      <c r="B29" s="195"/>
      <c r="C29" s="203"/>
      <c r="D29" s="203"/>
      <c r="E29" s="203"/>
      <c r="F29" s="203"/>
      <c r="G29" s="203"/>
      <c r="H29" s="203"/>
      <c r="I29" s="203"/>
      <c r="J29" s="203"/>
      <c r="K29" s="203"/>
      <c r="L29" s="203"/>
      <c r="M29" s="101" t="s">
        <v>231</v>
      </c>
      <c r="N29" s="101"/>
      <c r="O29" s="183">
        <f>(O23-C23)/C23</f>
        <v>2.5409440278346929</v>
      </c>
    </row>
    <row r="30" spans="2:20" ht="14.4">
      <c r="B30" s="195"/>
      <c r="C30" s="203"/>
      <c r="D30" s="203"/>
      <c r="E30" s="203"/>
      <c r="F30" s="203"/>
      <c r="G30" s="203"/>
      <c r="H30" s="203"/>
      <c r="I30" s="203"/>
      <c r="J30" s="203"/>
      <c r="K30" s="203"/>
      <c r="L30" s="203"/>
      <c r="M30" s="101" t="s">
        <v>232</v>
      </c>
      <c r="N30" s="101"/>
      <c r="O30" s="183">
        <f>(O24-C24)/C24</f>
        <v>1.93610347814296</v>
      </c>
    </row>
    <row r="32" spans="2:20">
      <c r="B32" s="98" t="s">
        <v>236</v>
      </c>
    </row>
    <row r="33" spans="2:16">
      <c r="B33" s="100"/>
      <c r="C33" s="100" t="s">
        <v>30</v>
      </c>
      <c r="D33" s="100" t="s">
        <v>237</v>
      </c>
      <c r="E33" s="100" t="s">
        <v>237</v>
      </c>
      <c r="F33" s="100" t="s">
        <v>237</v>
      </c>
      <c r="G33" s="100" t="s">
        <v>237</v>
      </c>
      <c r="H33" s="100" t="s">
        <v>237</v>
      </c>
      <c r="I33" s="100" t="s">
        <v>237</v>
      </c>
      <c r="J33" s="100" t="s">
        <v>237</v>
      </c>
      <c r="K33" s="100" t="s">
        <v>237</v>
      </c>
      <c r="L33" s="100" t="s">
        <v>237</v>
      </c>
      <c r="M33" s="100" t="s">
        <v>237</v>
      </c>
      <c r="N33" s="100" t="s">
        <v>237</v>
      </c>
      <c r="O33" s="100" t="s">
        <v>237</v>
      </c>
      <c r="P33" s="100" t="s">
        <v>237</v>
      </c>
    </row>
    <row r="34" spans="2:16">
      <c r="B34" s="100"/>
      <c r="C34" s="100" t="s">
        <v>214</v>
      </c>
      <c r="D34" s="100" t="str">
        <f>Dat_01!C187</f>
        <v>2021 Enero</v>
      </c>
      <c r="E34" s="100" t="str">
        <f>Dat_01!D187</f>
        <v>2021 Febrero</v>
      </c>
      <c r="F34" s="100" t="str">
        <f>Dat_01!E187</f>
        <v>2021 Marzo</v>
      </c>
      <c r="G34" s="100" t="str">
        <f>Dat_01!F187</f>
        <v>2021 Abril</v>
      </c>
      <c r="H34" s="100" t="str">
        <f>Dat_01!G187</f>
        <v>2021 Mayo</v>
      </c>
      <c r="I34" s="100" t="str">
        <f>Dat_01!H187</f>
        <v>2021 Junio</v>
      </c>
      <c r="J34" s="100" t="str">
        <f>Dat_01!I187</f>
        <v>2021 Julio</v>
      </c>
      <c r="K34" s="100" t="str">
        <f>Dat_01!J187</f>
        <v>2021 Agosto</v>
      </c>
      <c r="L34" s="100" t="str">
        <f>Dat_01!K187</f>
        <v>2021 Septiembre</v>
      </c>
      <c r="M34" s="100" t="str">
        <f>Dat_01!L187</f>
        <v>2021 Octubre</v>
      </c>
      <c r="N34" s="100" t="str">
        <f>Dat_01!M187</f>
        <v>2021 Noviembre</v>
      </c>
      <c r="O34" s="100" t="str">
        <f>Dat_01!N187</f>
        <v>2021 Diciembre</v>
      </c>
      <c r="P34" s="100" t="str">
        <f>Dat_01!O187</f>
        <v>2022 Enero</v>
      </c>
    </row>
    <row r="35" spans="2:16">
      <c r="B35" s="100" t="s">
        <v>218</v>
      </c>
      <c r="C35" s="100" t="s">
        <v>219</v>
      </c>
      <c r="D35" s="100" t="str">
        <f t="shared" ref="D35:P35" si="3">MID(D34,6,1)</f>
        <v>E</v>
      </c>
      <c r="E35" s="100" t="str">
        <f t="shared" si="3"/>
        <v>F</v>
      </c>
      <c r="F35" s="100" t="str">
        <f t="shared" si="3"/>
        <v>M</v>
      </c>
      <c r="G35" s="100" t="str">
        <f t="shared" si="3"/>
        <v>A</v>
      </c>
      <c r="H35" s="100" t="str">
        <f t="shared" si="3"/>
        <v>M</v>
      </c>
      <c r="I35" s="100" t="str">
        <f t="shared" si="3"/>
        <v>J</v>
      </c>
      <c r="J35" s="100" t="str">
        <f t="shared" si="3"/>
        <v>J</v>
      </c>
      <c r="K35" s="100" t="str">
        <f t="shared" si="3"/>
        <v>A</v>
      </c>
      <c r="L35" s="100" t="str">
        <f t="shared" si="3"/>
        <v>S</v>
      </c>
      <c r="M35" s="100" t="str">
        <f t="shared" si="3"/>
        <v>O</v>
      </c>
      <c r="N35" s="100" t="str">
        <f t="shared" si="3"/>
        <v>N</v>
      </c>
      <c r="O35" s="100" t="str">
        <f t="shared" si="3"/>
        <v>D</v>
      </c>
      <c r="P35" s="100" t="str">
        <f t="shared" si="3"/>
        <v>E</v>
      </c>
    </row>
    <row r="36" spans="2:16">
      <c r="B36" s="101" t="s">
        <v>92</v>
      </c>
      <c r="C36" s="101" t="str">
        <f>Dat_01!B189</f>
        <v>Adquisición de Energía</v>
      </c>
      <c r="D36" s="205">
        <f>Dat_01!C189</f>
        <v>0</v>
      </c>
      <c r="E36" s="205">
        <f>Dat_01!D189</f>
        <v>0</v>
      </c>
      <c r="F36" s="205">
        <f>Dat_01!E189</f>
        <v>0</v>
      </c>
      <c r="G36" s="205">
        <f>Dat_01!F189</f>
        <v>0</v>
      </c>
      <c r="H36" s="205">
        <f>Dat_01!G189</f>
        <v>0</v>
      </c>
      <c r="I36" s="205">
        <f>Dat_01!H189</f>
        <v>0</v>
      </c>
      <c r="J36" s="205">
        <f>Dat_01!I189</f>
        <v>0</v>
      </c>
      <c r="K36" s="205">
        <f>Dat_01!J189</f>
        <v>0</v>
      </c>
      <c r="L36" s="205">
        <f>Dat_01!K189</f>
        <v>0</v>
      </c>
      <c r="M36" s="205">
        <f>Dat_01!L189</f>
        <v>0</v>
      </c>
      <c r="N36" s="205">
        <f>Dat_01!M189</f>
        <v>0</v>
      </c>
      <c r="O36" s="205">
        <f>Dat_01!N189</f>
        <v>0</v>
      </c>
      <c r="P36" s="205">
        <f>Dat_01!O189</f>
        <v>0</v>
      </c>
    </row>
    <row r="37" spans="2:16">
      <c r="B37" s="101" t="s">
        <v>92</v>
      </c>
      <c r="C37" s="101" t="str">
        <f>Dat_01!B190</f>
        <v>Carbón</v>
      </c>
      <c r="D37" s="205">
        <f>Dat_01!C190</f>
        <v>3748.2</v>
      </c>
      <c r="E37" s="205">
        <f>Dat_01!D190</f>
        <v>157.30000000000001</v>
      </c>
      <c r="F37" s="205">
        <f>Dat_01!E190</f>
        <v>78</v>
      </c>
      <c r="G37" s="205">
        <f>Dat_01!F190</f>
        <v>2888.1</v>
      </c>
      <c r="H37" s="205">
        <f>Dat_01!G190</f>
        <v>2053.3000000000002</v>
      </c>
      <c r="I37" s="205">
        <f>Dat_01!H190</f>
        <v>3099.9</v>
      </c>
      <c r="J37" s="205">
        <f>Dat_01!I190</f>
        <v>3046.5</v>
      </c>
      <c r="K37" s="205">
        <f>Dat_01!J190</f>
        <v>1481.1</v>
      </c>
      <c r="L37" s="205">
        <f>Dat_01!K190</f>
        <v>929.2</v>
      </c>
      <c r="M37" s="205">
        <f>Dat_01!L190</f>
        <v>2449.3000000000002</v>
      </c>
      <c r="N37" s="205">
        <f>Dat_01!M190</f>
        <v>1901</v>
      </c>
      <c r="O37" s="205">
        <f>Dat_01!N190</f>
        <v>3972.3</v>
      </c>
      <c r="P37" s="205">
        <f>Dat_01!O190</f>
        <v>1857.5</v>
      </c>
    </row>
    <row r="38" spans="2:16">
      <c r="B38" s="101" t="s">
        <v>92</v>
      </c>
      <c r="C38" s="101" t="str">
        <f>Dat_01!B191</f>
        <v>Ciclo Combinado</v>
      </c>
      <c r="D38" s="205">
        <f>Dat_01!C191</f>
        <v>68568.899999999994</v>
      </c>
      <c r="E38" s="205">
        <f>Dat_01!D191</f>
        <v>26400.799999999999</v>
      </c>
      <c r="F38" s="205">
        <f>Dat_01!E191</f>
        <v>53067.4</v>
      </c>
      <c r="G38" s="205">
        <f>Dat_01!F191</f>
        <v>73739.7</v>
      </c>
      <c r="H38" s="205">
        <f>Dat_01!G191</f>
        <v>67958.399999999994</v>
      </c>
      <c r="I38" s="205">
        <f>Dat_01!H191</f>
        <v>73420.800000000003</v>
      </c>
      <c r="J38" s="205">
        <f>Dat_01!I191</f>
        <v>87665.5</v>
      </c>
      <c r="K38" s="205">
        <f>Dat_01!J191</f>
        <v>147327</v>
      </c>
      <c r="L38" s="205">
        <f>Dat_01!K191</f>
        <v>120567.6</v>
      </c>
      <c r="M38" s="205">
        <f>Dat_01!L191</f>
        <v>91772.5</v>
      </c>
      <c r="N38" s="205">
        <f>Dat_01!M191</f>
        <v>124474.7</v>
      </c>
      <c r="O38" s="205">
        <f>Dat_01!N191</f>
        <v>68425.3</v>
      </c>
      <c r="P38" s="205">
        <f>Dat_01!O191</f>
        <v>53248.9</v>
      </c>
    </row>
    <row r="39" spans="2:16">
      <c r="B39" s="101" t="s">
        <v>92</v>
      </c>
      <c r="C39" s="101" t="str">
        <f>Dat_01!B192</f>
        <v>Cogeneración</v>
      </c>
      <c r="D39" s="205">
        <f>Dat_01!C192</f>
        <v>1069.7</v>
      </c>
      <c r="E39" s="205">
        <f>Dat_01!D192</f>
        <v>340.9</v>
      </c>
      <c r="F39" s="205">
        <f>Dat_01!E192</f>
        <v>76.2</v>
      </c>
      <c r="G39" s="205">
        <f>Dat_01!F192</f>
        <v>28.3</v>
      </c>
      <c r="H39" s="205">
        <f>Dat_01!G192</f>
        <v>263.7</v>
      </c>
      <c r="I39" s="205">
        <f>Dat_01!H192</f>
        <v>945.7</v>
      </c>
      <c r="J39" s="205">
        <f>Dat_01!I192</f>
        <v>1010.8</v>
      </c>
      <c r="K39" s="205">
        <f>Dat_01!J192</f>
        <v>1240.2</v>
      </c>
      <c r="L39" s="205">
        <f>Dat_01!K192</f>
        <v>582.6</v>
      </c>
      <c r="M39" s="205">
        <f>Dat_01!L192</f>
        <v>539.6</v>
      </c>
      <c r="N39" s="205">
        <f>Dat_01!M192</f>
        <v>919.8</v>
      </c>
      <c r="O39" s="205">
        <f>Dat_01!N192</f>
        <v>1069.5</v>
      </c>
      <c r="P39" s="205">
        <f>Dat_01!O192</f>
        <v>859.7</v>
      </c>
    </row>
    <row r="40" spans="2:16">
      <c r="B40" s="101" t="s">
        <v>92</v>
      </c>
      <c r="C40" s="101" t="str">
        <f>Dat_01!B193</f>
        <v>Consumo Bombeo</v>
      </c>
      <c r="D40" s="205">
        <f>Dat_01!C193</f>
        <v>17152.7</v>
      </c>
      <c r="E40" s="205">
        <f>Dat_01!D193</f>
        <v>18712.8</v>
      </c>
      <c r="F40" s="205">
        <f>Dat_01!E193</f>
        <v>9280.7999999999993</v>
      </c>
      <c r="G40" s="205">
        <f>Dat_01!F193</f>
        <v>12095.3</v>
      </c>
      <c r="H40" s="205">
        <f>Dat_01!G193</f>
        <v>14305.7</v>
      </c>
      <c r="I40" s="205">
        <f>Dat_01!H193</f>
        <v>5396.8</v>
      </c>
      <c r="J40" s="205">
        <f>Dat_01!I193</f>
        <v>5572.7</v>
      </c>
      <c r="K40" s="205">
        <f>Dat_01!J193</f>
        <v>17886.3</v>
      </c>
      <c r="L40" s="205">
        <f>Dat_01!K193</f>
        <v>3027.8</v>
      </c>
      <c r="M40" s="205">
        <f>Dat_01!L193</f>
        <v>8249.9</v>
      </c>
      <c r="N40" s="205">
        <f>Dat_01!M193</f>
        <v>8069.5</v>
      </c>
      <c r="O40" s="205">
        <f>Dat_01!N193</f>
        <v>13639.4</v>
      </c>
      <c r="P40" s="205">
        <f>Dat_01!O193</f>
        <v>20175.8</v>
      </c>
    </row>
    <row r="41" spans="2:16">
      <c r="B41" s="101" t="s">
        <v>92</v>
      </c>
      <c r="C41" s="101" t="str">
        <f>Dat_01!B194</f>
        <v>Enlace Península Baleares</v>
      </c>
      <c r="D41" s="205">
        <f>Dat_01!C194</f>
        <v>0</v>
      </c>
      <c r="E41" s="205">
        <f>Dat_01!D194</f>
        <v>0</v>
      </c>
      <c r="F41" s="205">
        <f>Dat_01!E194</f>
        <v>0</v>
      </c>
      <c r="G41" s="205">
        <f>Dat_01!F194</f>
        <v>0</v>
      </c>
      <c r="H41" s="205">
        <f>Dat_01!G194</f>
        <v>0</v>
      </c>
      <c r="I41" s="205">
        <f>Dat_01!H194</f>
        <v>0</v>
      </c>
      <c r="J41" s="205">
        <f>Dat_01!I194</f>
        <v>0</v>
      </c>
      <c r="K41" s="205">
        <f>Dat_01!J194</f>
        <v>0</v>
      </c>
      <c r="L41" s="205">
        <f>Dat_01!K194</f>
        <v>0</v>
      </c>
      <c r="M41" s="205">
        <f>Dat_01!L194</f>
        <v>0</v>
      </c>
      <c r="N41" s="205">
        <f>Dat_01!M194</f>
        <v>0</v>
      </c>
      <c r="O41" s="205">
        <f>Dat_01!N194</f>
        <v>0</v>
      </c>
      <c r="P41" s="205">
        <f>Dat_01!O194</f>
        <v>0</v>
      </c>
    </row>
    <row r="42" spans="2:16">
      <c r="B42" s="101" t="s">
        <v>92</v>
      </c>
      <c r="C42" s="101" t="str">
        <f>Dat_01!B195</f>
        <v>Eólica</v>
      </c>
      <c r="D42" s="205">
        <f>Dat_01!C195</f>
        <v>8410.7000000000007</v>
      </c>
      <c r="E42" s="205">
        <f>Dat_01!D195</f>
        <v>15219.5</v>
      </c>
      <c r="F42" s="205">
        <f>Dat_01!E195</f>
        <v>9333.2999999999993</v>
      </c>
      <c r="G42" s="205">
        <f>Dat_01!F195</f>
        <v>8894.2000000000007</v>
      </c>
      <c r="H42" s="205">
        <f>Dat_01!G195</f>
        <v>14218.9</v>
      </c>
      <c r="I42" s="205">
        <f>Dat_01!H195</f>
        <v>10467.9</v>
      </c>
      <c r="J42" s="205">
        <f>Dat_01!I195</f>
        <v>8671.4</v>
      </c>
      <c r="K42" s="205">
        <f>Dat_01!J195</f>
        <v>9117.1</v>
      </c>
      <c r="L42" s="205">
        <f>Dat_01!K195</f>
        <v>7256.6</v>
      </c>
      <c r="M42" s="205">
        <f>Dat_01!L195</f>
        <v>8677.5</v>
      </c>
      <c r="N42" s="205">
        <f>Dat_01!M195</f>
        <v>12499.1</v>
      </c>
      <c r="O42" s="205">
        <f>Dat_01!N195</f>
        <v>9010.9</v>
      </c>
      <c r="P42" s="205">
        <f>Dat_01!O195</f>
        <v>10885.7</v>
      </c>
    </row>
    <row r="43" spans="2:16">
      <c r="B43" s="101" t="s">
        <v>92</v>
      </c>
      <c r="C43" s="101" t="str">
        <f>Dat_01!B196</f>
        <v>Fuel-Gas</v>
      </c>
      <c r="D43" s="205">
        <f>Dat_01!C196</f>
        <v>0</v>
      </c>
      <c r="E43" s="205">
        <f>Dat_01!D196</f>
        <v>0</v>
      </c>
      <c r="F43" s="205">
        <f>Dat_01!E196</f>
        <v>0</v>
      </c>
      <c r="G43" s="205">
        <f>Dat_01!F196</f>
        <v>0</v>
      </c>
      <c r="H43" s="205">
        <f>Dat_01!G196</f>
        <v>0</v>
      </c>
      <c r="I43" s="205">
        <f>Dat_01!H196</f>
        <v>0</v>
      </c>
      <c r="J43" s="205">
        <f>Dat_01!I196</f>
        <v>0</v>
      </c>
      <c r="K43" s="205">
        <f>Dat_01!J196</f>
        <v>0</v>
      </c>
      <c r="L43" s="205">
        <f>Dat_01!K196</f>
        <v>0</v>
      </c>
      <c r="M43" s="205">
        <f>Dat_01!L196</f>
        <v>0</v>
      </c>
      <c r="N43" s="205">
        <f>Dat_01!M196</f>
        <v>0</v>
      </c>
      <c r="O43" s="205">
        <f>Dat_01!N196</f>
        <v>0</v>
      </c>
      <c r="P43" s="205">
        <f>Dat_01!O196</f>
        <v>0</v>
      </c>
    </row>
    <row r="44" spans="2:16">
      <c r="B44" s="101" t="s">
        <v>92</v>
      </c>
      <c r="C44" s="101" t="str">
        <f>Dat_01!B197</f>
        <v>Hidráulica</v>
      </c>
      <c r="D44" s="205">
        <f>Dat_01!C197</f>
        <v>36501.599999999999</v>
      </c>
      <c r="E44" s="205">
        <f>Dat_01!D197</f>
        <v>9567.7999999999993</v>
      </c>
      <c r="F44" s="205">
        <f>Dat_01!E197</f>
        <v>56450.9</v>
      </c>
      <c r="G44" s="205">
        <f>Dat_01!F197</f>
        <v>77474.8</v>
      </c>
      <c r="H44" s="205">
        <f>Dat_01!G197</f>
        <v>46046.2</v>
      </c>
      <c r="I44" s="205">
        <f>Dat_01!H197</f>
        <v>59211</v>
      </c>
      <c r="J44" s="205">
        <f>Dat_01!I197</f>
        <v>41981.5</v>
      </c>
      <c r="K44" s="205">
        <f>Dat_01!J197</f>
        <v>30800.2</v>
      </c>
      <c r="L44" s="205">
        <f>Dat_01!K197</f>
        <v>27279.3</v>
      </c>
      <c r="M44" s="205">
        <f>Dat_01!L197</f>
        <v>26982.9</v>
      </c>
      <c r="N44" s="205">
        <f>Dat_01!M197</f>
        <v>40973.4</v>
      </c>
      <c r="O44" s="205">
        <f>Dat_01!N197</f>
        <v>31863.1</v>
      </c>
      <c r="P44" s="205">
        <f>Dat_01!O197</f>
        <v>63478.2</v>
      </c>
    </row>
    <row r="45" spans="2:16">
      <c r="B45" s="101" t="s">
        <v>92</v>
      </c>
      <c r="C45" s="101" t="str">
        <f>Dat_01!B198</f>
        <v>Internacionales</v>
      </c>
      <c r="D45" s="205">
        <f>Dat_01!C198</f>
        <v>0</v>
      </c>
      <c r="E45" s="205">
        <f>Dat_01!D198</f>
        <v>0</v>
      </c>
      <c r="F45" s="205">
        <f>Dat_01!E198</f>
        <v>0</v>
      </c>
      <c r="G45" s="205">
        <f>Dat_01!F198</f>
        <v>0</v>
      </c>
      <c r="H45" s="205">
        <f>Dat_01!G198</f>
        <v>0</v>
      </c>
      <c r="I45" s="205">
        <f>Dat_01!H198</f>
        <v>0</v>
      </c>
      <c r="J45" s="205">
        <f>Dat_01!I198</f>
        <v>0</v>
      </c>
      <c r="K45" s="205">
        <f>Dat_01!J198</f>
        <v>0</v>
      </c>
      <c r="L45" s="205">
        <f>Dat_01!K198</f>
        <v>0</v>
      </c>
      <c r="M45" s="205">
        <f>Dat_01!L198</f>
        <v>0</v>
      </c>
      <c r="N45" s="205">
        <f>Dat_01!M198</f>
        <v>0</v>
      </c>
      <c r="O45" s="205">
        <f>Dat_01!N198</f>
        <v>0</v>
      </c>
      <c r="P45" s="205">
        <f>Dat_01!O198</f>
        <v>0</v>
      </c>
    </row>
    <row r="46" spans="2:16">
      <c r="B46" s="101" t="s">
        <v>92</v>
      </c>
      <c r="C46" s="101" t="str">
        <f>Dat_01!B199</f>
        <v>Nuclear</v>
      </c>
      <c r="D46" s="205">
        <f>Dat_01!C199</f>
        <v>0</v>
      </c>
      <c r="E46" s="205">
        <f>Dat_01!D199</f>
        <v>385.9</v>
      </c>
      <c r="F46" s="205">
        <f>Dat_01!E199</f>
        <v>0</v>
      </c>
      <c r="G46" s="205">
        <f>Dat_01!F199</f>
        <v>318.8</v>
      </c>
      <c r="H46" s="205">
        <f>Dat_01!G199</f>
        <v>17.7</v>
      </c>
      <c r="I46" s="205">
        <f>Dat_01!H199</f>
        <v>213.6</v>
      </c>
      <c r="J46" s="205">
        <f>Dat_01!I199</f>
        <v>296.5</v>
      </c>
      <c r="K46" s="205">
        <f>Dat_01!J199</f>
        <v>0</v>
      </c>
      <c r="L46" s="205">
        <f>Dat_01!K199</f>
        <v>289.10000000000002</v>
      </c>
      <c r="M46" s="205">
        <f>Dat_01!L199</f>
        <v>0</v>
      </c>
      <c r="N46" s="205">
        <f>Dat_01!M199</f>
        <v>0.4</v>
      </c>
      <c r="O46" s="205">
        <f>Dat_01!N199</f>
        <v>841.6</v>
      </c>
      <c r="P46" s="205">
        <f>Dat_01!O199</f>
        <v>410.2</v>
      </c>
    </row>
    <row r="47" spans="2:16">
      <c r="B47" s="101" t="s">
        <v>92</v>
      </c>
      <c r="C47" s="101" t="str">
        <f>Dat_01!B200</f>
        <v>Otras Renovables</v>
      </c>
      <c r="D47" s="205">
        <f>Dat_01!C200</f>
        <v>0</v>
      </c>
      <c r="E47" s="205">
        <f>Dat_01!D200</f>
        <v>10.9</v>
      </c>
      <c r="F47" s="205">
        <f>Dat_01!E200</f>
        <v>0</v>
      </c>
      <c r="G47" s="205">
        <f>Dat_01!F200</f>
        <v>0</v>
      </c>
      <c r="H47" s="205">
        <f>Dat_01!G200</f>
        <v>0</v>
      </c>
      <c r="I47" s="205">
        <f>Dat_01!H200</f>
        <v>0</v>
      </c>
      <c r="J47" s="205">
        <f>Dat_01!I200</f>
        <v>0</v>
      </c>
      <c r="K47" s="205">
        <f>Dat_01!J200</f>
        <v>0</v>
      </c>
      <c r="L47" s="205">
        <f>Dat_01!K200</f>
        <v>9.8000000000000007</v>
      </c>
      <c r="M47" s="205">
        <f>Dat_01!L200</f>
        <v>3.2</v>
      </c>
      <c r="N47" s="205">
        <f>Dat_01!M200</f>
        <v>0</v>
      </c>
      <c r="O47" s="205">
        <f>Dat_01!N200</f>
        <v>0.5</v>
      </c>
      <c r="P47" s="205">
        <f>Dat_01!O200</f>
        <v>0</v>
      </c>
    </row>
    <row r="48" spans="2:16">
      <c r="B48" s="101" t="s">
        <v>92</v>
      </c>
      <c r="C48" s="101" t="str">
        <f>Dat_01!B201</f>
        <v>Residuos no Renovables</v>
      </c>
      <c r="D48" s="205">
        <f>Dat_01!C201</f>
        <v>0</v>
      </c>
      <c r="E48" s="205">
        <f>Dat_01!D201</f>
        <v>0</v>
      </c>
      <c r="F48" s="205">
        <f>Dat_01!E201</f>
        <v>0</v>
      </c>
      <c r="G48" s="205">
        <f>Dat_01!F201</f>
        <v>0</v>
      </c>
      <c r="H48" s="205">
        <f>Dat_01!G201</f>
        <v>0</v>
      </c>
      <c r="I48" s="205">
        <f>Dat_01!H201</f>
        <v>0</v>
      </c>
      <c r="J48" s="205">
        <f>Dat_01!I201</f>
        <v>0</v>
      </c>
      <c r="K48" s="205">
        <f>Dat_01!J201</f>
        <v>0</v>
      </c>
      <c r="L48" s="205">
        <f>Dat_01!K201</f>
        <v>0</v>
      </c>
      <c r="M48" s="205">
        <f>Dat_01!L201</f>
        <v>0</v>
      </c>
      <c r="N48" s="205">
        <f>Dat_01!M201</f>
        <v>0</v>
      </c>
      <c r="O48" s="205">
        <f>Dat_01!N201</f>
        <v>0</v>
      </c>
      <c r="P48" s="205">
        <f>Dat_01!O201</f>
        <v>0</v>
      </c>
    </row>
    <row r="49" spans="2:16">
      <c r="B49" s="101" t="s">
        <v>92</v>
      </c>
      <c r="C49" s="101" t="str">
        <f>Dat_01!B202</f>
        <v>Solar fotovoltaica</v>
      </c>
      <c r="D49" s="205">
        <f>Dat_01!C202</f>
        <v>17.100000000000001</v>
      </c>
      <c r="E49" s="205">
        <f>Dat_01!D202</f>
        <v>5.9</v>
      </c>
      <c r="F49" s="205">
        <f>Dat_01!E202</f>
        <v>10.4</v>
      </c>
      <c r="G49" s="205">
        <f>Dat_01!F202</f>
        <v>38.299999999999997</v>
      </c>
      <c r="H49" s="205">
        <f>Dat_01!G202</f>
        <v>25.2</v>
      </c>
      <c r="I49" s="205">
        <f>Dat_01!H202</f>
        <v>36.799999999999997</v>
      </c>
      <c r="J49" s="205">
        <f>Dat_01!I202</f>
        <v>8.5</v>
      </c>
      <c r="K49" s="205">
        <f>Dat_01!J202</f>
        <v>64.2</v>
      </c>
      <c r="L49" s="205">
        <f>Dat_01!K202</f>
        <v>66.3</v>
      </c>
      <c r="M49" s="205">
        <f>Dat_01!L202</f>
        <v>196.7</v>
      </c>
      <c r="N49" s="205">
        <f>Dat_01!M202</f>
        <v>312.60000000000002</v>
      </c>
      <c r="O49" s="205">
        <f>Dat_01!N202</f>
        <v>182.8</v>
      </c>
      <c r="P49" s="205">
        <f>Dat_01!O202</f>
        <v>271.2</v>
      </c>
    </row>
    <row r="50" spans="2:16">
      <c r="B50" s="101" t="s">
        <v>92</v>
      </c>
      <c r="C50" s="101" t="str">
        <f>Dat_01!B203</f>
        <v>Solar térmica</v>
      </c>
      <c r="D50" s="205">
        <f>Dat_01!C203</f>
        <v>0</v>
      </c>
      <c r="E50" s="205">
        <f>Dat_01!D203</f>
        <v>0</v>
      </c>
      <c r="F50" s="205">
        <f>Dat_01!E203</f>
        <v>1.5</v>
      </c>
      <c r="G50" s="205">
        <f>Dat_01!F203</f>
        <v>0</v>
      </c>
      <c r="H50" s="205">
        <f>Dat_01!G203</f>
        <v>0.8</v>
      </c>
      <c r="I50" s="205">
        <f>Dat_01!H203</f>
        <v>55.4</v>
      </c>
      <c r="J50" s="205">
        <f>Dat_01!I203</f>
        <v>116.7</v>
      </c>
      <c r="K50" s="205">
        <f>Dat_01!J203</f>
        <v>91.5</v>
      </c>
      <c r="L50" s="205">
        <f>Dat_01!K203</f>
        <v>68.7</v>
      </c>
      <c r="M50" s="205">
        <f>Dat_01!L203</f>
        <v>36.5</v>
      </c>
      <c r="N50" s="205">
        <f>Dat_01!M203</f>
        <v>0.3</v>
      </c>
      <c r="O50" s="205">
        <f>Dat_01!N203</f>
        <v>0</v>
      </c>
      <c r="P50" s="205">
        <f>Dat_01!O203</f>
        <v>0</v>
      </c>
    </row>
    <row r="51" spans="2:16">
      <c r="B51" s="101" t="s">
        <v>92</v>
      </c>
      <c r="C51" s="101" t="str">
        <f>Dat_01!B204</f>
        <v>Turbinación bombeo</v>
      </c>
      <c r="D51" s="205">
        <f>Dat_01!C204</f>
        <v>25434.1</v>
      </c>
      <c r="E51" s="205">
        <f>Dat_01!D204</f>
        <v>26182.799999999999</v>
      </c>
      <c r="F51" s="205">
        <f>Dat_01!E204</f>
        <v>31341</v>
      </c>
      <c r="G51" s="205">
        <f>Dat_01!F204</f>
        <v>31952</v>
      </c>
      <c r="H51" s="205">
        <f>Dat_01!G204</f>
        <v>36356.300000000003</v>
      </c>
      <c r="I51" s="205">
        <f>Dat_01!H204</f>
        <v>41268.199999999997</v>
      </c>
      <c r="J51" s="205">
        <f>Dat_01!I204</f>
        <v>20483.599999999999</v>
      </c>
      <c r="K51" s="205">
        <f>Dat_01!J204</f>
        <v>23170.3</v>
      </c>
      <c r="L51" s="205">
        <f>Dat_01!K204</f>
        <v>24660.799999999999</v>
      </c>
      <c r="M51" s="205">
        <f>Dat_01!L204</f>
        <v>40197.4</v>
      </c>
      <c r="N51" s="205">
        <f>Dat_01!M204</f>
        <v>24114.5</v>
      </c>
      <c r="O51" s="205">
        <f>Dat_01!N204</f>
        <v>53138.5</v>
      </c>
      <c r="P51" s="205">
        <f>Dat_01!O204</f>
        <v>43785.9</v>
      </c>
    </row>
    <row r="52" spans="2:16">
      <c r="B52" s="101" t="s">
        <v>92</v>
      </c>
      <c r="C52" s="193" t="str">
        <f>Dat_01!B205</f>
        <v>Total</v>
      </c>
      <c r="D52" s="206">
        <f>Dat_01!C205</f>
        <v>160903</v>
      </c>
      <c r="E52" s="206">
        <f>Dat_01!D205</f>
        <v>96984.6</v>
      </c>
      <c r="F52" s="206">
        <f>Dat_01!E205</f>
        <v>159639.5</v>
      </c>
      <c r="G52" s="206">
        <f>Dat_01!F205</f>
        <v>207429.5</v>
      </c>
      <c r="H52" s="206">
        <f>Dat_01!G205</f>
        <v>181246.2</v>
      </c>
      <c r="I52" s="206">
        <f>Dat_01!H205</f>
        <v>194116.1</v>
      </c>
      <c r="J52" s="206">
        <f>Dat_01!I205</f>
        <v>168853.7</v>
      </c>
      <c r="K52" s="206">
        <f>Dat_01!J205</f>
        <v>231177.9</v>
      </c>
      <c r="L52" s="206">
        <f>Dat_01!K205</f>
        <v>184737.8</v>
      </c>
      <c r="M52" s="206">
        <f>Dat_01!L205</f>
        <v>179105.5</v>
      </c>
      <c r="N52" s="206">
        <f>Dat_01!M205</f>
        <v>213265.3</v>
      </c>
      <c r="O52" s="206">
        <f>Dat_01!N205</f>
        <v>182143.9</v>
      </c>
      <c r="P52" s="206">
        <f>Dat_01!O205</f>
        <v>194973.1</v>
      </c>
    </row>
    <row r="53" spans="2:16">
      <c r="B53" s="101" t="s">
        <v>96</v>
      </c>
      <c r="C53" s="101" t="str">
        <f>Dat_01!B206</f>
        <v>Adquisición de Energía</v>
      </c>
      <c r="D53" s="205">
        <f>Dat_01!C206</f>
        <v>0</v>
      </c>
      <c r="E53" s="205">
        <f>Dat_01!D206</f>
        <v>0</v>
      </c>
      <c r="F53" s="205">
        <f>Dat_01!E206</f>
        <v>0</v>
      </c>
      <c r="G53" s="205">
        <f>Dat_01!F206</f>
        <v>0</v>
      </c>
      <c r="H53" s="205">
        <f>Dat_01!G206</f>
        <v>0</v>
      </c>
      <c r="I53" s="205">
        <f>Dat_01!H206</f>
        <v>0</v>
      </c>
      <c r="J53" s="205">
        <f>Dat_01!I206</f>
        <v>0</v>
      </c>
      <c r="K53" s="205">
        <f>Dat_01!J206</f>
        <v>0</v>
      </c>
      <c r="L53" s="205">
        <f>Dat_01!K206</f>
        <v>0</v>
      </c>
      <c r="M53" s="205">
        <f>Dat_01!L206</f>
        <v>0</v>
      </c>
      <c r="N53" s="205">
        <f>Dat_01!M206</f>
        <v>0</v>
      </c>
      <c r="O53" s="205">
        <f>Dat_01!N206</f>
        <v>0</v>
      </c>
      <c r="P53" s="205">
        <f>Dat_01!O206</f>
        <v>0</v>
      </c>
    </row>
    <row r="54" spans="2:16">
      <c r="B54" s="101" t="s">
        <v>96</v>
      </c>
      <c r="C54" s="101" t="str">
        <f>Dat_01!B207</f>
        <v>Carbón</v>
      </c>
      <c r="D54" s="205">
        <f>Dat_01!C207</f>
        <v>832.3</v>
      </c>
      <c r="E54" s="205">
        <f>Dat_01!D207</f>
        <v>290.89999999999998</v>
      </c>
      <c r="F54" s="205">
        <f>Dat_01!E207</f>
        <v>194.4</v>
      </c>
      <c r="G54" s="205">
        <f>Dat_01!F207</f>
        <v>497</v>
      </c>
      <c r="H54" s="205">
        <f>Dat_01!G207</f>
        <v>816.9</v>
      </c>
      <c r="I54" s="205">
        <f>Dat_01!H207</f>
        <v>125</v>
      </c>
      <c r="J54" s="205">
        <f>Dat_01!I207</f>
        <v>443.9</v>
      </c>
      <c r="K54" s="205">
        <f>Dat_01!J207</f>
        <v>358.3</v>
      </c>
      <c r="L54" s="205">
        <f>Dat_01!K207</f>
        <v>432.5</v>
      </c>
      <c r="M54" s="205">
        <f>Dat_01!L207</f>
        <v>1070.2</v>
      </c>
      <c r="N54" s="205">
        <f>Dat_01!M207</f>
        <v>341.2</v>
      </c>
      <c r="O54" s="205">
        <f>Dat_01!N207</f>
        <v>2480.9</v>
      </c>
      <c r="P54" s="205">
        <f>Dat_01!O207</f>
        <v>386</v>
      </c>
    </row>
    <row r="55" spans="2:16">
      <c r="B55" s="101" t="s">
        <v>96</v>
      </c>
      <c r="C55" s="101" t="str">
        <f>Dat_01!B208</f>
        <v>Ciclo Combinado</v>
      </c>
      <c r="D55" s="205">
        <f>Dat_01!C208</f>
        <v>13484.6</v>
      </c>
      <c r="E55" s="205">
        <f>Dat_01!D208</f>
        <v>5414.7</v>
      </c>
      <c r="F55" s="205">
        <f>Dat_01!E208</f>
        <v>14321.4</v>
      </c>
      <c r="G55" s="205">
        <f>Dat_01!F208</f>
        <v>13326.5</v>
      </c>
      <c r="H55" s="205">
        <f>Dat_01!G208</f>
        <v>15964.6</v>
      </c>
      <c r="I55" s="205">
        <f>Dat_01!H208</f>
        <v>13328.5</v>
      </c>
      <c r="J55" s="205">
        <f>Dat_01!I208</f>
        <v>12856.8</v>
      </c>
      <c r="K55" s="205">
        <f>Dat_01!J208</f>
        <v>13944.3</v>
      </c>
      <c r="L55" s="205">
        <f>Dat_01!K208</f>
        <v>33982.699999999997</v>
      </c>
      <c r="M55" s="205">
        <f>Dat_01!L208</f>
        <v>25365.1</v>
      </c>
      <c r="N55" s="205">
        <f>Dat_01!M208</f>
        <v>15370.8</v>
      </c>
      <c r="O55" s="205">
        <f>Dat_01!N208</f>
        <v>17195.400000000001</v>
      </c>
      <c r="P55" s="205">
        <f>Dat_01!O208</f>
        <v>28336.3</v>
      </c>
    </row>
    <row r="56" spans="2:16">
      <c r="B56" s="101" t="s">
        <v>96</v>
      </c>
      <c r="C56" s="101" t="str">
        <f>Dat_01!B209</f>
        <v>Cogeneración</v>
      </c>
      <c r="D56" s="205">
        <f>Dat_01!C209</f>
        <v>1323.9</v>
      </c>
      <c r="E56" s="205">
        <f>Dat_01!D209</f>
        <v>1039.3</v>
      </c>
      <c r="F56" s="205">
        <f>Dat_01!E209</f>
        <v>355</v>
      </c>
      <c r="G56" s="205">
        <f>Dat_01!F209</f>
        <v>103.5</v>
      </c>
      <c r="H56" s="205">
        <f>Dat_01!G209</f>
        <v>58.1</v>
      </c>
      <c r="I56" s="205">
        <f>Dat_01!H209</f>
        <v>122.6</v>
      </c>
      <c r="J56" s="205">
        <f>Dat_01!I209</f>
        <v>51.4</v>
      </c>
      <c r="K56" s="205">
        <f>Dat_01!J209</f>
        <v>52.2</v>
      </c>
      <c r="L56" s="205">
        <f>Dat_01!K209</f>
        <v>275.39999999999998</v>
      </c>
      <c r="M56" s="205">
        <f>Dat_01!L209</f>
        <v>217.3</v>
      </c>
      <c r="N56" s="205">
        <f>Dat_01!M209</f>
        <v>69.7</v>
      </c>
      <c r="O56" s="205">
        <f>Dat_01!N209</f>
        <v>77</v>
      </c>
      <c r="P56" s="205">
        <f>Dat_01!O209</f>
        <v>129.1</v>
      </c>
    </row>
    <row r="57" spans="2:16">
      <c r="B57" s="101" t="s">
        <v>96</v>
      </c>
      <c r="C57" s="101" t="str">
        <f>Dat_01!B210</f>
        <v>Consumo Bombeo</v>
      </c>
      <c r="D57" s="205">
        <f>Dat_01!C210</f>
        <v>46979.1</v>
      </c>
      <c r="E57" s="205">
        <f>Dat_01!D210</f>
        <v>71354.3</v>
      </c>
      <c r="F57" s="205">
        <f>Dat_01!E210</f>
        <v>86677.9</v>
      </c>
      <c r="G57" s="205">
        <f>Dat_01!F210</f>
        <v>34613.599999999999</v>
      </c>
      <c r="H57" s="205">
        <f>Dat_01!G210</f>
        <v>64569.1</v>
      </c>
      <c r="I57" s="205">
        <f>Dat_01!H210</f>
        <v>23776.9</v>
      </c>
      <c r="J57" s="205">
        <f>Dat_01!I210</f>
        <v>35974.9</v>
      </c>
      <c r="K57" s="205">
        <f>Dat_01!J210</f>
        <v>26551</v>
      </c>
      <c r="L57" s="205">
        <f>Dat_01!K210</f>
        <v>34800.5</v>
      </c>
      <c r="M57" s="205">
        <f>Dat_01!L210</f>
        <v>37208.400000000001</v>
      </c>
      <c r="N57" s="205">
        <f>Dat_01!M210</f>
        <v>27553.5</v>
      </c>
      <c r="O57" s="205">
        <f>Dat_01!N210</f>
        <v>34176.699999999997</v>
      </c>
      <c r="P57" s="205">
        <f>Dat_01!O210</f>
        <v>40939.4</v>
      </c>
    </row>
    <row r="58" spans="2:16">
      <c r="B58" s="101" t="s">
        <v>96</v>
      </c>
      <c r="C58" s="101" t="str">
        <f>Dat_01!B211</f>
        <v>Enlace Península Baleares</v>
      </c>
      <c r="D58" s="205">
        <f>Dat_01!C211</f>
        <v>0</v>
      </c>
      <c r="E58" s="205">
        <f>Dat_01!D211</f>
        <v>0</v>
      </c>
      <c r="F58" s="205">
        <f>Dat_01!E211</f>
        <v>0</v>
      </c>
      <c r="G58" s="205">
        <f>Dat_01!F211</f>
        <v>0</v>
      </c>
      <c r="H58" s="205">
        <f>Dat_01!G211</f>
        <v>0</v>
      </c>
      <c r="I58" s="205">
        <f>Dat_01!H211</f>
        <v>0</v>
      </c>
      <c r="J58" s="205">
        <f>Dat_01!I211</f>
        <v>0</v>
      </c>
      <c r="K58" s="205">
        <f>Dat_01!J211</f>
        <v>0</v>
      </c>
      <c r="L58" s="205">
        <f>Dat_01!K211</f>
        <v>0</v>
      </c>
      <c r="M58" s="205">
        <f>Dat_01!L211</f>
        <v>0</v>
      </c>
      <c r="N58" s="205">
        <f>Dat_01!M211</f>
        <v>0</v>
      </c>
      <c r="O58" s="205">
        <f>Dat_01!N211</f>
        <v>0</v>
      </c>
      <c r="P58" s="205">
        <f>Dat_01!O211</f>
        <v>0</v>
      </c>
    </row>
    <row r="59" spans="2:16">
      <c r="B59" s="101" t="s">
        <v>96</v>
      </c>
      <c r="C59" s="101" t="str">
        <f>Dat_01!B212</f>
        <v>Eólica</v>
      </c>
      <c r="D59" s="205">
        <f>Dat_01!C212</f>
        <v>42652.2</v>
      </c>
      <c r="E59" s="205">
        <f>Dat_01!D212</f>
        <v>62656.2</v>
      </c>
      <c r="F59" s="205">
        <f>Dat_01!E212</f>
        <v>19233.2</v>
      </c>
      <c r="G59" s="205">
        <f>Dat_01!F212</f>
        <v>11466.2</v>
      </c>
      <c r="H59" s="205">
        <f>Dat_01!G212</f>
        <v>40532</v>
      </c>
      <c r="I59" s="205">
        <f>Dat_01!H212</f>
        <v>9080.2999999999993</v>
      </c>
      <c r="J59" s="205">
        <f>Dat_01!I212</f>
        <v>5660.8</v>
      </c>
      <c r="K59" s="205">
        <f>Dat_01!J212</f>
        <v>2617.8000000000002</v>
      </c>
      <c r="L59" s="205">
        <f>Dat_01!K212</f>
        <v>8747.7000000000007</v>
      </c>
      <c r="M59" s="205">
        <f>Dat_01!L212</f>
        <v>34251.5</v>
      </c>
      <c r="N59" s="205">
        <f>Dat_01!M212</f>
        <v>13534.1</v>
      </c>
      <c r="O59" s="205">
        <f>Dat_01!N212</f>
        <v>21256.400000000001</v>
      </c>
      <c r="P59" s="205">
        <f>Dat_01!O212</f>
        <v>6907.9</v>
      </c>
    </row>
    <row r="60" spans="2:16">
      <c r="B60" s="101" t="s">
        <v>96</v>
      </c>
      <c r="C60" s="101" t="str">
        <f>Dat_01!B213</f>
        <v>Fuel-Gas</v>
      </c>
      <c r="D60" s="205">
        <f>Dat_01!C213</f>
        <v>0</v>
      </c>
      <c r="E60" s="205">
        <f>Dat_01!D213</f>
        <v>0</v>
      </c>
      <c r="F60" s="205">
        <f>Dat_01!E213</f>
        <v>0</v>
      </c>
      <c r="G60" s="205">
        <f>Dat_01!F213</f>
        <v>0</v>
      </c>
      <c r="H60" s="205">
        <f>Dat_01!G213</f>
        <v>0</v>
      </c>
      <c r="I60" s="205">
        <f>Dat_01!H213</f>
        <v>0</v>
      </c>
      <c r="J60" s="205">
        <f>Dat_01!I213</f>
        <v>0</v>
      </c>
      <c r="K60" s="205">
        <f>Dat_01!J213</f>
        <v>0</v>
      </c>
      <c r="L60" s="205">
        <f>Dat_01!K213</f>
        <v>0</v>
      </c>
      <c r="M60" s="205">
        <f>Dat_01!L213</f>
        <v>0</v>
      </c>
      <c r="N60" s="205">
        <f>Dat_01!M213</f>
        <v>0</v>
      </c>
      <c r="O60" s="205">
        <f>Dat_01!N213</f>
        <v>0</v>
      </c>
      <c r="P60" s="205">
        <f>Dat_01!O213</f>
        <v>0</v>
      </c>
    </row>
    <row r="61" spans="2:16">
      <c r="B61" s="101" t="s">
        <v>96</v>
      </c>
      <c r="C61" s="101" t="str">
        <f>Dat_01!B214</f>
        <v>Hidráulica</v>
      </c>
      <c r="D61" s="205">
        <f>Dat_01!C214</f>
        <v>27436.3</v>
      </c>
      <c r="E61" s="205">
        <f>Dat_01!D214</f>
        <v>15580.6</v>
      </c>
      <c r="F61" s="205">
        <f>Dat_01!E214</f>
        <v>20084.3</v>
      </c>
      <c r="G61" s="205">
        <f>Dat_01!F214</f>
        <v>29022</v>
      </c>
      <c r="H61" s="205">
        <f>Dat_01!G214</f>
        <v>33588.6</v>
      </c>
      <c r="I61" s="205">
        <f>Dat_01!H214</f>
        <v>27743.8</v>
      </c>
      <c r="J61" s="205">
        <f>Dat_01!I214</f>
        <v>6548.3</v>
      </c>
      <c r="K61" s="205">
        <f>Dat_01!J214</f>
        <v>4480.2</v>
      </c>
      <c r="L61" s="205">
        <f>Dat_01!K214</f>
        <v>20855.2</v>
      </c>
      <c r="M61" s="205">
        <f>Dat_01!L214</f>
        <v>4376.1000000000004</v>
      </c>
      <c r="N61" s="205">
        <f>Dat_01!M214</f>
        <v>10283</v>
      </c>
      <c r="O61" s="205">
        <f>Dat_01!N214</f>
        <v>6504.8</v>
      </c>
      <c r="P61" s="205">
        <f>Dat_01!O214</f>
        <v>4462.8999999999996</v>
      </c>
    </row>
    <row r="62" spans="2:16">
      <c r="B62" s="101" t="s">
        <v>96</v>
      </c>
      <c r="C62" s="101" t="str">
        <f>Dat_01!B215</f>
        <v>Internacionales</v>
      </c>
      <c r="D62" s="205">
        <f>Dat_01!C215</f>
        <v>0</v>
      </c>
      <c r="E62" s="205">
        <f>Dat_01!D215</f>
        <v>0</v>
      </c>
      <c r="F62" s="205">
        <f>Dat_01!E215</f>
        <v>0</v>
      </c>
      <c r="G62" s="205">
        <f>Dat_01!F215</f>
        <v>0</v>
      </c>
      <c r="H62" s="205">
        <f>Dat_01!G215</f>
        <v>0</v>
      </c>
      <c r="I62" s="205">
        <f>Dat_01!H215</f>
        <v>0</v>
      </c>
      <c r="J62" s="205">
        <f>Dat_01!I215</f>
        <v>0</v>
      </c>
      <c r="K62" s="205">
        <f>Dat_01!J215</f>
        <v>0</v>
      </c>
      <c r="L62" s="205">
        <f>Dat_01!K215</f>
        <v>0</v>
      </c>
      <c r="M62" s="205">
        <f>Dat_01!L215</f>
        <v>0</v>
      </c>
      <c r="N62" s="205">
        <f>Dat_01!M215</f>
        <v>0</v>
      </c>
      <c r="O62" s="205">
        <f>Dat_01!N215</f>
        <v>0</v>
      </c>
      <c r="P62" s="205">
        <f>Dat_01!O215</f>
        <v>0</v>
      </c>
    </row>
    <row r="63" spans="2:16">
      <c r="B63" s="101" t="s">
        <v>96</v>
      </c>
      <c r="C63" s="101" t="str">
        <f>Dat_01!B216</f>
        <v>Nuclear</v>
      </c>
      <c r="D63" s="205">
        <f>Dat_01!C216</f>
        <v>0</v>
      </c>
      <c r="E63" s="205">
        <f>Dat_01!D216</f>
        <v>0.4</v>
      </c>
      <c r="F63" s="205">
        <f>Dat_01!E216</f>
        <v>0</v>
      </c>
      <c r="G63" s="205">
        <f>Dat_01!F216</f>
        <v>198.3</v>
      </c>
      <c r="H63" s="205">
        <f>Dat_01!G216</f>
        <v>234.5</v>
      </c>
      <c r="I63" s="205">
        <f>Dat_01!H216</f>
        <v>576.9</v>
      </c>
      <c r="J63" s="205">
        <f>Dat_01!I216</f>
        <v>0</v>
      </c>
      <c r="K63" s="205">
        <f>Dat_01!J216</f>
        <v>0</v>
      </c>
      <c r="L63" s="205">
        <f>Dat_01!K216</f>
        <v>39.1</v>
      </c>
      <c r="M63" s="205">
        <f>Dat_01!L216</f>
        <v>0</v>
      </c>
      <c r="N63" s="205">
        <f>Dat_01!M216</f>
        <v>0</v>
      </c>
      <c r="O63" s="205">
        <f>Dat_01!N216</f>
        <v>0</v>
      </c>
      <c r="P63" s="205">
        <f>Dat_01!O216</f>
        <v>34.4</v>
      </c>
    </row>
    <row r="64" spans="2:16">
      <c r="B64" s="101" t="s">
        <v>96</v>
      </c>
      <c r="C64" s="101" t="str">
        <f>Dat_01!B217</f>
        <v>Otras Renovables</v>
      </c>
      <c r="D64" s="205">
        <f>Dat_01!C217</f>
        <v>295.89999999999998</v>
      </c>
      <c r="E64" s="205">
        <f>Dat_01!D217</f>
        <v>126.6</v>
      </c>
      <c r="F64" s="205">
        <f>Dat_01!E217</f>
        <v>0</v>
      </c>
      <c r="G64" s="205">
        <f>Dat_01!F217</f>
        <v>0</v>
      </c>
      <c r="H64" s="205">
        <f>Dat_01!G217</f>
        <v>0</v>
      </c>
      <c r="I64" s="205">
        <f>Dat_01!H217</f>
        <v>0</v>
      </c>
      <c r="J64" s="205">
        <f>Dat_01!I217</f>
        <v>0</v>
      </c>
      <c r="K64" s="205">
        <f>Dat_01!J217</f>
        <v>0</v>
      </c>
      <c r="L64" s="205">
        <f>Dat_01!K217</f>
        <v>0</v>
      </c>
      <c r="M64" s="205">
        <f>Dat_01!L217</f>
        <v>0</v>
      </c>
      <c r="N64" s="205">
        <f>Dat_01!M217</f>
        <v>0</v>
      </c>
      <c r="O64" s="205">
        <f>Dat_01!N217</f>
        <v>19.8</v>
      </c>
      <c r="P64" s="205">
        <f>Dat_01!O217</f>
        <v>0</v>
      </c>
    </row>
    <row r="65" spans="2:16">
      <c r="B65" s="101" t="s">
        <v>96</v>
      </c>
      <c r="C65" s="101" t="str">
        <f>Dat_01!B218</f>
        <v>Residuos no Renovables</v>
      </c>
      <c r="D65" s="205">
        <f>Dat_01!C218</f>
        <v>0</v>
      </c>
      <c r="E65" s="205">
        <f>Dat_01!D218</f>
        <v>0</v>
      </c>
      <c r="F65" s="205">
        <f>Dat_01!E218</f>
        <v>0</v>
      </c>
      <c r="G65" s="205">
        <f>Dat_01!F218</f>
        <v>0</v>
      </c>
      <c r="H65" s="205">
        <f>Dat_01!G218</f>
        <v>0</v>
      </c>
      <c r="I65" s="205">
        <f>Dat_01!H218</f>
        <v>0</v>
      </c>
      <c r="J65" s="205">
        <f>Dat_01!I218</f>
        <v>0</v>
      </c>
      <c r="K65" s="205">
        <f>Dat_01!J218</f>
        <v>0</v>
      </c>
      <c r="L65" s="205">
        <f>Dat_01!K218</f>
        <v>0</v>
      </c>
      <c r="M65" s="205">
        <f>Dat_01!L218</f>
        <v>0</v>
      </c>
      <c r="N65" s="205">
        <f>Dat_01!M218</f>
        <v>0</v>
      </c>
      <c r="O65" s="205">
        <f>Dat_01!N218</f>
        <v>0</v>
      </c>
      <c r="P65" s="205">
        <f>Dat_01!O218</f>
        <v>0</v>
      </c>
    </row>
    <row r="66" spans="2:16">
      <c r="B66" s="101" t="s">
        <v>96</v>
      </c>
      <c r="C66" s="101" t="str">
        <f>Dat_01!B219</f>
        <v>Solar fotovoltaica</v>
      </c>
      <c r="D66" s="205">
        <f>Dat_01!C219</f>
        <v>0.1</v>
      </c>
      <c r="E66" s="205">
        <f>Dat_01!D219</f>
        <v>22.2</v>
      </c>
      <c r="F66" s="205">
        <f>Dat_01!E219</f>
        <v>0</v>
      </c>
      <c r="G66" s="205">
        <f>Dat_01!F219</f>
        <v>0</v>
      </c>
      <c r="H66" s="205">
        <f>Dat_01!G219</f>
        <v>1.7</v>
      </c>
      <c r="I66" s="205">
        <f>Dat_01!H219</f>
        <v>0.4</v>
      </c>
      <c r="J66" s="205">
        <f>Dat_01!I219</f>
        <v>0</v>
      </c>
      <c r="K66" s="205">
        <f>Dat_01!J219</f>
        <v>4.2</v>
      </c>
      <c r="L66" s="205">
        <f>Dat_01!K219</f>
        <v>120.5</v>
      </c>
      <c r="M66" s="205">
        <f>Dat_01!L219</f>
        <v>112</v>
      </c>
      <c r="N66" s="205">
        <f>Dat_01!M219</f>
        <v>11.9</v>
      </c>
      <c r="O66" s="205">
        <f>Dat_01!N219</f>
        <v>89.3</v>
      </c>
      <c r="P66" s="205">
        <f>Dat_01!O219</f>
        <v>32.700000000000003</v>
      </c>
    </row>
    <row r="67" spans="2:16">
      <c r="B67" s="101" t="s">
        <v>96</v>
      </c>
      <c r="C67" s="101" t="str">
        <f>Dat_01!B220</f>
        <v>Solar térmica</v>
      </c>
      <c r="D67" s="205">
        <f>Dat_01!C220</f>
        <v>23.4</v>
      </c>
      <c r="E67" s="205">
        <f>Dat_01!D220</f>
        <v>105.4</v>
      </c>
      <c r="F67" s="205">
        <f>Dat_01!E220</f>
        <v>61.3</v>
      </c>
      <c r="G67" s="205">
        <f>Dat_01!F220</f>
        <v>0</v>
      </c>
      <c r="H67" s="205">
        <f>Dat_01!G220</f>
        <v>9.5</v>
      </c>
      <c r="I67" s="205">
        <f>Dat_01!H220</f>
        <v>1</v>
      </c>
      <c r="J67" s="205">
        <f>Dat_01!I220</f>
        <v>36.299999999999997</v>
      </c>
      <c r="K67" s="205">
        <f>Dat_01!J220</f>
        <v>28.6</v>
      </c>
      <c r="L67" s="205">
        <f>Dat_01!K220</f>
        <v>16.899999999999999</v>
      </c>
      <c r="M67" s="205">
        <f>Dat_01!L220</f>
        <v>4.5</v>
      </c>
      <c r="N67" s="205">
        <f>Dat_01!M220</f>
        <v>0</v>
      </c>
      <c r="O67" s="205">
        <f>Dat_01!N220</f>
        <v>0</v>
      </c>
      <c r="P67" s="205">
        <f>Dat_01!O220</f>
        <v>0</v>
      </c>
    </row>
    <row r="68" spans="2:16">
      <c r="B68" s="101" t="s">
        <v>96</v>
      </c>
      <c r="C68" s="101" t="str">
        <f>Dat_01!B221</f>
        <v>Turbinación bombeo</v>
      </c>
      <c r="D68" s="205">
        <f>Dat_01!C221</f>
        <v>17846.5</v>
      </c>
      <c r="E68" s="205">
        <f>Dat_01!D221</f>
        <v>21298.3</v>
      </c>
      <c r="F68" s="205">
        <f>Dat_01!E221</f>
        <v>15895.8</v>
      </c>
      <c r="G68" s="205">
        <f>Dat_01!F221</f>
        <v>13686.1</v>
      </c>
      <c r="H68" s="205">
        <f>Dat_01!G221</f>
        <v>9651</v>
      </c>
      <c r="I68" s="205">
        <f>Dat_01!H221</f>
        <v>3658.6</v>
      </c>
      <c r="J68" s="205">
        <f>Dat_01!I221</f>
        <v>3239.8</v>
      </c>
      <c r="K68" s="205">
        <f>Dat_01!J221</f>
        <v>4317.3999999999996</v>
      </c>
      <c r="L68" s="205">
        <f>Dat_01!K221</f>
        <v>2614.1</v>
      </c>
      <c r="M68" s="205">
        <f>Dat_01!L221</f>
        <v>8448.7000000000007</v>
      </c>
      <c r="N68" s="205">
        <f>Dat_01!M221</f>
        <v>3198.9</v>
      </c>
      <c r="O68" s="205">
        <f>Dat_01!N221</f>
        <v>7509.1</v>
      </c>
      <c r="P68" s="205">
        <f>Dat_01!O221</f>
        <v>5705.4</v>
      </c>
    </row>
    <row r="69" spans="2:16">
      <c r="B69" s="208" t="s">
        <v>96</v>
      </c>
      <c r="C69" s="193" t="str">
        <f>Dat_01!B222</f>
        <v>Total</v>
      </c>
      <c r="D69" s="206">
        <f>Dat_01!C222</f>
        <v>150874.29999999999</v>
      </c>
      <c r="E69" s="206">
        <f>Dat_01!D222</f>
        <v>177888.9</v>
      </c>
      <c r="F69" s="206">
        <f>Dat_01!E222</f>
        <v>156823.29999999999</v>
      </c>
      <c r="G69" s="206">
        <f>Dat_01!F222</f>
        <v>102913.2</v>
      </c>
      <c r="H69" s="206">
        <f>Dat_01!G222</f>
        <v>165426</v>
      </c>
      <c r="I69" s="206">
        <f>Dat_01!H222</f>
        <v>78414</v>
      </c>
      <c r="J69" s="206">
        <f>Dat_01!I222</f>
        <v>64812.2</v>
      </c>
      <c r="K69" s="206">
        <f>Dat_01!J222</f>
        <v>52354</v>
      </c>
      <c r="L69" s="206">
        <f>Dat_01!K222</f>
        <v>101884.6</v>
      </c>
      <c r="M69" s="206">
        <f>Dat_01!L222</f>
        <v>111053.8</v>
      </c>
      <c r="N69" s="206">
        <f>Dat_01!M222</f>
        <v>70363.100000000006</v>
      </c>
      <c r="O69" s="206">
        <f>Dat_01!N222</f>
        <v>89309.4</v>
      </c>
      <c r="P69" s="206">
        <f>Dat_01!O222</f>
        <v>86934.1</v>
      </c>
    </row>
    <row r="70" spans="2:16">
      <c r="B70" s="303" t="s">
        <v>238</v>
      </c>
      <c r="C70" s="208"/>
      <c r="D70" s="201">
        <f>Dat_01!C368</f>
        <v>86.006234750100006</v>
      </c>
      <c r="E70" s="201">
        <f>Dat_01!D368</f>
        <v>41.9035054127</v>
      </c>
      <c r="F70" s="201">
        <f>Dat_01!E368</f>
        <v>57.959635929699999</v>
      </c>
      <c r="G70" s="201">
        <f>Dat_01!F368</f>
        <v>79.950315022699996</v>
      </c>
      <c r="H70" s="201">
        <f>Dat_01!G368</f>
        <v>86.127029421900005</v>
      </c>
      <c r="I70" s="201">
        <f>Dat_01!H368</f>
        <v>95.533937782600006</v>
      </c>
      <c r="J70" s="201">
        <f>Dat_01!I368</f>
        <v>103.90109947249999</v>
      </c>
      <c r="K70" s="201">
        <f>Dat_01!J368</f>
        <v>114.935433015</v>
      </c>
      <c r="L70" s="201">
        <f>Dat_01!K368</f>
        <v>170.42318296529999</v>
      </c>
      <c r="M70" s="201">
        <f>Dat_01!L368</f>
        <v>240.80786999840001</v>
      </c>
      <c r="N70" s="201">
        <f>Dat_01!M368</f>
        <v>225.2778716931</v>
      </c>
      <c r="O70" s="201">
        <f>Dat_01!N368</f>
        <v>286.1835643686</v>
      </c>
      <c r="P70" s="201">
        <f>Dat_01!O368</f>
        <v>246.2468363072</v>
      </c>
    </row>
    <row r="71" spans="2:16" ht="15" customHeight="1">
      <c r="B71" s="304"/>
      <c r="C71" s="209"/>
      <c r="D71" s="202">
        <f>Dat_01!C377</f>
        <v>33.638654760999998</v>
      </c>
      <c r="E71" s="202">
        <f>Dat_01!D377</f>
        <v>10.9593926761</v>
      </c>
      <c r="F71" s="202">
        <f>Dat_01!E377</f>
        <v>24.629684491999999</v>
      </c>
      <c r="G71" s="202">
        <f>Dat_01!F377</f>
        <v>47.342571020999998</v>
      </c>
      <c r="H71" s="202">
        <f>Dat_01!G377</f>
        <v>38.491493961000003</v>
      </c>
      <c r="I71" s="202">
        <f>Dat_01!H377</f>
        <v>60.991801974099999</v>
      </c>
      <c r="J71" s="202">
        <f>Dat_01!I377</f>
        <v>68.295439593200001</v>
      </c>
      <c r="K71" s="202">
        <f>Dat_01!J377</f>
        <v>77.530400542500004</v>
      </c>
      <c r="L71" s="202">
        <f>Dat_01!K377</f>
        <v>117.7213000787</v>
      </c>
      <c r="M71" s="202">
        <f>Dat_01!L377</f>
        <v>94.849630089200005</v>
      </c>
      <c r="N71" s="202">
        <f>Dat_01!M377</f>
        <v>129.243849404</v>
      </c>
      <c r="O71" s="202">
        <f>Dat_01!N377</f>
        <v>124.5650575415</v>
      </c>
      <c r="P71" s="202">
        <f>Dat_01!O377</f>
        <v>152.43601567159999</v>
      </c>
    </row>
    <row r="72" spans="2:16">
      <c r="B72" s="195"/>
      <c r="C72" s="195"/>
      <c r="D72" s="195"/>
      <c r="E72" s="195"/>
      <c r="F72" s="195"/>
      <c r="G72" s="195"/>
      <c r="H72" s="195"/>
      <c r="I72" s="195"/>
      <c r="J72" s="195"/>
      <c r="K72" s="195"/>
      <c r="L72" s="195"/>
      <c r="M72" s="195"/>
      <c r="N72" s="195"/>
      <c r="O72" s="195"/>
      <c r="P72" s="195"/>
    </row>
    <row r="73" spans="2:16">
      <c r="B73" s="195"/>
      <c r="C73" s="195"/>
      <c r="D73" s="195"/>
      <c r="E73" s="195"/>
      <c r="F73" s="195"/>
      <c r="G73" s="195"/>
      <c r="H73" s="195"/>
      <c r="I73" s="195"/>
      <c r="J73" s="195"/>
      <c r="K73" s="195"/>
      <c r="L73" s="195"/>
      <c r="M73" s="195"/>
      <c r="N73" s="101"/>
      <c r="O73" s="184"/>
      <c r="P73" s="101" t="s">
        <v>220</v>
      </c>
    </row>
    <row r="74" spans="2:16">
      <c r="B74" s="195"/>
      <c r="C74" s="195"/>
      <c r="D74" s="195"/>
      <c r="E74" s="195"/>
      <c r="F74" s="195"/>
      <c r="G74" s="195"/>
      <c r="H74" s="195"/>
      <c r="I74" s="195"/>
      <c r="J74" s="195"/>
      <c r="K74" s="195"/>
      <c r="L74" s="195"/>
      <c r="M74" s="195"/>
      <c r="N74" s="101" t="s">
        <v>233</v>
      </c>
      <c r="O74" s="184"/>
      <c r="P74" s="183">
        <f>(P52-D52)/D52</f>
        <v>0.21174309988005199</v>
      </c>
    </row>
    <row r="75" spans="2:16">
      <c r="B75" s="195"/>
      <c r="C75" s="195"/>
      <c r="D75" s="195"/>
      <c r="E75" s="195"/>
      <c r="F75" s="195"/>
      <c r="G75" s="195"/>
      <c r="H75" s="195"/>
      <c r="I75" s="195"/>
      <c r="J75" s="195"/>
      <c r="K75" s="195"/>
      <c r="L75" s="195"/>
      <c r="M75" s="195"/>
      <c r="N75" s="101" t="s">
        <v>234</v>
      </c>
      <c r="O75" s="184"/>
      <c r="P75" s="183">
        <f>(P69-D69)/D69</f>
        <v>-0.42379782375129488</v>
      </c>
    </row>
    <row r="76" spans="2:16">
      <c r="B76" s="195"/>
      <c r="C76" s="195"/>
      <c r="D76" s="195"/>
      <c r="E76" s="195"/>
      <c r="F76" s="195"/>
      <c r="G76" s="195"/>
      <c r="H76" s="195"/>
      <c r="I76" s="195"/>
      <c r="J76" s="195"/>
      <c r="K76" s="195"/>
      <c r="L76" s="195"/>
      <c r="M76" s="195"/>
      <c r="N76" s="101" t="s">
        <v>235</v>
      </c>
      <c r="O76" s="184"/>
      <c r="P76" s="183">
        <f>((P52+P69)-(D52+D69))/(D52+D69)</f>
        <v>-9.5805884520778067E-2</v>
      </c>
    </row>
    <row r="77" spans="2:16">
      <c r="B77" s="195"/>
      <c r="C77" s="195"/>
      <c r="D77" s="195"/>
      <c r="E77" s="195"/>
      <c r="F77" s="195"/>
      <c r="G77" s="195"/>
      <c r="H77" s="195"/>
      <c r="I77" s="195"/>
      <c r="J77" s="195"/>
      <c r="K77" s="195"/>
      <c r="L77" s="195"/>
      <c r="M77" s="195"/>
      <c r="N77" s="101" t="s">
        <v>231</v>
      </c>
      <c r="O77" s="184"/>
      <c r="P77" s="183">
        <f>(P70-D70)/D70</f>
        <v>1.863127737456425</v>
      </c>
    </row>
    <row r="78" spans="2:16">
      <c r="B78" s="195"/>
      <c r="C78" s="195"/>
      <c r="D78" s="195"/>
      <c r="E78" s="195"/>
      <c r="F78" s="195"/>
      <c r="G78" s="195"/>
      <c r="H78" s="195"/>
      <c r="I78" s="195"/>
      <c r="J78" s="195"/>
      <c r="K78" s="195"/>
      <c r="L78" s="195"/>
      <c r="M78" s="195"/>
      <c r="N78" s="101" t="s">
        <v>232</v>
      </c>
      <c r="O78" s="184"/>
      <c r="P78" s="183">
        <f>(P71-D71)/D71</f>
        <v>3.5315728810990188</v>
      </c>
    </row>
    <row r="80" spans="2:16">
      <c r="B80" s="98" t="s">
        <v>264</v>
      </c>
    </row>
    <row r="81" spans="2:16">
      <c r="B81" s="100"/>
      <c r="C81" s="100" t="s">
        <v>30</v>
      </c>
      <c r="D81" s="100" t="s">
        <v>239</v>
      </c>
      <c r="E81" s="100" t="s">
        <v>239</v>
      </c>
      <c r="F81" s="100" t="s">
        <v>239</v>
      </c>
      <c r="G81" s="100" t="s">
        <v>239</v>
      </c>
      <c r="H81" s="100" t="s">
        <v>239</v>
      </c>
      <c r="I81" s="100" t="s">
        <v>239</v>
      </c>
      <c r="J81" s="100" t="s">
        <v>239</v>
      </c>
      <c r="K81" s="100" t="s">
        <v>239</v>
      </c>
      <c r="L81" s="100" t="s">
        <v>239</v>
      </c>
      <c r="M81" s="100" t="s">
        <v>239</v>
      </c>
      <c r="N81" s="100" t="s">
        <v>239</v>
      </c>
      <c r="O81" s="100" t="s">
        <v>239</v>
      </c>
      <c r="P81" s="100" t="s">
        <v>239</v>
      </c>
    </row>
    <row r="82" spans="2:16">
      <c r="B82" s="100"/>
      <c r="C82" s="100" t="s">
        <v>214</v>
      </c>
      <c r="D82" s="100" t="str">
        <f>Dat_01!C235</f>
        <v>2021 Enero</v>
      </c>
      <c r="E82" s="100" t="str">
        <f>Dat_01!D235</f>
        <v>2021 Febrero</v>
      </c>
      <c r="F82" s="100" t="str">
        <f>Dat_01!E235</f>
        <v>2021 Marzo</v>
      </c>
      <c r="G82" s="100" t="str">
        <f>Dat_01!F235</f>
        <v>2021 Abril</v>
      </c>
      <c r="H82" s="100" t="str">
        <f>Dat_01!G235</f>
        <v>2021 Mayo</v>
      </c>
      <c r="I82" s="100" t="str">
        <f>Dat_01!H235</f>
        <v>2021 Junio</v>
      </c>
      <c r="J82" s="100" t="str">
        <f>Dat_01!I235</f>
        <v>2021 Julio</v>
      </c>
      <c r="K82" s="100" t="str">
        <f>Dat_01!J235</f>
        <v>2021 Agosto</v>
      </c>
      <c r="L82" s="100" t="str">
        <f>Dat_01!K235</f>
        <v>2021 Septiembre</v>
      </c>
      <c r="M82" s="100" t="str">
        <f>Dat_01!L235</f>
        <v>2021 Octubre</v>
      </c>
      <c r="N82" s="100" t="str">
        <f>Dat_01!M235</f>
        <v>2021 Noviembre</v>
      </c>
      <c r="O82" s="100" t="str">
        <f>Dat_01!N235</f>
        <v>2021 Diciembre</v>
      </c>
      <c r="P82" s="100" t="str">
        <f>Dat_01!O235</f>
        <v>2022 Enero</v>
      </c>
    </row>
    <row r="83" spans="2:16">
      <c r="B83" s="100" t="s">
        <v>218</v>
      </c>
      <c r="C83" s="100" t="s">
        <v>219</v>
      </c>
      <c r="D83" s="100" t="str">
        <f>MID(D82,6,1)</f>
        <v>E</v>
      </c>
      <c r="E83" s="100" t="str">
        <f t="shared" ref="E83:P83" si="4">MID(E82,6,1)</f>
        <v>F</v>
      </c>
      <c r="F83" s="100" t="str">
        <f t="shared" si="4"/>
        <v>M</v>
      </c>
      <c r="G83" s="100" t="str">
        <f t="shared" si="4"/>
        <v>A</v>
      </c>
      <c r="H83" s="100" t="str">
        <f t="shared" si="4"/>
        <v>M</v>
      </c>
      <c r="I83" s="100" t="str">
        <f t="shared" si="4"/>
        <v>J</v>
      </c>
      <c r="J83" s="100" t="str">
        <f t="shared" si="4"/>
        <v>J</v>
      </c>
      <c r="K83" s="100" t="str">
        <f t="shared" si="4"/>
        <v>A</v>
      </c>
      <c r="L83" s="100" t="str">
        <f t="shared" si="4"/>
        <v>S</v>
      </c>
      <c r="M83" s="100" t="str">
        <f t="shared" si="4"/>
        <v>O</v>
      </c>
      <c r="N83" s="100" t="str">
        <f t="shared" si="4"/>
        <v>N</v>
      </c>
      <c r="O83" s="100" t="str">
        <f t="shared" si="4"/>
        <v>D</v>
      </c>
      <c r="P83" s="100" t="str">
        <f t="shared" si="4"/>
        <v>E</v>
      </c>
    </row>
    <row r="84" spans="2:16">
      <c r="B84" s="101" t="s">
        <v>92</v>
      </c>
      <c r="C84" s="101" t="str">
        <f>Dat_01!B237</f>
        <v>Carbón</v>
      </c>
      <c r="D84" s="207">
        <f>Dat_01!C237</f>
        <v>7444</v>
      </c>
      <c r="E84" s="207">
        <f>Dat_01!D237</f>
        <v>80.8</v>
      </c>
      <c r="F84" s="207">
        <f>Dat_01!E237</f>
        <v>40</v>
      </c>
      <c r="G84" s="207">
        <f>Dat_01!F237</f>
        <v>1272</v>
      </c>
      <c r="H84" s="207">
        <f>Dat_01!G237</f>
        <v>1218</v>
      </c>
      <c r="I84" s="207">
        <f>Dat_01!H237</f>
        <v>2620</v>
      </c>
      <c r="J84" s="207">
        <f>Dat_01!I237</f>
        <v>3730</v>
      </c>
      <c r="K84" s="207">
        <f>Dat_01!J237</f>
        <v>2239.6</v>
      </c>
      <c r="L84" s="207">
        <f>Dat_01!K237</f>
        <v>2513.5</v>
      </c>
      <c r="M84" s="207">
        <f>Dat_01!L237</f>
        <v>6371.9</v>
      </c>
      <c r="N84" s="207">
        <f>Dat_01!M237</f>
        <v>7794.3</v>
      </c>
      <c r="O84" s="207">
        <f>Dat_01!N237</f>
        <v>7972.1</v>
      </c>
      <c r="P84" s="207">
        <f>Dat_01!O237</f>
        <v>6570.2</v>
      </c>
    </row>
    <row r="85" spans="2:16">
      <c r="B85" s="101" t="s">
        <v>92</v>
      </c>
      <c r="C85" s="101" t="str">
        <f>Dat_01!B238</f>
        <v>Ciclo Combinado</v>
      </c>
      <c r="D85" s="207">
        <f>Dat_01!C238</f>
        <v>126506.9</v>
      </c>
      <c r="E85" s="207">
        <f>Dat_01!D238</f>
        <v>24841.5</v>
      </c>
      <c r="F85" s="207">
        <f>Dat_01!E238</f>
        <v>48251</v>
      </c>
      <c r="G85" s="207">
        <f>Dat_01!F238</f>
        <v>90553.5</v>
      </c>
      <c r="H85" s="207">
        <f>Dat_01!G238</f>
        <v>65765</v>
      </c>
      <c r="I85" s="207">
        <f>Dat_01!H238</f>
        <v>105576.1</v>
      </c>
      <c r="J85" s="207">
        <f>Dat_01!I238</f>
        <v>121314.8</v>
      </c>
      <c r="K85" s="207">
        <f>Dat_01!J238</f>
        <v>223722.7</v>
      </c>
      <c r="L85" s="207">
        <f>Dat_01!K238</f>
        <v>130905.60000000001</v>
      </c>
      <c r="M85" s="207">
        <f>Dat_01!L238</f>
        <v>113565.2</v>
      </c>
      <c r="N85" s="207">
        <f>Dat_01!M238</f>
        <v>260394.8</v>
      </c>
      <c r="O85" s="207">
        <f>Dat_01!N238</f>
        <v>169088.6</v>
      </c>
      <c r="P85" s="207">
        <f>Dat_01!O238</f>
        <v>126286.6</v>
      </c>
    </row>
    <row r="86" spans="2:16">
      <c r="B86" s="101" t="s">
        <v>92</v>
      </c>
      <c r="C86" s="101" t="str">
        <f>Dat_01!B239</f>
        <v>Cogeneración</v>
      </c>
      <c r="D86" s="207">
        <f>Dat_01!C239</f>
        <v>6978.7</v>
      </c>
      <c r="E86" s="207">
        <f>Dat_01!D239</f>
        <v>1216</v>
      </c>
      <c r="F86" s="207">
        <f>Dat_01!E239</f>
        <v>165.1</v>
      </c>
      <c r="G86" s="207">
        <f>Dat_01!F239</f>
        <v>28</v>
      </c>
      <c r="H86" s="207">
        <f>Dat_01!G239</f>
        <v>840.7</v>
      </c>
      <c r="I86" s="207">
        <f>Dat_01!H239</f>
        <v>5187.8</v>
      </c>
      <c r="J86" s="207">
        <f>Dat_01!I239</f>
        <v>5025</v>
      </c>
      <c r="K86" s="207">
        <f>Dat_01!J239</f>
        <v>5084</v>
      </c>
      <c r="L86" s="207">
        <f>Dat_01!K239</f>
        <v>1691.3</v>
      </c>
      <c r="M86" s="207">
        <f>Dat_01!L239</f>
        <v>2101.6</v>
      </c>
      <c r="N86" s="207">
        <f>Dat_01!M239</f>
        <v>4761.8999999999996</v>
      </c>
      <c r="O86" s="207">
        <f>Dat_01!N239</f>
        <v>4082.4</v>
      </c>
      <c r="P86" s="207">
        <f>Dat_01!O239</f>
        <v>3356.8</v>
      </c>
    </row>
    <row r="87" spans="2:16">
      <c r="B87" s="101" t="s">
        <v>92</v>
      </c>
      <c r="C87" s="101" t="str">
        <f>Dat_01!B240</f>
        <v>Consumo Bombeo</v>
      </c>
      <c r="D87" s="207">
        <f>Dat_01!C240</f>
        <v>20802.599999999999</v>
      </c>
      <c r="E87" s="207">
        <f>Dat_01!D240</f>
        <v>17221.099999999999</v>
      </c>
      <c r="F87" s="207">
        <f>Dat_01!E240</f>
        <v>23774.6</v>
      </c>
      <c r="G87" s="207">
        <f>Dat_01!F240</f>
        <v>11321.6</v>
      </c>
      <c r="H87" s="207">
        <f>Dat_01!G240</f>
        <v>8400.9</v>
      </c>
      <c r="I87" s="207">
        <f>Dat_01!H240</f>
        <v>1697</v>
      </c>
      <c r="J87" s="207">
        <f>Dat_01!I240</f>
        <v>3708.5</v>
      </c>
      <c r="K87" s="207">
        <f>Dat_01!J240</f>
        <v>13015.2</v>
      </c>
      <c r="L87" s="207">
        <f>Dat_01!K240</f>
        <v>4917</v>
      </c>
      <c r="M87" s="207">
        <f>Dat_01!L240</f>
        <v>7861</v>
      </c>
      <c r="N87" s="207">
        <f>Dat_01!M240</f>
        <v>8865.5</v>
      </c>
      <c r="O87" s="207">
        <f>Dat_01!N240</f>
        <v>14411.7</v>
      </c>
      <c r="P87" s="207">
        <f>Dat_01!O240</f>
        <v>13716.6</v>
      </c>
    </row>
    <row r="88" spans="2:16">
      <c r="B88" s="101" t="s">
        <v>92</v>
      </c>
      <c r="C88" s="101" t="str">
        <f>Dat_01!B241</f>
        <v>Eólica</v>
      </c>
      <c r="D88" s="207">
        <f>Dat_01!C241</f>
        <v>13159.6</v>
      </c>
      <c r="E88" s="207">
        <f>Dat_01!D241</f>
        <v>13957</v>
      </c>
      <c r="F88" s="207">
        <f>Dat_01!E241</f>
        <v>9419.7999999999993</v>
      </c>
      <c r="G88" s="207">
        <f>Dat_01!F241</f>
        <v>7721.9</v>
      </c>
      <c r="H88" s="207">
        <f>Dat_01!G241</f>
        <v>9305.2000000000007</v>
      </c>
      <c r="I88" s="207">
        <f>Dat_01!H241</f>
        <v>12843.8</v>
      </c>
      <c r="J88" s="207">
        <f>Dat_01!I241</f>
        <v>12369.9</v>
      </c>
      <c r="K88" s="207">
        <f>Dat_01!J241</f>
        <v>12519</v>
      </c>
      <c r="L88" s="207">
        <f>Dat_01!K241</f>
        <v>6277.1</v>
      </c>
      <c r="M88" s="207">
        <f>Dat_01!L241</f>
        <v>6030.7</v>
      </c>
      <c r="N88" s="207">
        <f>Dat_01!M241</f>
        <v>22305.4</v>
      </c>
      <c r="O88" s="207">
        <f>Dat_01!N241</f>
        <v>14056.2</v>
      </c>
      <c r="P88" s="207">
        <f>Dat_01!O241</f>
        <v>18556.099999999999</v>
      </c>
    </row>
    <row r="89" spans="2:16">
      <c r="B89" s="101" t="s">
        <v>92</v>
      </c>
      <c r="C89" s="101" t="str">
        <f>Dat_01!B242</f>
        <v>Hidráulica</v>
      </c>
      <c r="D89" s="207">
        <f>Dat_01!C242</f>
        <v>68727.899999999994</v>
      </c>
      <c r="E89" s="207">
        <f>Dat_01!D242</f>
        <v>13816.2</v>
      </c>
      <c r="F89" s="207">
        <f>Dat_01!E242</f>
        <v>36880.199999999997</v>
      </c>
      <c r="G89" s="207">
        <f>Dat_01!F242</f>
        <v>31277.5</v>
      </c>
      <c r="H89" s="207">
        <f>Dat_01!G242</f>
        <v>13438.2</v>
      </c>
      <c r="I89" s="207">
        <f>Dat_01!H242</f>
        <v>33778.9</v>
      </c>
      <c r="J89" s="207">
        <f>Dat_01!I242</f>
        <v>30030.1</v>
      </c>
      <c r="K89" s="207">
        <f>Dat_01!J242</f>
        <v>25553.5</v>
      </c>
      <c r="L89" s="207">
        <f>Dat_01!K242</f>
        <v>8332.4</v>
      </c>
      <c r="M89" s="207">
        <f>Dat_01!L242</f>
        <v>12656.8</v>
      </c>
      <c r="N89" s="207">
        <f>Dat_01!M242</f>
        <v>37370.699999999997</v>
      </c>
      <c r="O89" s="207">
        <f>Dat_01!N242</f>
        <v>37289.699999999997</v>
      </c>
      <c r="P89" s="207">
        <f>Dat_01!O242</f>
        <v>44421.9</v>
      </c>
    </row>
    <row r="90" spans="2:16">
      <c r="B90" s="101" t="s">
        <v>92</v>
      </c>
      <c r="C90" s="101" t="str">
        <f>Dat_01!B243</f>
        <v>Nuclear</v>
      </c>
      <c r="D90" s="207">
        <f>Dat_01!C243</f>
        <v>0</v>
      </c>
      <c r="E90" s="207">
        <f>Dat_01!D243</f>
        <v>518.29999999999995</v>
      </c>
      <c r="F90" s="207">
        <f>Dat_01!E243</f>
        <v>0</v>
      </c>
      <c r="G90" s="207">
        <f>Dat_01!F243</f>
        <v>355</v>
      </c>
      <c r="H90" s="207">
        <f>Dat_01!G243</f>
        <v>143</v>
      </c>
      <c r="I90" s="207">
        <f>Dat_01!H243</f>
        <v>555</v>
      </c>
      <c r="J90" s="207">
        <f>Dat_01!I243</f>
        <v>967.6</v>
      </c>
      <c r="K90" s="207">
        <f>Dat_01!J243</f>
        <v>0</v>
      </c>
      <c r="L90" s="207">
        <f>Dat_01!K243</f>
        <v>87</v>
      </c>
      <c r="M90" s="207">
        <f>Dat_01!L243</f>
        <v>0</v>
      </c>
      <c r="N90" s="207">
        <f>Dat_01!M243</f>
        <v>0</v>
      </c>
      <c r="O90" s="207">
        <f>Dat_01!N243</f>
        <v>1050</v>
      </c>
      <c r="P90" s="207">
        <f>Dat_01!O243</f>
        <v>42</v>
      </c>
    </row>
    <row r="91" spans="2:16">
      <c r="B91" s="101" t="s">
        <v>92</v>
      </c>
      <c r="C91" s="101" t="str">
        <f>Dat_01!B244</f>
        <v>Solar fotovoltaica</v>
      </c>
      <c r="D91" s="207">
        <f>Dat_01!C244</f>
        <v>0</v>
      </c>
      <c r="E91" s="207">
        <f>Dat_01!D244</f>
        <v>0</v>
      </c>
      <c r="F91" s="207">
        <f>Dat_01!E244</f>
        <v>0</v>
      </c>
      <c r="G91" s="207">
        <f>Dat_01!F244</f>
        <v>0</v>
      </c>
      <c r="H91" s="207">
        <f>Dat_01!G244</f>
        <v>0</v>
      </c>
      <c r="I91" s="207">
        <f>Dat_01!H244</f>
        <v>0</v>
      </c>
      <c r="J91" s="207">
        <f>Dat_01!I244</f>
        <v>0</v>
      </c>
      <c r="K91" s="207">
        <f>Dat_01!J244</f>
        <v>57</v>
      </c>
      <c r="L91" s="207">
        <f>Dat_01!K244</f>
        <v>26</v>
      </c>
      <c r="M91" s="207">
        <f>Dat_01!L244</f>
        <v>469.9</v>
      </c>
      <c r="N91" s="207">
        <f>Dat_01!M244</f>
        <v>1030.5999999999999</v>
      </c>
      <c r="O91" s="207">
        <f>Dat_01!N244</f>
        <v>631.20000000000005</v>
      </c>
      <c r="P91" s="207">
        <f>Dat_01!O244</f>
        <v>928.6</v>
      </c>
    </row>
    <row r="92" spans="2:16">
      <c r="B92" s="101" t="s">
        <v>92</v>
      </c>
      <c r="C92" s="101" t="str">
        <f>Dat_01!B245</f>
        <v>Turbinación bombeo</v>
      </c>
      <c r="D92" s="207">
        <f>Dat_01!C245</f>
        <v>32220.5</v>
      </c>
      <c r="E92" s="207">
        <f>Dat_01!D245</f>
        <v>16521.3</v>
      </c>
      <c r="F92" s="207">
        <f>Dat_01!E245</f>
        <v>10235.700000000001</v>
      </c>
      <c r="G92" s="207">
        <f>Dat_01!F245</f>
        <v>5841.7</v>
      </c>
      <c r="H92" s="207">
        <f>Dat_01!G245</f>
        <v>12740.8</v>
      </c>
      <c r="I92" s="207">
        <f>Dat_01!H245</f>
        <v>19791.2</v>
      </c>
      <c r="J92" s="207">
        <f>Dat_01!I245</f>
        <v>7404.9</v>
      </c>
      <c r="K92" s="207">
        <f>Dat_01!J245</f>
        <v>16638.900000000001</v>
      </c>
      <c r="L92" s="207">
        <f>Dat_01!K245</f>
        <v>5316.1</v>
      </c>
      <c r="M92" s="207">
        <f>Dat_01!L245</f>
        <v>12892.5</v>
      </c>
      <c r="N92" s="207">
        <f>Dat_01!M245</f>
        <v>14816.5</v>
      </c>
      <c r="O92" s="207">
        <f>Dat_01!N245</f>
        <v>33677.5</v>
      </c>
      <c r="P92" s="207">
        <f>Dat_01!O245</f>
        <v>30908.5</v>
      </c>
    </row>
    <row r="93" spans="2:16">
      <c r="B93" s="101" t="s">
        <v>92</v>
      </c>
      <c r="C93" s="101"/>
      <c r="D93" s="207"/>
      <c r="E93" s="207"/>
      <c r="F93" s="207"/>
      <c r="G93" s="207"/>
      <c r="H93" s="207"/>
      <c r="I93" s="207"/>
      <c r="J93" s="207"/>
      <c r="K93" s="207"/>
      <c r="L93" s="207"/>
      <c r="M93" s="207"/>
      <c r="N93" s="207"/>
      <c r="O93" s="207"/>
      <c r="P93" s="207"/>
    </row>
    <row r="94" spans="2:16">
      <c r="B94" s="101" t="s">
        <v>92</v>
      </c>
      <c r="C94" s="193" t="str">
        <f>Dat_01!B246</f>
        <v>Total</v>
      </c>
      <c r="D94" s="206">
        <f>Dat_01!C246</f>
        <v>275840.2</v>
      </c>
      <c r="E94" s="206">
        <f>Dat_01!D246</f>
        <v>88172.2</v>
      </c>
      <c r="F94" s="206">
        <f>Dat_01!E246</f>
        <v>128766.39999999999</v>
      </c>
      <c r="G94" s="206">
        <f>Dat_01!F246</f>
        <v>148371.20000000001</v>
      </c>
      <c r="H94" s="206">
        <f>Dat_01!G246</f>
        <v>111851.8</v>
      </c>
      <c r="I94" s="206">
        <f>Dat_01!H246</f>
        <v>182049.8</v>
      </c>
      <c r="J94" s="206">
        <f>Dat_01!I246</f>
        <v>184550.8</v>
      </c>
      <c r="K94" s="206">
        <f>Dat_01!J246</f>
        <v>298829.90000000002</v>
      </c>
      <c r="L94" s="206">
        <f>Dat_01!K246</f>
        <v>160066</v>
      </c>
      <c r="M94" s="206">
        <f>Dat_01!L246</f>
        <v>161949.6</v>
      </c>
      <c r="N94" s="206">
        <f>Dat_01!M246</f>
        <v>357339.7</v>
      </c>
      <c r="O94" s="206">
        <f>Dat_01!N246</f>
        <v>282259.40000000002</v>
      </c>
      <c r="P94" s="206">
        <f>Dat_01!O246</f>
        <v>244787.3</v>
      </c>
    </row>
    <row r="95" spans="2:16">
      <c r="B95" s="101" t="s">
        <v>96</v>
      </c>
      <c r="C95" s="101" t="str">
        <f>Dat_01!B247</f>
        <v>Adquisición de Energía</v>
      </c>
      <c r="D95" s="207">
        <f>Dat_01!C247</f>
        <v>0</v>
      </c>
      <c r="E95" s="207">
        <f>Dat_01!D247</f>
        <v>0</v>
      </c>
      <c r="F95" s="207">
        <f>Dat_01!E247</f>
        <v>0</v>
      </c>
      <c r="G95" s="207">
        <f>Dat_01!F247</f>
        <v>0</v>
      </c>
      <c r="H95" s="207">
        <f>Dat_01!G247</f>
        <v>0</v>
      </c>
      <c r="I95" s="207">
        <f>Dat_01!H247</f>
        <v>0</v>
      </c>
      <c r="J95" s="207">
        <f>Dat_01!I247</f>
        <v>0</v>
      </c>
      <c r="K95" s="207">
        <f>Dat_01!J247</f>
        <v>0</v>
      </c>
      <c r="L95" s="207">
        <f>Dat_01!K247</f>
        <v>0</v>
      </c>
      <c r="M95" s="207">
        <f>Dat_01!L247</f>
        <v>0</v>
      </c>
      <c r="N95" s="207">
        <f>Dat_01!M247</f>
        <v>2</v>
      </c>
      <c r="O95" s="207">
        <f>Dat_01!N247</f>
        <v>0</v>
      </c>
      <c r="P95" s="207">
        <f>Dat_01!O247</f>
        <v>0</v>
      </c>
    </row>
    <row r="96" spans="2:16">
      <c r="B96" s="101" t="s">
        <v>96</v>
      </c>
      <c r="C96" s="101" t="str">
        <f>Dat_01!B248</f>
        <v>Carbón</v>
      </c>
      <c r="D96" s="207">
        <f>Dat_01!C248</f>
        <v>624</v>
      </c>
      <c r="E96" s="207">
        <f>Dat_01!D248</f>
        <v>808.1</v>
      </c>
      <c r="F96" s="207">
        <f>Dat_01!E248</f>
        <v>396</v>
      </c>
      <c r="G96" s="207">
        <f>Dat_01!F248</f>
        <v>1103.0999999999999</v>
      </c>
      <c r="H96" s="207">
        <f>Dat_01!G248</f>
        <v>1344.9</v>
      </c>
      <c r="I96" s="207">
        <f>Dat_01!H248</f>
        <v>90</v>
      </c>
      <c r="J96" s="207">
        <f>Dat_01!I248</f>
        <v>1086</v>
      </c>
      <c r="K96" s="207">
        <f>Dat_01!J248</f>
        <v>269</v>
      </c>
      <c r="L96" s="207">
        <f>Dat_01!K248</f>
        <v>301</v>
      </c>
      <c r="M96" s="207">
        <f>Dat_01!L248</f>
        <v>986.1</v>
      </c>
      <c r="N96" s="207">
        <f>Dat_01!M248</f>
        <v>189.6</v>
      </c>
      <c r="O96" s="207">
        <f>Dat_01!N248</f>
        <v>1762.4</v>
      </c>
      <c r="P96" s="207">
        <f>Dat_01!O248</f>
        <v>431.9</v>
      </c>
    </row>
    <row r="97" spans="2:16">
      <c r="B97" s="101" t="s">
        <v>96</v>
      </c>
      <c r="C97" s="101" t="str">
        <f>Dat_01!B249</f>
        <v>Ciclo Combinado</v>
      </c>
      <c r="D97" s="207">
        <f>Dat_01!C249</f>
        <v>27339.5</v>
      </c>
      <c r="E97" s="207">
        <f>Dat_01!D249</f>
        <v>4084.4</v>
      </c>
      <c r="F97" s="207">
        <f>Dat_01!E249</f>
        <v>9167.2999999999993</v>
      </c>
      <c r="G97" s="207">
        <f>Dat_01!F249</f>
        <v>21109</v>
      </c>
      <c r="H97" s="207">
        <f>Dat_01!G249</f>
        <v>6857.9</v>
      </c>
      <c r="I97" s="207">
        <f>Dat_01!H249</f>
        <v>6301.3</v>
      </c>
      <c r="J97" s="207">
        <f>Dat_01!I249</f>
        <v>8544.1</v>
      </c>
      <c r="K97" s="207">
        <f>Dat_01!J249</f>
        <v>6775.2</v>
      </c>
      <c r="L97" s="207">
        <f>Dat_01!K249</f>
        <v>25336.5</v>
      </c>
      <c r="M97" s="207">
        <f>Dat_01!L249</f>
        <v>11670.3</v>
      </c>
      <c r="N97" s="207">
        <f>Dat_01!M249</f>
        <v>4322.2</v>
      </c>
      <c r="O97" s="207">
        <f>Dat_01!N249</f>
        <v>10092.700000000001</v>
      </c>
      <c r="P97" s="207">
        <f>Dat_01!O249</f>
        <v>16303.5</v>
      </c>
    </row>
    <row r="98" spans="2:16">
      <c r="B98" s="101" t="s">
        <v>96</v>
      </c>
      <c r="C98" s="101" t="str">
        <f>Dat_01!B250</f>
        <v>Cogeneración</v>
      </c>
      <c r="D98" s="207">
        <f>Dat_01!C250</f>
        <v>701.7</v>
      </c>
      <c r="E98" s="207">
        <f>Dat_01!D250</f>
        <v>363.4</v>
      </c>
      <c r="F98" s="207">
        <f>Dat_01!E250</f>
        <v>138</v>
      </c>
      <c r="G98" s="207">
        <f>Dat_01!F250</f>
        <v>36</v>
      </c>
      <c r="H98" s="207">
        <f>Dat_01!G250</f>
        <v>104.3</v>
      </c>
      <c r="I98" s="207">
        <f>Dat_01!H250</f>
        <v>611.9</v>
      </c>
      <c r="J98" s="207">
        <f>Dat_01!I250</f>
        <v>632.1</v>
      </c>
      <c r="K98" s="207">
        <f>Dat_01!J250</f>
        <v>801.3</v>
      </c>
      <c r="L98" s="207">
        <f>Dat_01!K250</f>
        <v>2018</v>
      </c>
      <c r="M98" s="207">
        <f>Dat_01!L250</f>
        <v>960.4</v>
      </c>
      <c r="N98" s="207">
        <f>Dat_01!M250</f>
        <v>260</v>
      </c>
      <c r="O98" s="207">
        <f>Dat_01!N250</f>
        <v>511</v>
      </c>
      <c r="P98" s="207">
        <f>Dat_01!O250</f>
        <v>603.6</v>
      </c>
    </row>
    <row r="99" spans="2:16">
      <c r="B99" s="101" t="s">
        <v>96</v>
      </c>
      <c r="C99" s="101" t="str">
        <f>Dat_01!B251</f>
        <v>Consumo Bombeo</v>
      </c>
      <c r="D99" s="207">
        <f>Dat_01!C251</f>
        <v>25190.3</v>
      </c>
      <c r="E99" s="207">
        <f>Dat_01!D251</f>
        <v>34203</v>
      </c>
      <c r="F99" s="207">
        <f>Dat_01!E251</f>
        <v>42992.3</v>
      </c>
      <c r="G99" s="207">
        <f>Dat_01!F251</f>
        <v>31247.5</v>
      </c>
      <c r="H99" s="207">
        <f>Dat_01!G251</f>
        <v>45409</v>
      </c>
      <c r="I99" s="207">
        <f>Dat_01!H251</f>
        <v>10829.5</v>
      </c>
      <c r="J99" s="207">
        <f>Dat_01!I251</f>
        <v>24300.1</v>
      </c>
      <c r="K99" s="207">
        <f>Dat_01!J251</f>
        <v>13110.1</v>
      </c>
      <c r="L99" s="207">
        <f>Dat_01!K251</f>
        <v>25298.1</v>
      </c>
      <c r="M99" s="207">
        <f>Dat_01!L251</f>
        <v>26699.8</v>
      </c>
      <c r="N99" s="207">
        <f>Dat_01!M251</f>
        <v>15706.7</v>
      </c>
      <c r="O99" s="207">
        <f>Dat_01!N251</f>
        <v>39879.1</v>
      </c>
      <c r="P99" s="207">
        <f>Dat_01!O251</f>
        <v>24652</v>
      </c>
    </row>
    <row r="100" spans="2:16">
      <c r="B100" s="101" t="s">
        <v>96</v>
      </c>
      <c r="C100" s="101" t="str">
        <f>Dat_01!B252</f>
        <v>Eólica</v>
      </c>
      <c r="D100" s="207">
        <f>Dat_01!C252</f>
        <v>34060.300000000003</v>
      </c>
      <c r="E100" s="207">
        <f>Dat_01!D252</f>
        <v>42936.4</v>
      </c>
      <c r="F100" s="207">
        <f>Dat_01!E252</f>
        <v>28996.799999999999</v>
      </c>
      <c r="G100" s="207">
        <f>Dat_01!F252</f>
        <v>25533.3</v>
      </c>
      <c r="H100" s="207">
        <f>Dat_01!G252</f>
        <v>35527.1</v>
      </c>
      <c r="I100" s="207">
        <f>Dat_01!H252</f>
        <v>13421.8</v>
      </c>
      <c r="J100" s="207">
        <f>Dat_01!I252</f>
        <v>17519.3</v>
      </c>
      <c r="K100" s="207">
        <f>Dat_01!J252</f>
        <v>13483.2</v>
      </c>
      <c r="L100" s="207">
        <f>Dat_01!K252</f>
        <v>23328.3</v>
      </c>
      <c r="M100" s="207">
        <f>Dat_01!L252</f>
        <v>34355.5</v>
      </c>
      <c r="N100" s="207">
        <f>Dat_01!M252</f>
        <v>21872.400000000001</v>
      </c>
      <c r="O100" s="207">
        <f>Dat_01!N252</f>
        <v>36105.199999999997</v>
      </c>
      <c r="P100" s="207">
        <f>Dat_01!O252</f>
        <v>12996.3</v>
      </c>
    </row>
    <row r="101" spans="2:16">
      <c r="B101" s="101" t="s">
        <v>96</v>
      </c>
      <c r="C101" s="101" t="str">
        <f>Dat_01!B253</f>
        <v>Hidráulica</v>
      </c>
      <c r="D101" s="207">
        <f>Dat_01!C253</f>
        <v>20705</v>
      </c>
      <c r="E101" s="207">
        <f>Dat_01!D253</f>
        <v>25722.799999999999</v>
      </c>
      <c r="F101" s="207">
        <f>Dat_01!E253</f>
        <v>12201.4</v>
      </c>
      <c r="G101" s="207">
        <f>Dat_01!F253</f>
        <v>23731.599999999999</v>
      </c>
      <c r="H101" s="207">
        <f>Dat_01!G253</f>
        <v>37248.6</v>
      </c>
      <c r="I101" s="207">
        <f>Dat_01!H253</f>
        <v>19673.599999999999</v>
      </c>
      <c r="J101" s="207">
        <f>Dat_01!I253</f>
        <v>8524.2000000000007</v>
      </c>
      <c r="K101" s="207">
        <f>Dat_01!J253</f>
        <v>5930</v>
      </c>
      <c r="L101" s="207">
        <f>Dat_01!K253</f>
        <v>28317.4</v>
      </c>
      <c r="M101" s="207">
        <f>Dat_01!L253</f>
        <v>6189.5</v>
      </c>
      <c r="N101" s="207">
        <f>Dat_01!M253</f>
        <v>7879.7</v>
      </c>
      <c r="O101" s="207">
        <f>Dat_01!N253</f>
        <v>8975.5</v>
      </c>
      <c r="P101" s="207">
        <f>Dat_01!O253</f>
        <v>2005.4</v>
      </c>
    </row>
    <row r="102" spans="2:16">
      <c r="B102" s="101" t="s">
        <v>96</v>
      </c>
      <c r="C102" s="101" t="str">
        <f>Dat_01!B254</f>
        <v>Nuclear</v>
      </c>
      <c r="D102" s="207">
        <f>Dat_01!C254</f>
        <v>0</v>
      </c>
      <c r="E102" s="207">
        <f>Dat_01!D254</f>
        <v>400</v>
      </c>
      <c r="F102" s="207">
        <f>Dat_01!E254</f>
        <v>0</v>
      </c>
      <c r="G102" s="207">
        <f>Dat_01!F254</f>
        <v>466.5</v>
      </c>
      <c r="H102" s="207">
        <f>Dat_01!G254</f>
        <v>1255</v>
      </c>
      <c r="I102" s="207">
        <f>Dat_01!H254</f>
        <v>1892.6</v>
      </c>
      <c r="J102" s="207">
        <f>Dat_01!I254</f>
        <v>0</v>
      </c>
      <c r="K102" s="207">
        <f>Dat_01!J254</f>
        <v>0</v>
      </c>
      <c r="L102" s="207">
        <f>Dat_01!K254</f>
        <v>441</v>
      </c>
      <c r="M102" s="207">
        <f>Dat_01!L254</f>
        <v>0</v>
      </c>
      <c r="N102" s="207">
        <f>Dat_01!M254</f>
        <v>0</v>
      </c>
      <c r="O102" s="207">
        <f>Dat_01!N254</f>
        <v>2589.8000000000002</v>
      </c>
      <c r="P102" s="207">
        <f>Dat_01!O254</f>
        <v>25</v>
      </c>
    </row>
    <row r="103" spans="2:16">
      <c r="B103" s="101" t="s">
        <v>96</v>
      </c>
      <c r="C103" s="101" t="str">
        <f>Dat_01!B255</f>
        <v>Solar fotovoltaica</v>
      </c>
      <c r="D103" s="207">
        <f>Dat_01!C255</f>
        <v>0</v>
      </c>
      <c r="E103" s="207">
        <f>Dat_01!D255</f>
        <v>0</v>
      </c>
      <c r="F103" s="207">
        <f>Dat_01!E255</f>
        <v>0</v>
      </c>
      <c r="G103" s="207">
        <f>Dat_01!F255</f>
        <v>0</v>
      </c>
      <c r="H103" s="207">
        <f>Dat_01!G255</f>
        <v>0</v>
      </c>
      <c r="I103" s="207">
        <f>Dat_01!H255</f>
        <v>0</v>
      </c>
      <c r="J103" s="207">
        <f>Dat_01!I255</f>
        <v>0</v>
      </c>
      <c r="K103" s="207">
        <f>Dat_01!J255</f>
        <v>58</v>
      </c>
      <c r="L103" s="207">
        <f>Dat_01!K255</f>
        <v>400.1</v>
      </c>
      <c r="M103" s="207">
        <f>Dat_01!L255</f>
        <v>824.2</v>
      </c>
      <c r="N103" s="207">
        <f>Dat_01!M255</f>
        <v>145</v>
      </c>
      <c r="O103" s="207">
        <f>Dat_01!N255</f>
        <v>902</v>
      </c>
      <c r="P103" s="207">
        <f>Dat_01!O255</f>
        <v>151.9</v>
      </c>
    </row>
    <row r="104" spans="2:16">
      <c r="B104" s="101" t="s">
        <v>96</v>
      </c>
      <c r="C104" s="101" t="str">
        <f>Dat_01!B256</f>
        <v>Turbinación bombeo</v>
      </c>
      <c r="D104" s="207">
        <f>Dat_01!C256</f>
        <v>15547.2</v>
      </c>
      <c r="E104" s="207">
        <f>Dat_01!D256</f>
        <v>18514.3</v>
      </c>
      <c r="F104" s="207">
        <f>Dat_01!E256</f>
        <v>11134.6</v>
      </c>
      <c r="G104" s="207">
        <f>Dat_01!F256</f>
        <v>13087.8</v>
      </c>
      <c r="H104" s="207">
        <f>Dat_01!G256</f>
        <v>5407.1</v>
      </c>
      <c r="I104" s="207">
        <f>Dat_01!H256</f>
        <v>2353</v>
      </c>
      <c r="J104" s="207">
        <f>Dat_01!I256</f>
        <v>3741.6</v>
      </c>
      <c r="K104" s="207">
        <f>Dat_01!J256</f>
        <v>8083.8</v>
      </c>
      <c r="L104" s="207">
        <f>Dat_01!K256</f>
        <v>12441</v>
      </c>
      <c r="M104" s="207">
        <f>Dat_01!L256</f>
        <v>4935.3999999999996</v>
      </c>
      <c r="N104" s="207">
        <f>Dat_01!M256</f>
        <v>4127.7</v>
      </c>
      <c r="O104" s="207">
        <f>Dat_01!N256</f>
        <v>13286.1</v>
      </c>
      <c r="P104" s="207">
        <f>Dat_01!O256</f>
        <v>5443.1</v>
      </c>
    </row>
    <row r="105" spans="2:16">
      <c r="B105" s="101" t="s">
        <v>96</v>
      </c>
      <c r="C105" s="193" t="str">
        <f>Dat_01!B257</f>
        <v>Total</v>
      </c>
      <c r="D105" s="206">
        <f>Dat_01!C257</f>
        <v>124168</v>
      </c>
      <c r="E105" s="206">
        <f>Dat_01!D257</f>
        <v>127032.4</v>
      </c>
      <c r="F105" s="206">
        <f>Dat_01!E257</f>
        <v>105026.4</v>
      </c>
      <c r="G105" s="206">
        <f>Dat_01!F257</f>
        <v>116314.8</v>
      </c>
      <c r="H105" s="206">
        <f>Dat_01!G257</f>
        <v>133153.9</v>
      </c>
      <c r="I105" s="206">
        <f>Dat_01!H257</f>
        <v>55173.7</v>
      </c>
      <c r="J105" s="206">
        <f>Dat_01!I257</f>
        <v>64347.4</v>
      </c>
      <c r="K105" s="206">
        <f>Dat_01!J257</f>
        <v>48510.6</v>
      </c>
      <c r="L105" s="206">
        <f>Dat_01!K257</f>
        <v>117881.4</v>
      </c>
      <c r="M105" s="206">
        <f>Dat_01!L257</f>
        <v>86621.2</v>
      </c>
      <c r="N105" s="206">
        <f>Dat_01!M257</f>
        <v>54505.3</v>
      </c>
      <c r="O105" s="206">
        <f>Dat_01!N257</f>
        <v>114103.8</v>
      </c>
      <c r="P105" s="206">
        <f>Dat_01!O257</f>
        <v>62612.7</v>
      </c>
    </row>
    <row r="106" spans="2:16">
      <c r="B106" s="101"/>
      <c r="C106" s="101"/>
      <c r="D106" s="206"/>
      <c r="E106" s="206"/>
      <c r="F106" s="206"/>
      <c r="G106" s="206"/>
      <c r="H106" s="206"/>
      <c r="I106" s="206"/>
      <c r="J106" s="206"/>
      <c r="K106" s="206"/>
      <c r="L106" s="206"/>
      <c r="M106" s="206"/>
      <c r="N106" s="206"/>
      <c r="O106" s="206"/>
      <c r="P106" s="206"/>
    </row>
    <row r="107" spans="2:16">
      <c r="B107" s="101" t="s">
        <v>92</v>
      </c>
      <c r="C107" s="208"/>
      <c r="D107" s="201">
        <f>Dat_01!B263</f>
        <v>53.569971114799998</v>
      </c>
      <c r="E107" s="201">
        <f>Dat_01!C263</f>
        <v>20.417349874300001</v>
      </c>
      <c r="F107" s="201">
        <f>Dat_01!D263</f>
        <v>35.717588810300001</v>
      </c>
      <c r="G107" s="201">
        <f>Dat_01!E263</f>
        <v>56.886262934500003</v>
      </c>
      <c r="H107" s="201">
        <f>Dat_01!F263</f>
        <v>47.744860988200003</v>
      </c>
      <c r="I107" s="201">
        <f>Dat_01!G263</f>
        <v>71.347228829499997</v>
      </c>
      <c r="J107" s="201">
        <f>Dat_01!H263</f>
        <v>75.628799988799997</v>
      </c>
      <c r="K107" s="201">
        <f>Dat_01!I263</f>
        <v>90.629518909599994</v>
      </c>
      <c r="L107" s="201">
        <f>Dat_01!J263</f>
        <v>137.6869189626</v>
      </c>
      <c r="M107" s="201">
        <f>Dat_01!K263</f>
        <v>138.74140145710001</v>
      </c>
      <c r="N107" s="201">
        <f>Dat_01!L263</f>
        <v>130.28165660920001</v>
      </c>
      <c r="O107" s="201">
        <f>Dat_01!M263</f>
        <v>150.13627074089999</v>
      </c>
      <c r="P107" s="201">
        <f>Dat_01!N263</f>
        <v>165.01481997799999</v>
      </c>
    </row>
    <row r="108" spans="2:16">
      <c r="B108" s="101" t="s">
        <v>96</v>
      </c>
      <c r="C108" s="209"/>
      <c r="D108" s="201">
        <f>Dat_01!B264</f>
        <v>53.569971114799998</v>
      </c>
      <c r="E108" s="201">
        <f>Dat_01!C264</f>
        <v>20.417349874300001</v>
      </c>
      <c r="F108" s="201">
        <f>Dat_01!D264</f>
        <v>35.717588810300001</v>
      </c>
      <c r="G108" s="201">
        <f>Dat_01!E264</f>
        <v>56.886262934500003</v>
      </c>
      <c r="H108" s="201">
        <f>Dat_01!F264</f>
        <v>47.744860988200003</v>
      </c>
      <c r="I108" s="201">
        <f>Dat_01!G264</f>
        <v>71.347228829499997</v>
      </c>
      <c r="J108" s="201">
        <f>Dat_01!H264</f>
        <v>75.628799988799997</v>
      </c>
      <c r="K108" s="201">
        <f>Dat_01!I264</f>
        <v>90.629518909599994</v>
      </c>
      <c r="L108" s="201">
        <f>Dat_01!J264</f>
        <v>137.6869189626</v>
      </c>
      <c r="M108" s="201">
        <f>Dat_01!K264</f>
        <v>138.74140145710001</v>
      </c>
      <c r="N108" s="201">
        <f>Dat_01!L264</f>
        <v>130.28165660920001</v>
      </c>
      <c r="O108" s="201">
        <f>Dat_01!M264</f>
        <v>150.13627074089999</v>
      </c>
      <c r="P108" s="201">
        <f>Dat_01!N264</f>
        <v>165.01481997799999</v>
      </c>
    </row>
    <row r="109" spans="2:16" ht="14.4">
      <c r="B109" s="203"/>
      <c r="C109" s="203"/>
      <c r="D109" s="210"/>
      <c r="E109" s="210"/>
      <c r="F109" s="210"/>
      <c r="G109" s="210"/>
      <c r="H109" s="210"/>
      <c r="I109" s="210"/>
      <c r="J109" s="210"/>
      <c r="K109" s="210"/>
      <c r="L109" s="210"/>
      <c r="M109" s="210"/>
      <c r="N109" s="210"/>
      <c r="O109" s="210"/>
      <c r="P109" s="210"/>
    </row>
    <row r="110" spans="2:16" ht="14.4">
      <c r="B110" s="203"/>
      <c r="C110" s="203"/>
      <c r="D110" s="203"/>
      <c r="E110" s="203"/>
      <c r="F110" s="203"/>
      <c r="G110" s="203"/>
      <c r="H110" s="203"/>
      <c r="I110" s="203"/>
      <c r="J110" s="203"/>
      <c r="K110" s="203"/>
      <c r="L110" s="203"/>
      <c r="M110" s="203"/>
      <c r="N110" s="101"/>
      <c r="O110" s="184"/>
      <c r="P110" s="101"/>
    </row>
    <row r="111" spans="2:16" ht="14.4">
      <c r="B111" s="203"/>
      <c r="C111" s="203"/>
      <c r="D111" s="264"/>
      <c r="E111" s="203"/>
      <c r="F111" s="203"/>
      <c r="G111" s="203"/>
      <c r="H111" s="203"/>
      <c r="I111" s="203"/>
      <c r="J111" s="203"/>
      <c r="K111" s="203"/>
      <c r="L111" s="203"/>
      <c r="M111" s="203"/>
      <c r="N111" s="101"/>
      <c r="O111" s="184"/>
      <c r="P111" s="101" t="s">
        <v>220</v>
      </c>
    </row>
    <row r="112" spans="2:16" ht="14.4">
      <c r="B112" s="203"/>
      <c r="C112" s="203"/>
      <c r="D112" s="203"/>
      <c r="E112" s="203"/>
      <c r="F112" s="203"/>
      <c r="G112" s="203"/>
      <c r="H112" s="203"/>
      <c r="I112" s="203"/>
      <c r="J112" s="203"/>
      <c r="K112" s="203"/>
      <c r="L112" s="203"/>
      <c r="M112" s="203"/>
      <c r="N112" s="101" t="s">
        <v>240</v>
      </c>
      <c r="O112" s="184"/>
      <c r="P112" s="183">
        <f>(P94-D94)/D94</f>
        <v>-0.11257568693758206</v>
      </c>
    </row>
    <row r="113" spans="2:16" ht="14.4">
      <c r="B113" s="203"/>
      <c r="C113" s="203"/>
      <c r="D113" s="203"/>
      <c r="E113" s="203"/>
      <c r="F113" s="203"/>
      <c r="G113" s="203"/>
      <c r="H113" s="203"/>
      <c r="I113" s="203"/>
      <c r="J113" s="203"/>
      <c r="K113" s="203"/>
      <c r="L113" s="203"/>
      <c r="M113" s="203"/>
      <c r="N113" s="101" t="s">
        <v>241</v>
      </c>
      <c r="O113" s="184"/>
      <c r="P113" s="183">
        <f>(P105-D105)/D105</f>
        <v>-0.49574205914567365</v>
      </c>
    </row>
    <row r="114" spans="2:16" ht="14.4">
      <c r="B114" s="203"/>
      <c r="C114" s="203"/>
      <c r="D114" s="203"/>
      <c r="E114" s="203"/>
      <c r="F114" s="203"/>
      <c r="G114" s="203"/>
      <c r="H114" s="203"/>
      <c r="I114" s="203"/>
      <c r="J114" s="203"/>
      <c r="K114" s="203"/>
      <c r="L114" s="203"/>
      <c r="M114" s="203"/>
      <c r="N114" s="101" t="s">
        <v>242</v>
      </c>
      <c r="O114" s="184"/>
      <c r="P114" s="263">
        <f>((P94+P105)-(D94+D105))/(D94+D105)</f>
        <v>-0.23151575392704452</v>
      </c>
    </row>
    <row r="115" spans="2:16" ht="14.4">
      <c r="B115" s="203"/>
      <c r="C115" s="203"/>
      <c r="D115" s="203"/>
      <c r="E115" s="203"/>
      <c r="F115" s="203"/>
      <c r="G115" s="203"/>
      <c r="H115" s="203"/>
      <c r="I115" s="203"/>
      <c r="J115" s="203"/>
      <c r="K115" s="203"/>
      <c r="L115" s="203"/>
      <c r="M115" s="203"/>
      <c r="N115" s="101" t="s">
        <v>258</v>
      </c>
      <c r="O115" s="184"/>
      <c r="P115" s="183">
        <f>(P107-D107)/D107</f>
        <v>2.0803604434352714</v>
      </c>
    </row>
    <row r="116" spans="2:16">
      <c r="N116" s="101"/>
      <c r="O116" s="184"/>
      <c r="P116" s="183"/>
    </row>
    <row r="117" spans="2:16">
      <c r="B117" s="98"/>
      <c r="C117" s="220"/>
      <c r="D117" s="220"/>
      <c r="E117" s="220"/>
      <c r="F117" s="220"/>
      <c r="G117" s="220"/>
      <c r="H117" s="220"/>
      <c r="I117" s="220"/>
      <c r="J117" s="220"/>
      <c r="K117" s="220"/>
      <c r="L117" s="220"/>
      <c r="M117" s="220"/>
      <c r="N117" s="220"/>
      <c r="O117" s="220"/>
      <c r="P117" s="220"/>
    </row>
    <row r="118" spans="2:16">
      <c r="B118" s="221"/>
      <c r="C118" s="221"/>
      <c r="D118" s="221" t="str">
        <f>D82</f>
        <v>2021 Enero</v>
      </c>
      <c r="E118" s="221" t="str">
        <f t="shared" ref="E118:P118" si="5">E82</f>
        <v>2021 Febrero</v>
      </c>
      <c r="F118" s="221" t="str">
        <f t="shared" si="5"/>
        <v>2021 Marzo</v>
      </c>
      <c r="G118" s="221" t="str">
        <f t="shared" si="5"/>
        <v>2021 Abril</v>
      </c>
      <c r="H118" s="221" t="str">
        <f t="shared" si="5"/>
        <v>2021 Mayo</v>
      </c>
      <c r="I118" s="221" t="str">
        <f t="shared" si="5"/>
        <v>2021 Junio</v>
      </c>
      <c r="J118" s="221" t="str">
        <f t="shared" si="5"/>
        <v>2021 Julio</v>
      </c>
      <c r="K118" s="221" t="str">
        <f t="shared" si="5"/>
        <v>2021 Agosto</v>
      </c>
      <c r="L118" s="221" t="str">
        <f t="shared" si="5"/>
        <v>2021 Septiembre</v>
      </c>
      <c r="M118" s="221" t="str">
        <f t="shared" si="5"/>
        <v>2021 Octubre</v>
      </c>
      <c r="N118" s="221" t="str">
        <f t="shared" si="5"/>
        <v>2021 Noviembre</v>
      </c>
      <c r="O118" s="221" t="str">
        <f t="shared" si="5"/>
        <v>2021 Diciembre</v>
      </c>
      <c r="P118" s="221" t="str">
        <f t="shared" si="5"/>
        <v>2022 Enero</v>
      </c>
    </row>
    <row r="119" spans="2:16">
      <c r="B119" s="221"/>
      <c r="C119" s="221"/>
      <c r="D119" s="221" t="str">
        <f>D83</f>
        <v>E</v>
      </c>
      <c r="E119" s="221" t="str">
        <f t="shared" ref="E119:P119" si="6">E83</f>
        <v>F</v>
      </c>
      <c r="F119" s="221" t="str">
        <f t="shared" si="6"/>
        <v>M</v>
      </c>
      <c r="G119" s="221" t="str">
        <f t="shared" si="6"/>
        <v>A</v>
      </c>
      <c r="H119" s="221" t="str">
        <f t="shared" si="6"/>
        <v>M</v>
      </c>
      <c r="I119" s="221" t="str">
        <f t="shared" si="6"/>
        <v>J</v>
      </c>
      <c r="J119" s="221" t="str">
        <f t="shared" si="6"/>
        <v>J</v>
      </c>
      <c r="K119" s="221" t="str">
        <f t="shared" si="6"/>
        <v>A</v>
      </c>
      <c r="L119" s="221" t="str">
        <f t="shared" si="6"/>
        <v>S</v>
      </c>
      <c r="M119" s="221" t="str">
        <f t="shared" si="6"/>
        <v>O</v>
      </c>
      <c r="N119" s="221" t="str">
        <f t="shared" si="6"/>
        <v>N</v>
      </c>
      <c r="O119" s="221" t="str">
        <f t="shared" si="6"/>
        <v>D</v>
      </c>
      <c r="P119" s="221" t="str">
        <f t="shared" si="6"/>
        <v>E</v>
      </c>
    </row>
    <row r="120" spans="2:16">
      <c r="B120" s="221" t="s">
        <v>92</v>
      </c>
      <c r="C120" s="221" t="s">
        <v>281</v>
      </c>
      <c r="D120" s="222">
        <f>'Data 2'!D94</f>
        <v>275840.2</v>
      </c>
      <c r="E120" s="222">
        <f>'Data 2'!E94</f>
        <v>88172.2</v>
      </c>
      <c r="F120" s="222">
        <f>'Data 2'!F94</f>
        <v>128766.39999999999</v>
      </c>
      <c r="G120" s="222">
        <f>'Data 2'!G94</f>
        <v>148371.20000000001</v>
      </c>
      <c r="H120" s="222">
        <f>'Data 2'!H94</f>
        <v>111851.8</v>
      </c>
      <c r="I120" s="222">
        <f>'Data 2'!I94</f>
        <v>182049.8</v>
      </c>
      <c r="J120" s="222">
        <f>'Data 2'!J94</f>
        <v>184550.8</v>
      </c>
      <c r="K120" s="222">
        <f>'Data 2'!K94</f>
        <v>298829.90000000002</v>
      </c>
      <c r="L120" s="222">
        <f>'Data 2'!L94</f>
        <v>160066</v>
      </c>
      <c r="M120" s="222">
        <f>'Data 2'!M94</f>
        <v>161949.6</v>
      </c>
      <c r="N120" s="222">
        <f>'Data 2'!N94</f>
        <v>357339.7</v>
      </c>
      <c r="O120" s="222">
        <f>'Data 2'!O94</f>
        <v>282259.40000000002</v>
      </c>
      <c r="P120" s="222">
        <f>'Data 2'!P94</f>
        <v>244787.3</v>
      </c>
    </row>
    <row r="121" spans="2:16">
      <c r="B121" s="221" t="s">
        <v>92</v>
      </c>
      <c r="C121" s="265" t="s">
        <v>282</v>
      </c>
      <c r="D121" s="222">
        <f>Dat_01!D397</f>
        <v>0</v>
      </c>
      <c r="E121" s="222">
        <f>Dat_01!E397</f>
        <v>16686.7</v>
      </c>
      <c r="F121" s="222">
        <f>Dat_01!F397</f>
        <v>55171.8</v>
      </c>
      <c r="G121" s="222">
        <f>Dat_01!G397</f>
        <v>48949.5</v>
      </c>
      <c r="H121" s="222">
        <f>Dat_01!H397</f>
        <v>17155.7</v>
      </c>
      <c r="I121" s="222">
        <f>Dat_01!I397</f>
        <v>24417.4</v>
      </c>
      <c r="J121" s="222">
        <f>Dat_01!J397</f>
        <v>32356.7</v>
      </c>
      <c r="K121" s="222">
        <f>Dat_01!K397</f>
        <v>10422.799999999999</v>
      </c>
      <c r="L121" s="222">
        <f>Dat_01!L397</f>
        <v>16160</v>
      </c>
      <c r="M121" s="222">
        <f>Dat_01!M397</f>
        <v>22251.7</v>
      </c>
      <c r="N121" s="222">
        <f>Dat_01!N397</f>
        <v>43842.5</v>
      </c>
      <c r="O121" s="222">
        <f>Dat_01!O397</f>
        <v>53460</v>
      </c>
      <c r="P121" s="222">
        <f>Dat_01!P397</f>
        <v>56434</v>
      </c>
    </row>
    <row r="122" spans="2:16">
      <c r="B122" s="221" t="s">
        <v>92</v>
      </c>
      <c r="C122" s="265" t="s">
        <v>283</v>
      </c>
      <c r="D122" s="222">
        <f>Dat_01!D398</f>
        <v>36360.300000000003</v>
      </c>
      <c r="E122" s="222">
        <f>Dat_01!E398</f>
        <v>32453.200000000001</v>
      </c>
      <c r="F122" s="222">
        <f>Dat_01!F398</f>
        <v>23771</v>
      </c>
      <c r="G122" s="222">
        <f>Dat_01!G398</f>
        <v>41786.5</v>
      </c>
      <c r="H122" s="222">
        <f>Dat_01!H398</f>
        <v>66602</v>
      </c>
      <c r="I122" s="222">
        <f>Dat_01!I398</f>
        <v>48121.8</v>
      </c>
      <c r="J122" s="222">
        <f>Dat_01!J398</f>
        <v>52628.6</v>
      </c>
      <c r="K122" s="222">
        <f>Dat_01!K398</f>
        <v>35868.400000000001</v>
      </c>
      <c r="L122" s="222">
        <f>Dat_01!L398</f>
        <v>27614.799999999999</v>
      </c>
      <c r="M122" s="222">
        <f>Dat_01!M398</f>
        <v>57303</v>
      </c>
      <c r="N122" s="222">
        <f>Dat_01!N398</f>
        <v>42886.3</v>
      </c>
      <c r="O122" s="222">
        <f>Dat_01!O398</f>
        <v>61129.1</v>
      </c>
      <c r="P122" s="222">
        <f>Dat_01!P398</f>
        <v>41874.5</v>
      </c>
    </row>
    <row r="123" spans="2:16">
      <c r="B123" s="221" t="s">
        <v>92</v>
      </c>
      <c r="C123" s="265" t="s">
        <v>284</v>
      </c>
      <c r="D123" s="222">
        <f>Dat_01!B389</f>
        <v>226500</v>
      </c>
      <c r="E123" s="222">
        <f>Dat_01!C389</f>
        <v>81934</v>
      </c>
      <c r="F123" s="222">
        <f>Dat_01!D389</f>
        <v>126244</v>
      </c>
      <c r="G123" s="222">
        <f>Dat_01!E389</f>
        <v>127856</v>
      </c>
      <c r="H123" s="222">
        <f>Dat_01!F389</f>
        <v>102428</v>
      </c>
      <c r="I123" s="222">
        <f>Dat_01!G389</f>
        <v>186252</v>
      </c>
      <c r="J123" s="222">
        <f>Dat_01!H389</f>
        <v>201819</v>
      </c>
      <c r="K123" s="222">
        <f>Dat_01!I389</f>
        <v>291448</v>
      </c>
      <c r="L123" s="222">
        <f>Dat_01!J389</f>
        <v>96081.4</v>
      </c>
      <c r="M123" s="222">
        <f>Dat_01!K389</f>
        <v>118365.1</v>
      </c>
      <c r="N123" s="222">
        <f>Dat_01!L389</f>
        <v>343479</v>
      </c>
      <c r="O123" s="222">
        <f>Dat_01!M389</f>
        <v>265922</v>
      </c>
      <c r="P123" s="222">
        <f>Dat_01!N389</f>
        <v>242550</v>
      </c>
    </row>
    <row r="124" spans="2:16">
      <c r="B124" s="218" t="s">
        <v>96</v>
      </c>
      <c r="C124" s="221" t="s">
        <v>281</v>
      </c>
      <c r="D124" s="222">
        <f>D105</f>
        <v>124168</v>
      </c>
      <c r="E124" s="222">
        <f t="shared" ref="E124:P124" si="7">E105</f>
        <v>127032.4</v>
      </c>
      <c r="F124" s="222">
        <f t="shared" si="7"/>
        <v>105026.4</v>
      </c>
      <c r="G124" s="222">
        <f t="shared" si="7"/>
        <v>116314.8</v>
      </c>
      <c r="H124" s="222">
        <f t="shared" si="7"/>
        <v>133153.9</v>
      </c>
      <c r="I124" s="222">
        <f t="shared" si="7"/>
        <v>55173.7</v>
      </c>
      <c r="J124" s="222">
        <f t="shared" si="7"/>
        <v>64347.4</v>
      </c>
      <c r="K124" s="222">
        <f t="shared" si="7"/>
        <v>48510.6</v>
      </c>
      <c r="L124" s="222">
        <f t="shared" si="7"/>
        <v>117881.4</v>
      </c>
      <c r="M124" s="222">
        <f t="shared" si="7"/>
        <v>86621.2</v>
      </c>
      <c r="N124" s="222">
        <f t="shared" si="7"/>
        <v>54505.3</v>
      </c>
      <c r="O124" s="222">
        <f t="shared" si="7"/>
        <v>114103.8</v>
      </c>
      <c r="P124" s="222">
        <f t="shared" si="7"/>
        <v>62612.7</v>
      </c>
    </row>
    <row r="125" spans="2:16">
      <c r="B125" s="218" t="s">
        <v>96</v>
      </c>
      <c r="C125" s="265" t="s">
        <v>282</v>
      </c>
      <c r="D125" s="222">
        <f>-Dat_01!D401</f>
        <v>0</v>
      </c>
      <c r="E125" s="222">
        <f>-Dat_01!E401</f>
        <v>3833.9</v>
      </c>
      <c r="F125" s="222">
        <f>-Dat_01!F401</f>
        <v>14708.8</v>
      </c>
      <c r="G125" s="222">
        <f>-Dat_01!G401</f>
        <v>23425.3</v>
      </c>
      <c r="H125" s="222">
        <f>-Dat_01!H401</f>
        <v>29868.1</v>
      </c>
      <c r="I125" s="222">
        <f>-Dat_01!I401</f>
        <v>22114.9</v>
      </c>
      <c r="J125" s="222">
        <f>-Dat_01!J401</f>
        <v>13794.4</v>
      </c>
      <c r="K125" s="222">
        <f>-Dat_01!K401</f>
        <v>10931.6</v>
      </c>
      <c r="L125" s="222">
        <f>-Dat_01!L401</f>
        <v>22871.5</v>
      </c>
      <c r="M125" s="222">
        <f>-Dat_01!M401</f>
        <v>31842.2</v>
      </c>
      <c r="N125" s="222">
        <f>-Dat_01!N401</f>
        <v>24354.5</v>
      </c>
      <c r="O125" s="222">
        <f>-Dat_01!O401</f>
        <v>14504.8</v>
      </c>
      <c r="P125" s="222">
        <f>-Dat_01!P401</f>
        <v>26635.4</v>
      </c>
    </row>
    <row r="126" spans="2:16">
      <c r="B126" s="218" t="s">
        <v>96</v>
      </c>
      <c r="C126" s="265" t="s">
        <v>283</v>
      </c>
      <c r="D126" s="222">
        <f>-Dat_01!D402</f>
        <v>55888.5</v>
      </c>
      <c r="E126" s="222">
        <f>-Dat_01!E402</f>
        <v>32519.8</v>
      </c>
      <c r="F126" s="222">
        <f>-Dat_01!F402</f>
        <v>70500</v>
      </c>
      <c r="G126" s="222">
        <f>-Dat_01!G402</f>
        <v>41770</v>
      </c>
      <c r="H126" s="222">
        <f>-Dat_01!H402</f>
        <v>36645.5</v>
      </c>
      <c r="I126" s="222">
        <f>-Dat_01!I402</f>
        <v>46831.4</v>
      </c>
      <c r="J126" s="222">
        <f>-Dat_01!J402</f>
        <v>40614.300000000003</v>
      </c>
      <c r="K126" s="222">
        <f>-Dat_01!K402</f>
        <v>27867.9</v>
      </c>
      <c r="L126" s="222">
        <f>-Dat_01!L402</f>
        <v>60380.5</v>
      </c>
      <c r="M126" s="222">
        <f>-Dat_01!M402</f>
        <v>49868.6</v>
      </c>
      <c r="N126" s="222">
        <f>-Dat_01!N402</f>
        <v>51005.7</v>
      </c>
      <c r="O126" s="222">
        <f>-Dat_01!O402</f>
        <v>58082.9</v>
      </c>
      <c r="P126" s="222">
        <f>-Dat_01!P402</f>
        <v>52718.7</v>
      </c>
    </row>
    <row r="127" spans="2:16">
      <c r="B127" s="218" t="s">
        <v>96</v>
      </c>
      <c r="C127" s="265" t="s">
        <v>284</v>
      </c>
      <c r="D127" s="222">
        <f>Dat_01!B390</f>
        <v>94356</v>
      </c>
      <c r="E127" s="222">
        <f>Dat_01!C390</f>
        <v>108008</v>
      </c>
      <c r="F127" s="222">
        <f>Dat_01!D390</f>
        <v>108770</v>
      </c>
      <c r="G127" s="222">
        <f>Dat_01!E390</f>
        <v>70258.899999999994</v>
      </c>
      <c r="H127" s="222">
        <f>Dat_01!F390</f>
        <v>106486</v>
      </c>
      <c r="I127" s="222">
        <f>Dat_01!G390</f>
        <v>55783</v>
      </c>
      <c r="J127" s="222">
        <f>Dat_01!H390</f>
        <v>51039</v>
      </c>
      <c r="K127" s="222">
        <f>Dat_01!I390</f>
        <v>33637</v>
      </c>
      <c r="L127" s="222">
        <f>Dat_01!J390</f>
        <v>93374</v>
      </c>
      <c r="M127" s="222">
        <f>Dat_01!K390</f>
        <v>45192.800000000003</v>
      </c>
      <c r="N127" s="222">
        <f>Dat_01!L390</f>
        <v>29276</v>
      </c>
      <c r="O127" s="222">
        <f>Dat_01!M390</f>
        <v>55765</v>
      </c>
      <c r="P127" s="222">
        <f>Dat_01!N390</f>
        <v>41421</v>
      </c>
    </row>
    <row r="129" spans="2:17">
      <c r="B129" s="218"/>
      <c r="C129" s="222"/>
      <c r="D129" s="222">
        <f>D123+D127</f>
        <v>320856</v>
      </c>
      <c r="E129" s="222">
        <f t="shared" ref="E129:K129" si="8">E123+E127</f>
        <v>189942</v>
      </c>
      <c r="F129" s="222">
        <f t="shared" si="8"/>
        <v>235014</v>
      </c>
      <c r="G129" s="222">
        <f t="shared" si="8"/>
        <v>198114.9</v>
      </c>
      <c r="H129" s="222">
        <f t="shared" si="8"/>
        <v>208914</v>
      </c>
      <c r="I129" s="222">
        <f t="shared" si="8"/>
        <v>242035</v>
      </c>
      <c r="J129" s="222">
        <f t="shared" si="8"/>
        <v>252858</v>
      </c>
      <c r="K129" s="222">
        <f t="shared" si="8"/>
        <v>325085</v>
      </c>
      <c r="L129" s="222">
        <f t="shared" ref="L129:O129" si="9">L123+L127</f>
        <v>189455.4</v>
      </c>
      <c r="M129" s="222">
        <f t="shared" si="9"/>
        <v>163557.90000000002</v>
      </c>
      <c r="N129" s="222">
        <f t="shared" si="9"/>
        <v>372755</v>
      </c>
      <c r="O129" s="222">
        <f t="shared" si="9"/>
        <v>321687</v>
      </c>
      <c r="P129" s="222">
        <f>P123+P127</f>
        <v>283971</v>
      </c>
    </row>
    <row r="130" spans="2:17">
      <c r="B130" s="218"/>
      <c r="C130" s="222"/>
      <c r="D130" s="222"/>
      <c r="E130" s="222"/>
      <c r="F130" s="222"/>
      <c r="G130" s="222"/>
      <c r="H130" s="222"/>
      <c r="I130" s="222"/>
      <c r="J130" s="222"/>
      <c r="K130" s="222"/>
      <c r="L130" s="222"/>
      <c r="M130" s="222"/>
      <c r="N130" s="222"/>
      <c r="O130" s="222"/>
      <c r="P130" s="222"/>
      <c r="Q130" s="222"/>
    </row>
    <row r="131" spans="2:17">
      <c r="B131" s="218"/>
      <c r="C131" s="222"/>
      <c r="D131" s="222"/>
      <c r="E131" s="222"/>
      <c r="F131" s="222"/>
      <c r="G131" s="222"/>
      <c r="H131" s="222"/>
      <c r="I131" s="222"/>
      <c r="J131" s="222"/>
      <c r="K131" s="222"/>
      <c r="L131" s="222"/>
      <c r="M131" s="222"/>
      <c r="N131" s="222"/>
      <c r="O131" s="222"/>
      <c r="P131" s="222"/>
      <c r="Q131" s="222"/>
    </row>
    <row r="132" spans="2:17">
      <c r="B132" s="223"/>
      <c r="C132" s="222"/>
      <c r="D132" s="222"/>
      <c r="E132" s="222"/>
      <c r="F132" s="222"/>
      <c r="G132" s="222"/>
      <c r="H132" s="222"/>
      <c r="I132" s="222"/>
      <c r="J132" s="222"/>
      <c r="K132" s="222"/>
      <c r="L132" s="222"/>
      <c r="M132" s="222"/>
      <c r="N132" s="222"/>
      <c r="O132" s="222"/>
      <c r="P132" s="222"/>
      <c r="Q132" s="222"/>
    </row>
    <row r="133" spans="2:17">
      <c r="B133" s="218"/>
      <c r="C133" s="222"/>
      <c r="D133" s="222"/>
      <c r="E133" s="222"/>
      <c r="F133" s="222"/>
      <c r="G133" s="222"/>
      <c r="H133" s="222"/>
      <c r="I133" s="222"/>
      <c r="J133" s="222"/>
      <c r="K133" s="222"/>
      <c r="L133" s="222"/>
      <c r="M133" s="222"/>
      <c r="N133" s="222"/>
      <c r="O133" s="222"/>
      <c r="P133" s="222"/>
    </row>
    <row r="134" spans="2:17">
      <c r="B134" s="218"/>
      <c r="C134" s="222"/>
      <c r="D134" s="222"/>
      <c r="E134" s="222"/>
      <c r="F134" s="222"/>
      <c r="G134" s="222"/>
      <c r="H134" s="222"/>
      <c r="I134" s="222"/>
      <c r="J134" s="222"/>
      <c r="K134" s="222"/>
      <c r="L134" s="222"/>
      <c r="M134" s="222"/>
      <c r="N134" s="222"/>
      <c r="O134" s="222"/>
      <c r="P134" s="222"/>
    </row>
    <row r="135" spans="2:17">
      <c r="B135" s="218"/>
      <c r="C135" s="222"/>
      <c r="D135" s="222"/>
      <c r="E135" s="222"/>
      <c r="F135" s="222"/>
      <c r="G135" s="222"/>
      <c r="H135" s="222"/>
      <c r="I135" s="222"/>
      <c r="J135" s="222"/>
      <c r="K135" s="222"/>
      <c r="L135" s="222"/>
      <c r="M135" s="222"/>
      <c r="N135" s="222"/>
      <c r="O135" s="222"/>
      <c r="P135" s="222"/>
    </row>
    <row r="136" spans="2:17">
      <c r="B136" s="218"/>
      <c r="C136" s="222"/>
      <c r="D136" s="222"/>
      <c r="E136" s="222"/>
      <c r="F136" s="222"/>
      <c r="G136" s="222"/>
      <c r="H136" s="222"/>
      <c r="I136" s="222"/>
      <c r="J136" s="222"/>
      <c r="K136" s="222"/>
      <c r="L136" s="222"/>
      <c r="M136" s="222"/>
      <c r="N136" s="222"/>
      <c r="O136" s="222"/>
      <c r="P136" s="222"/>
    </row>
    <row r="137" spans="2:17">
      <c r="B137" s="218"/>
      <c r="C137" s="222"/>
      <c r="D137" s="222"/>
      <c r="E137" s="222"/>
      <c r="F137" s="222"/>
      <c r="G137" s="222"/>
      <c r="H137" s="222"/>
      <c r="I137" s="222"/>
      <c r="J137" s="222"/>
      <c r="K137" s="222"/>
      <c r="L137" s="222"/>
      <c r="M137" s="222"/>
      <c r="N137" s="222"/>
      <c r="O137" s="222"/>
      <c r="P137" s="222"/>
    </row>
    <row r="138" spans="2:17">
      <c r="B138" s="218"/>
      <c r="C138" s="222"/>
      <c r="D138" s="222"/>
      <c r="E138" s="222"/>
      <c r="F138" s="222"/>
      <c r="G138" s="222"/>
      <c r="H138" s="222"/>
      <c r="I138" s="222"/>
      <c r="J138" s="222"/>
      <c r="K138" s="222"/>
      <c r="L138" s="222"/>
      <c r="M138" s="222"/>
      <c r="N138" s="222"/>
      <c r="O138" s="222"/>
      <c r="P138" s="222"/>
    </row>
    <row r="139" spans="2:17">
      <c r="B139" s="218"/>
      <c r="C139" s="222"/>
      <c r="D139" s="222"/>
      <c r="E139" s="222"/>
      <c r="F139" s="222"/>
      <c r="G139" s="222"/>
      <c r="H139" s="222"/>
      <c r="I139" s="222"/>
      <c r="J139" s="222"/>
      <c r="K139" s="222"/>
      <c r="L139" s="222"/>
      <c r="M139" s="222"/>
      <c r="N139" s="222"/>
      <c r="O139" s="222"/>
      <c r="P139" s="222"/>
    </row>
    <row r="140" spans="2:17">
      <c r="B140" s="218"/>
      <c r="C140" s="222"/>
      <c r="D140" s="222"/>
      <c r="E140" s="222"/>
      <c r="F140" s="222"/>
      <c r="G140" s="222"/>
      <c r="H140" s="222"/>
      <c r="I140" s="222"/>
      <c r="J140" s="222"/>
      <c r="K140" s="222"/>
      <c r="L140" s="222"/>
      <c r="M140" s="222"/>
      <c r="N140" s="222"/>
      <c r="O140" s="222"/>
      <c r="P140" s="222"/>
    </row>
    <row r="141" spans="2:17">
      <c r="B141" s="218"/>
      <c r="C141" s="222"/>
      <c r="D141" s="222"/>
      <c r="E141" s="222"/>
      <c r="F141" s="222"/>
      <c r="G141" s="222"/>
      <c r="H141" s="222"/>
      <c r="I141" s="222"/>
      <c r="J141" s="222"/>
      <c r="K141" s="222"/>
      <c r="L141" s="222"/>
      <c r="M141" s="222"/>
      <c r="N141" s="222"/>
      <c r="O141" s="222"/>
      <c r="P141" s="222"/>
    </row>
    <row r="142" spans="2:17">
      <c r="B142" s="218"/>
      <c r="C142" s="222"/>
      <c r="D142" s="222"/>
      <c r="E142" s="222"/>
      <c r="F142" s="222"/>
      <c r="G142" s="222"/>
      <c r="H142" s="222"/>
      <c r="I142" s="222"/>
      <c r="J142" s="222"/>
      <c r="K142" s="222"/>
      <c r="L142" s="222"/>
      <c r="M142" s="222"/>
      <c r="N142" s="222"/>
      <c r="O142" s="222"/>
      <c r="P142" s="222"/>
    </row>
    <row r="143" spans="2:17">
      <c r="B143" s="218"/>
      <c r="C143" s="222"/>
      <c r="D143" s="222"/>
      <c r="E143" s="222"/>
      <c r="F143" s="222"/>
      <c r="G143" s="222"/>
      <c r="H143" s="222"/>
      <c r="I143" s="222"/>
      <c r="J143" s="222"/>
      <c r="K143" s="222"/>
      <c r="L143" s="222"/>
      <c r="M143" s="222"/>
      <c r="N143" s="222"/>
      <c r="O143" s="222"/>
      <c r="P143" s="222"/>
    </row>
    <row r="144" spans="2:17">
      <c r="B144" s="218"/>
      <c r="C144" s="222"/>
      <c r="D144" s="222"/>
      <c r="E144" s="222"/>
      <c r="F144" s="222"/>
      <c r="G144" s="222"/>
      <c r="H144" s="222"/>
      <c r="I144" s="222"/>
      <c r="J144" s="222"/>
      <c r="K144" s="222"/>
      <c r="L144" s="222"/>
      <c r="M144" s="222"/>
      <c r="N144" s="222"/>
      <c r="O144" s="222"/>
      <c r="P144" s="219"/>
    </row>
    <row r="145" spans="2:16">
      <c r="B145" s="218"/>
      <c r="C145" s="222"/>
      <c r="D145" s="222"/>
      <c r="E145" s="222"/>
      <c r="F145" s="222"/>
      <c r="G145" s="222"/>
      <c r="H145" s="222"/>
      <c r="I145" s="222"/>
      <c r="J145" s="222"/>
      <c r="K145" s="222"/>
      <c r="L145" s="222"/>
      <c r="M145" s="222"/>
      <c r="N145" s="222"/>
      <c r="O145" s="222"/>
      <c r="P145" s="219"/>
    </row>
    <row r="146" spans="2:16">
      <c r="B146" s="218"/>
      <c r="C146" s="222"/>
      <c r="D146" s="222"/>
      <c r="E146" s="222"/>
      <c r="F146" s="222"/>
      <c r="G146" s="222"/>
      <c r="H146" s="222"/>
      <c r="I146" s="222"/>
      <c r="J146" s="222"/>
      <c r="K146" s="222"/>
      <c r="L146" s="222"/>
      <c r="M146" s="222"/>
      <c r="N146" s="222"/>
      <c r="O146" s="222"/>
      <c r="P146" s="222"/>
    </row>
    <row r="147" spans="2:16">
      <c r="B147" s="218"/>
      <c r="C147" s="222"/>
      <c r="D147" s="222"/>
      <c r="E147" s="222"/>
      <c r="F147" s="222"/>
      <c r="G147" s="222"/>
      <c r="H147" s="222"/>
      <c r="I147" s="222"/>
      <c r="J147" s="222"/>
      <c r="K147" s="222"/>
      <c r="L147" s="222"/>
      <c r="M147" s="222"/>
      <c r="N147" s="222"/>
      <c r="O147" s="222"/>
      <c r="P147" s="222"/>
    </row>
    <row r="148" spans="2:16">
      <c r="B148" s="223"/>
      <c r="C148" s="219"/>
      <c r="D148" s="219"/>
      <c r="E148" s="219"/>
      <c r="F148" s="219"/>
      <c r="G148" s="219"/>
      <c r="H148" s="219"/>
      <c r="I148" s="219"/>
      <c r="J148" s="219"/>
      <c r="K148" s="219"/>
      <c r="L148" s="219"/>
      <c r="M148" s="219"/>
      <c r="N148" s="219"/>
      <c r="O148" s="219"/>
      <c r="P148" s="219"/>
    </row>
    <row r="149" spans="2:16">
      <c r="B149" s="223"/>
      <c r="C149" s="219"/>
      <c r="D149" s="219"/>
      <c r="E149" s="219"/>
      <c r="F149" s="219"/>
      <c r="G149" s="219"/>
      <c r="H149" s="219"/>
      <c r="I149" s="219"/>
      <c r="J149" s="219"/>
      <c r="K149" s="219"/>
      <c r="L149" s="219"/>
      <c r="M149" s="219"/>
      <c r="N149" s="219"/>
      <c r="O149" s="219"/>
      <c r="P149" s="219"/>
    </row>
    <row r="150" spans="2:16">
      <c r="B150" s="218"/>
      <c r="C150" s="219"/>
      <c r="D150" s="219"/>
      <c r="E150" s="219"/>
      <c r="F150" s="219"/>
      <c r="G150" s="219"/>
      <c r="H150" s="219"/>
      <c r="I150" s="219"/>
      <c r="J150" s="219"/>
      <c r="K150" s="219"/>
      <c r="L150" s="219"/>
      <c r="M150" s="219"/>
      <c r="N150" s="219"/>
      <c r="O150" s="219"/>
      <c r="P150" s="219"/>
    </row>
    <row r="151" spans="2:16">
      <c r="B151" s="223"/>
      <c r="C151" s="224"/>
      <c r="D151" s="224"/>
      <c r="E151" s="224"/>
      <c r="F151" s="224"/>
      <c r="G151" s="224"/>
      <c r="H151" s="224"/>
      <c r="I151" s="224"/>
      <c r="J151" s="224"/>
      <c r="K151" s="224"/>
      <c r="L151" s="224"/>
      <c r="M151" s="224"/>
      <c r="N151" s="224"/>
      <c r="O151" s="224"/>
      <c r="P151" s="224"/>
    </row>
    <row r="152" spans="2:16">
      <c r="B152" s="223"/>
      <c r="C152" s="224"/>
      <c r="D152" s="224"/>
      <c r="E152" s="224"/>
      <c r="F152" s="224"/>
      <c r="G152" s="224"/>
      <c r="H152" s="224"/>
      <c r="I152" s="224"/>
      <c r="J152" s="224"/>
      <c r="K152" s="224"/>
      <c r="L152" s="224"/>
      <c r="M152" s="224"/>
      <c r="N152" s="224"/>
      <c r="O152" s="224"/>
      <c r="P152" s="224"/>
    </row>
    <row r="153" spans="2:16">
      <c r="B153" s="218"/>
      <c r="C153" s="222"/>
      <c r="D153" s="222"/>
      <c r="E153" s="222"/>
      <c r="F153" s="222"/>
      <c r="G153" s="222"/>
      <c r="H153" s="222"/>
      <c r="I153" s="222"/>
      <c r="J153" s="222"/>
      <c r="K153" s="222"/>
      <c r="L153" s="222"/>
      <c r="M153" s="222"/>
      <c r="N153" s="222"/>
      <c r="O153" s="222"/>
      <c r="P153" s="222"/>
    </row>
    <row r="154" spans="2:16">
      <c r="B154" s="218"/>
      <c r="C154" s="224"/>
      <c r="D154" s="224"/>
      <c r="E154" s="224"/>
      <c r="F154" s="224"/>
      <c r="G154" s="224"/>
      <c r="H154" s="224"/>
      <c r="I154" s="224"/>
      <c r="J154" s="224"/>
      <c r="K154" s="224"/>
      <c r="L154" s="224"/>
      <c r="M154" s="224"/>
      <c r="N154" s="224"/>
      <c r="O154" s="224"/>
      <c r="P154" s="225"/>
    </row>
    <row r="155" spans="2:16">
      <c r="B155" s="218"/>
      <c r="C155" s="224"/>
      <c r="D155" s="224"/>
      <c r="E155" s="224"/>
      <c r="F155" s="224"/>
      <c r="G155" s="224"/>
      <c r="H155" s="224"/>
      <c r="I155" s="224"/>
      <c r="J155" s="224"/>
      <c r="K155" s="224"/>
      <c r="L155" s="224"/>
      <c r="M155" s="224"/>
      <c r="N155" s="224"/>
      <c r="O155" s="224"/>
      <c r="P155" s="225"/>
    </row>
    <row r="156" spans="2:16" ht="14.4">
      <c r="B156" s="226"/>
      <c r="C156" s="226"/>
      <c r="D156" s="226"/>
      <c r="E156" s="226"/>
      <c r="F156" s="226"/>
      <c r="G156" s="226"/>
      <c r="H156" s="226"/>
      <c r="I156" s="226"/>
      <c r="J156" s="226"/>
      <c r="K156" s="226"/>
      <c r="L156" s="226"/>
      <c r="M156" s="226"/>
      <c r="N156" s="226"/>
      <c r="O156" s="226"/>
      <c r="P156" s="227"/>
    </row>
    <row r="157" spans="2:16" ht="14.4">
      <c r="B157" s="226"/>
      <c r="C157" s="228"/>
      <c r="D157" s="228"/>
      <c r="E157" s="228"/>
      <c r="F157" s="228"/>
      <c r="G157" s="228"/>
      <c r="H157" s="228"/>
      <c r="I157" s="228"/>
      <c r="J157" s="228"/>
      <c r="K157" s="228"/>
      <c r="L157" s="228"/>
      <c r="M157" s="228"/>
      <c r="N157" s="228"/>
      <c r="O157" s="228"/>
      <c r="P157" s="227"/>
    </row>
    <row r="158" spans="2:16" ht="14.4">
      <c r="B158" s="226"/>
      <c r="C158" s="226"/>
      <c r="D158" s="226"/>
      <c r="E158" s="226"/>
      <c r="F158" s="226"/>
      <c r="G158" s="226"/>
      <c r="H158" s="226"/>
      <c r="I158" s="226"/>
      <c r="J158" s="226"/>
      <c r="K158" s="226"/>
      <c r="L158" s="226"/>
      <c r="M158" s="226"/>
      <c r="N158" s="226"/>
      <c r="O158" s="226"/>
      <c r="P158" s="227"/>
    </row>
    <row r="159" spans="2:16" ht="14.4">
      <c r="B159" s="226"/>
      <c r="C159" s="226"/>
      <c r="D159" s="226"/>
      <c r="E159" s="226"/>
      <c r="F159" s="226"/>
      <c r="G159" s="226"/>
      <c r="H159" s="226"/>
      <c r="I159" s="226"/>
      <c r="J159" s="226"/>
      <c r="K159" s="226"/>
      <c r="L159" s="226"/>
      <c r="M159" s="226"/>
      <c r="N159" s="218"/>
      <c r="O159" s="229"/>
      <c r="P159" s="227"/>
    </row>
    <row r="160" spans="2:16" ht="14.4">
      <c r="B160" s="226"/>
      <c r="C160" s="226"/>
      <c r="D160" s="226"/>
      <c r="E160" s="226"/>
      <c r="F160" s="226"/>
      <c r="G160" s="226"/>
      <c r="H160" s="226"/>
      <c r="I160" s="226"/>
      <c r="J160" s="226"/>
      <c r="K160" s="226"/>
      <c r="L160" s="226"/>
      <c r="M160" s="226"/>
      <c r="N160" s="218"/>
      <c r="O160" s="229"/>
      <c r="P160" s="227"/>
    </row>
    <row r="161" spans="2:16" ht="14.4">
      <c r="B161" s="226"/>
      <c r="C161" s="226"/>
      <c r="D161" s="226"/>
      <c r="E161" s="226"/>
      <c r="F161" s="226"/>
      <c r="G161" s="226"/>
      <c r="H161" s="226"/>
      <c r="I161" s="226"/>
      <c r="J161" s="226"/>
      <c r="K161" s="226"/>
      <c r="L161" s="226"/>
      <c r="M161" s="226"/>
      <c r="N161" s="218"/>
      <c r="O161" s="229"/>
      <c r="P161" s="227"/>
    </row>
    <row r="162" spans="2:16" ht="14.4">
      <c r="B162" s="226"/>
      <c r="C162" s="226"/>
      <c r="D162" s="226"/>
      <c r="E162" s="226"/>
      <c r="F162" s="226"/>
      <c r="G162" s="226"/>
      <c r="H162" s="226"/>
      <c r="I162" s="226"/>
      <c r="J162" s="226"/>
      <c r="K162" s="226"/>
      <c r="L162" s="226"/>
      <c r="M162" s="226"/>
      <c r="N162" s="218"/>
      <c r="O162" s="229"/>
      <c r="P162" s="227"/>
    </row>
    <row r="163" spans="2:16" ht="14.4">
      <c r="B163" s="226"/>
      <c r="C163" s="226"/>
      <c r="D163" s="226"/>
      <c r="E163" s="226"/>
      <c r="F163" s="226"/>
      <c r="G163" s="226"/>
      <c r="H163" s="226"/>
      <c r="I163" s="226"/>
      <c r="J163" s="226"/>
      <c r="K163" s="226"/>
      <c r="L163" s="226"/>
      <c r="M163" s="226"/>
      <c r="N163" s="218"/>
      <c r="O163" s="229"/>
      <c r="P163" s="227"/>
    </row>
    <row r="164" spans="2:16">
      <c r="B164" s="220"/>
      <c r="C164" s="220"/>
      <c r="D164" s="220"/>
      <c r="E164" s="220"/>
      <c r="F164" s="220"/>
      <c r="G164" s="220"/>
      <c r="H164" s="220"/>
      <c r="I164" s="220"/>
      <c r="J164" s="220"/>
      <c r="K164" s="220"/>
      <c r="L164" s="220"/>
      <c r="M164" s="220"/>
      <c r="N164" s="220"/>
      <c r="O164" s="220"/>
      <c r="P164" s="220"/>
    </row>
    <row r="165" spans="2:16">
      <c r="B165" s="98"/>
      <c r="C165" s="220"/>
      <c r="D165" s="220"/>
      <c r="E165" s="220"/>
      <c r="F165" s="220"/>
      <c r="G165" s="220"/>
      <c r="H165" s="220"/>
      <c r="I165" s="220"/>
      <c r="J165" s="220"/>
      <c r="K165" s="220"/>
      <c r="L165" s="220"/>
      <c r="M165" s="220"/>
      <c r="N165" s="220"/>
      <c r="O165" s="220"/>
      <c r="P165" s="220"/>
    </row>
    <row r="166" spans="2:16">
      <c r="B166" s="221"/>
      <c r="C166" s="221"/>
      <c r="D166" s="221"/>
      <c r="E166" s="221"/>
      <c r="F166" s="221"/>
      <c r="G166" s="221"/>
      <c r="H166" s="221"/>
      <c r="I166" s="221"/>
      <c r="J166" s="221"/>
      <c r="K166" s="221"/>
      <c r="L166" s="221"/>
      <c r="M166" s="221"/>
      <c r="N166" s="221"/>
      <c r="O166" s="221"/>
      <c r="P166" s="220"/>
    </row>
    <row r="167" spans="2:16">
      <c r="B167" s="221"/>
      <c r="C167" s="221"/>
      <c r="D167" s="221"/>
      <c r="E167" s="221"/>
      <c r="F167" s="221"/>
      <c r="G167" s="221"/>
      <c r="H167" s="221"/>
      <c r="I167" s="221"/>
      <c r="J167" s="221"/>
      <c r="K167" s="221"/>
      <c r="L167" s="221"/>
      <c r="M167" s="221"/>
      <c r="N167" s="221"/>
      <c r="O167" s="221"/>
      <c r="P167" s="220"/>
    </row>
    <row r="168" spans="2:16">
      <c r="B168" s="221"/>
      <c r="C168" s="221"/>
      <c r="D168" s="221"/>
      <c r="E168" s="221"/>
      <c r="F168" s="221"/>
      <c r="G168" s="221"/>
      <c r="H168" s="221"/>
      <c r="I168" s="221"/>
      <c r="J168" s="221"/>
      <c r="K168" s="221"/>
      <c r="L168" s="221"/>
      <c r="M168" s="221"/>
      <c r="N168" s="221"/>
      <c r="O168" s="221"/>
      <c r="P168" s="220"/>
    </row>
    <row r="169" spans="2:16">
      <c r="B169" s="218"/>
      <c r="C169" s="222"/>
      <c r="D169" s="222"/>
      <c r="E169" s="222"/>
      <c r="F169" s="222"/>
      <c r="G169" s="222"/>
      <c r="H169" s="222"/>
      <c r="I169" s="222"/>
      <c r="J169" s="222"/>
      <c r="K169" s="222"/>
      <c r="L169" s="222"/>
      <c r="M169" s="222"/>
      <c r="N169" s="222"/>
      <c r="O169" s="222"/>
      <c r="P169" s="220"/>
    </row>
    <row r="170" spans="2:16">
      <c r="B170" s="218"/>
      <c r="C170" s="222"/>
      <c r="D170" s="222"/>
      <c r="E170" s="222"/>
      <c r="F170" s="222"/>
      <c r="G170" s="222"/>
      <c r="H170" s="222"/>
      <c r="I170" s="222"/>
      <c r="J170" s="222"/>
      <c r="K170" s="222"/>
      <c r="L170" s="222"/>
      <c r="M170" s="222"/>
      <c r="N170" s="222"/>
      <c r="O170" s="222"/>
      <c r="P170" s="220"/>
    </row>
    <row r="171" spans="2:16">
      <c r="B171" s="218"/>
      <c r="C171" s="222"/>
      <c r="D171" s="222"/>
      <c r="E171" s="222"/>
      <c r="F171" s="222"/>
      <c r="G171" s="222"/>
      <c r="H171" s="222"/>
      <c r="I171" s="222"/>
      <c r="J171" s="222"/>
      <c r="K171" s="222"/>
      <c r="L171" s="222"/>
      <c r="M171" s="222"/>
      <c r="N171" s="222"/>
      <c r="O171" s="222"/>
      <c r="P171" s="220"/>
    </row>
    <row r="172" spans="2:16">
      <c r="B172" s="218"/>
      <c r="C172" s="222"/>
      <c r="D172" s="222"/>
      <c r="E172" s="222"/>
      <c r="F172" s="222"/>
      <c r="G172" s="222"/>
      <c r="H172" s="222"/>
      <c r="I172" s="222"/>
      <c r="J172" s="222"/>
      <c r="K172" s="222"/>
      <c r="L172" s="222"/>
      <c r="M172" s="222"/>
      <c r="N172" s="222"/>
      <c r="O172" s="222"/>
      <c r="P172" s="220"/>
    </row>
    <row r="173" spans="2:16">
      <c r="B173" s="218"/>
      <c r="C173" s="222"/>
      <c r="D173" s="222"/>
      <c r="E173" s="222"/>
      <c r="F173" s="222"/>
      <c r="G173" s="222"/>
      <c r="H173" s="222"/>
      <c r="I173" s="222"/>
      <c r="J173" s="222"/>
      <c r="K173" s="222"/>
      <c r="L173" s="222"/>
      <c r="M173" s="222"/>
      <c r="N173" s="222"/>
      <c r="O173" s="222"/>
      <c r="P173" s="220"/>
    </row>
    <row r="174" spans="2:16">
      <c r="B174" s="218"/>
      <c r="C174" s="222"/>
      <c r="D174" s="222"/>
      <c r="E174" s="222"/>
      <c r="F174" s="222"/>
      <c r="G174" s="222"/>
      <c r="H174" s="222"/>
      <c r="I174" s="222"/>
      <c r="J174" s="222"/>
      <c r="K174" s="222"/>
      <c r="L174" s="222"/>
      <c r="M174" s="222"/>
      <c r="N174" s="222"/>
      <c r="O174" s="222"/>
      <c r="P174" s="220"/>
    </row>
    <row r="175" spans="2:16">
      <c r="B175" s="218"/>
      <c r="C175" s="222"/>
      <c r="D175" s="222"/>
      <c r="E175" s="222"/>
      <c r="F175" s="222"/>
      <c r="G175" s="222"/>
      <c r="H175" s="222"/>
      <c r="I175" s="222"/>
      <c r="J175" s="222"/>
      <c r="K175" s="222"/>
      <c r="L175" s="222"/>
      <c r="M175" s="222"/>
      <c r="N175" s="222"/>
      <c r="O175" s="222"/>
      <c r="P175" s="220"/>
    </row>
    <row r="176" spans="2:16">
      <c r="B176" s="218"/>
      <c r="C176" s="222"/>
      <c r="D176" s="222"/>
      <c r="E176" s="222"/>
      <c r="F176" s="222"/>
      <c r="G176" s="222"/>
      <c r="H176" s="222"/>
      <c r="I176" s="222"/>
      <c r="J176" s="222"/>
      <c r="K176" s="222"/>
      <c r="L176" s="222"/>
      <c r="M176" s="222"/>
      <c r="N176" s="222"/>
      <c r="O176" s="222"/>
      <c r="P176" s="220"/>
    </row>
    <row r="177" spans="2:16">
      <c r="B177" s="218"/>
      <c r="C177" s="222"/>
      <c r="D177" s="222"/>
      <c r="E177" s="222"/>
      <c r="F177" s="222"/>
      <c r="G177" s="222"/>
      <c r="H177" s="222"/>
      <c r="I177" s="222"/>
      <c r="J177" s="222"/>
      <c r="K177" s="222"/>
      <c r="L177" s="222"/>
      <c r="M177" s="222"/>
      <c r="N177" s="222"/>
      <c r="O177" s="222"/>
      <c r="P177" s="220"/>
    </row>
    <row r="178" spans="2:16">
      <c r="B178" s="218"/>
      <c r="C178" s="222"/>
      <c r="D178" s="222"/>
      <c r="E178" s="222"/>
      <c r="F178" s="222"/>
      <c r="G178" s="222"/>
      <c r="H178" s="222"/>
      <c r="I178" s="222"/>
      <c r="J178" s="222"/>
      <c r="K178" s="222"/>
      <c r="L178" s="222"/>
      <c r="M178" s="222"/>
      <c r="N178" s="222"/>
      <c r="O178" s="222"/>
      <c r="P178" s="220"/>
    </row>
    <row r="179" spans="2:16">
      <c r="B179" s="218"/>
      <c r="C179" s="222"/>
      <c r="D179" s="222"/>
      <c r="E179" s="222"/>
      <c r="F179" s="222"/>
      <c r="G179" s="222"/>
      <c r="H179" s="222"/>
      <c r="I179" s="222"/>
      <c r="J179" s="222"/>
      <c r="K179" s="222"/>
      <c r="L179" s="222"/>
      <c r="M179" s="222"/>
      <c r="N179" s="222"/>
      <c r="O179" s="222"/>
      <c r="P179" s="220"/>
    </row>
    <row r="180" spans="2:16">
      <c r="B180" s="218"/>
      <c r="C180" s="222"/>
      <c r="D180" s="222"/>
      <c r="E180" s="222"/>
      <c r="F180" s="222"/>
      <c r="G180" s="222"/>
      <c r="H180" s="222"/>
      <c r="I180" s="222"/>
      <c r="J180" s="222"/>
      <c r="K180" s="222"/>
      <c r="L180" s="222"/>
      <c r="M180" s="222"/>
      <c r="N180" s="222"/>
      <c r="O180" s="222"/>
      <c r="P180" s="220"/>
    </row>
    <row r="181" spans="2:16">
      <c r="B181" s="218"/>
      <c r="C181" s="222"/>
      <c r="D181" s="222"/>
      <c r="E181" s="222"/>
      <c r="F181" s="222"/>
      <c r="G181" s="222"/>
      <c r="H181" s="222"/>
      <c r="I181" s="222"/>
      <c r="J181" s="222"/>
      <c r="K181" s="222"/>
      <c r="L181" s="222"/>
      <c r="M181" s="222"/>
      <c r="N181" s="222"/>
      <c r="O181" s="222"/>
      <c r="P181" s="220"/>
    </row>
    <row r="182" spans="2:16">
      <c r="B182" s="218"/>
      <c r="C182" s="222"/>
      <c r="D182" s="222"/>
      <c r="E182" s="222"/>
      <c r="F182" s="222"/>
      <c r="G182" s="222"/>
      <c r="H182" s="222"/>
      <c r="I182" s="222"/>
      <c r="J182" s="222"/>
      <c r="K182" s="222"/>
      <c r="L182" s="222"/>
      <c r="M182" s="222"/>
      <c r="N182" s="222"/>
      <c r="O182" s="222"/>
      <c r="P182" s="220"/>
    </row>
    <row r="183" spans="2:16">
      <c r="B183" s="218"/>
      <c r="C183" s="222"/>
      <c r="D183" s="222"/>
      <c r="E183" s="222"/>
      <c r="F183" s="222"/>
      <c r="G183" s="222"/>
      <c r="H183" s="222"/>
      <c r="I183" s="222"/>
      <c r="J183" s="222"/>
      <c r="K183" s="222"/>
      <c r="L183" s="222"/>
      <c r="M183" s="222"/>
      <c r="N183" s="222"/>
      <c r="O183" s="222"/>
      <c r="P183" s="220"/>
    </row>
    <row r="184" spans="2:16">
      <c r="B184" s="218"/>
      <c r="C184" s="222"/>
      <c r="D184" s="222"/>
      <c r="E184" s="222"/>
      <c r="F184" s="222"/>
      <c r="G184" s="222"/>
      <c r="H184" s="222"/>
      <c r="I184" s="222"/>
      <c r="J184" s="222"/>
      <c r="K184" s="222"/>
      <c r="L184" s="222"/>
      <c r="M184" s="222"/>
      <c r="N184" s="222"/>
      <c r="O184" s="222"/>
      <c r="P184" s="220"/>
    </row>
    <row r="185" spans="2:16">
      <c r="B185" s="230"/>
      <c r="C185" s="224"/>
      <c r="D185" s="224"/>
      <c r="E185" s="224"/>
      <c r="F185" s="224"/>
      <c r="G185" s="224"/>
      <c r="H185" s="224"/>
      <c r="I185" s="224"/>
      <c r="J185" s="224"/>
      <c r="K185" s="224"/>
      <c r="L185" s="224"/>
      <c r="M185" s="224"/>
      <c r="N185" s="224"/>
      <c r="O185" s="224"/>
      <c r="P185" s="220"/>
    </row>
    <row r="186" spans="2:16">
      <c r="B186" s="220"/>
      <c r="C186" s="220"/>
      <c r="D186" s="220"/>
      <c r="E186" s="220"/>
      <c r="F186" s="220"/>
      <c r="G186" s="220"/>
      <c r="H186" s="220"/>
      <c r="I186" s="220"/>
      <c r="J186" s="220"/>
      <c r="K186" s="220"/>
      <c r="L186" s="220"/>
      <c r="M186" s="220"/>
      <c r="N186" s="220"/>
      <c r="O186" s="220"/>
      <c r="P186" s="220"/>
    </row>
    <row r="187" spans="2:16">
      <c r="B187" s="220"/>
      <c r="C187" s="220"/>
      <c r="D187" s="220"/>
      <c r="E187" s="220"/>
      <c r="F187" s="220"/>
      <c r="G187" s="220"/>
      <c r="H187" s="220"/>
      <c r="I187" s="220"/>
      <c r="J187" s="220"/>
      <c r="K187" s="220"/>
      <c r="L187" s="220"/>
      <c r="M187" s="220"/>
      <c r="N187" s="220"/>
      <c r="O187" s="220"/>
      <c r="P187" s="220"/>
    </row>
    <row r="188" spans="2:16">
      <c r="B188" s="220"/>
      <c r="C188" s="220"/>
      <c r="D188" s="220"/>
      <c r="E188" s="220"/>
      <c r="F188" s="220"/>
      <c r="G188" s="220"/>
      <c r="H188" s="220"/>
      <c r="I188" s="220"/>
      <c r="J188" s="220"/>
      <c r="K188" s="220"/>
      <c r="L188" s="220"/>
      <c r="M188" s="220"/>
      <c r="N188" s="220"/>
      <c r="O188" s="220"/>
      <c r="P188" s="220"/>
    </row>
    <row r="189" spans="2:16">
      <c r="B189" s="220"/>
      <c r="C189" s="220"/>
      <c r="D189" s="220"/>
      <c r="E189" s="220"/>
      <c r="F189" s="220"/>
      <c r="G189" s="220"/>
      <c r="H189" s="220"/>
      <c r="I189" s="220"/>
      <c r="J189" s="220"/>
      <c r="K189" s="220"/>
      <c r="L189" s="220"/>
      <c r="M189" s="220"/>
      <c r="N189" s="220"/>
      <c r="O189" s="220"/>
      <c r="P189" s="220"/>
    </row>
  </sheetData>
  <mergeCells count="1">
    <mergeCell ref="B70:B7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O21" zoomScale="90" zoomScaleNormal="90" workbookViewId="0">
      <selection activeCell="A5" sqref="A5:Y35"/>
    </sheetView>
  </sheetViews>
  <sheetFormatPr baseColWidth="10" defaultColWidth="11.44140625" defaultRowHeight="13.2"/>
  <cols>
    <col min="1" max="1" width="10.88671875" style="140" customWidth="1"/>
    <col min="2" max="25" width="9.88671875" style="140" customWidth="1"/>
    <col min="26" max="26" width="11.44140625" style="22"/>
    <col min="27" max="49" width="5.88671875" style="140" customWidth="1"/>
    <col min="50" max="50" width="7.88671875" style="140" bestFit="1" customWidth="1"/>
    <col min="51" max="51" width="5.88671875" style="140" customWidth="1"/>
    <col min="52" max="52" width="5" style="22" bestFit="1" customWidth="1"/>
    <col min="53" max="54" width="11.44140625" style="22"/>
    <col min="55" max="55" width="11.88671875" style="22" customWidth="1"/>
    <col min="56" max="65" width="14.88671875" style="141" customWidth="1"/>
    <col min="66" max="66" width="9.88671875" style="22" customWidth="1"/>
    <col min="67" max="16384" width="11.44140625" style="22"/>
  </cols>
  <sheetData>
    <row r="1" spans="1:66">
      <c r="A1" s="242" t="s">
        <v>255</v>
      </c>
      <c r="B1" s="241"/>
      <c r="C1" s="241"/>
      <c r="D1" s="241"/>
      <c r="E1" s="241"/>
      <c r="F1" s="241"/>
      <c r="G1" s="241"/>
      <c r="H1" s="241"/>
      <c r="I1" s="241"/>
      <c r="J1" s="241"/>
      <c r="K1" s="241"/>
      <c r="L1" s="241"/>
      <c r="M1" s="241"/>
      <c r="N1" s="241"/>
      <c r="O1" s="241"/>
      <c r="P1" s="241"/>
      <c r="Q1" s="241"/>
      <c r="R1" s="241"/>
      <c r="S1" s="241"/>
      <c r="T1" s="241"/>
      <c r="U1" s="241"/>
      <c r="V1" s="241"/>
      <c r="W1" s="241"/>
      <c r="X1" s="241"/>
      <c r="Y1" s="241"/>
      <c r="AA1" s="305" t="s">
        <v>154</v>
      </c>
      <c r="AB1" s="305"/>
      <c r="AC1" s="305"/>
      <c r="AD1" s="305"/>
      <c r="AE1" s="305"/>
      <c r="AF1" s="305"/>
      <c r="AG1" s="305"/>
      <c r="AH1" s="305"/>
      <c r="AI1" s="305"/>
      <c r="AJ1" s="305"/>
    </row>
    <row r="2" spans="1:66" ht="17.399999999999999">
      <c r="A2" s="242" t="s">
        <v>256</v>
      </c>
      <c r="B2" s="241"/>
      <c r="C2" s="241"/>
      <c r="D2" s="241"/>
      <c r="E2" s="241"/>
      <c r="F2" s="241"/>
      <c r="G2" s="243" t="s">
        <v>257</v>
      </c>
      <c r="H2" s="241"/>
      <c r="I2" s="241"/>
      <c r="J2" s="241"/>
      <c r="K2" s="241"/>
      <c r="L2" s="241"/>
      <c r="M2" s="241"/>
      <c r="N2" s="241"/>
      <c r="O2" s="241"/>
      <c r="P2" s="241"/>
      <c r="Q2" s="241"/>
      <c r="R2" s="241"/>
      <c r="S2" s="241"/>
      <c r="T2" s="242" t="s">
        <v>256</v>
      </c>
      <c r="U2" s="241"/>
      <c r="V2" s="241"/>
      <c r="W2" s="241"/>
      <c r="X2" s="241"/>
      <c r="Y2" s="241"/>
      <c r="AA2" s="156" t="s">
        <v>155</v>
      </c>
      <c r="AB2" s="156" t="s">
        <v>156</v>
      </c>
      <c r="AC2" s="156" t="s">
        <v>157</v>
      </c>
      <c r="AD2" s="156" t="s">
        <v>158</v>
      </c>
      <c r="AE2" s="156" t="s">
        <v>159</v>
      </c>
      <c r="AF2" s="156" t="s">
        <v>160</v>
      </c>
      <c r="AG2" s="156" t="s">
        <v>161</v>
      </c>
      <c r="AH2" s="156" t="s">
        <v>162</v>
      </c>
      <c r="AI2" s="156" t="s">
        <v>163</v>
      </c>
      <c r="AJ2" s="156" t="s">
        <v>164</v>
      </c>
      <c r="AK2" s="159"/>
    </row>
    <row r="3" spans="1:66" ht="15.6">
      <c r="A3" s="242" t="s">
        <v>256</v>
      </c>
      <c r="B3" s="241"/>
      <c r="C3" s="241"/>
      <c r="D3" s="241"/>
      <c r="E3" s="241"/>
      <c r="F3" s="241"/>
      <c r="G3" s="244" t="s">
        <v>256</v>
      </c>
      <c r="H3" s="241"/>
      <c r="I3" s="241"/>
      <c r="J3" s="241"/>
      <c r="K3" s="241"/>
      <c r="L3" s="241"/>
      <c r="M3" s="241"/>
      <c r="N3" s="241"/>
      <c r="O3" s="241"/>
      <c r="P3" s="241"/>
      <c r="Q3" s="241"/>
      <c r="R3" s="241"/>
      <c r="S3" s="241"/>
      <c r="T3" s="245" t="s">
        <v>256</v>
      </c>
      <c r="U3" s="241"/>
      <c r="V3" s="241"/>
      <c r="W3" s="241"/>
      <c r="X3" s="241"/>
      <c r="Y3" s="241"/>
    </row>
    <row r="4" spans="1:66">
      <c r="A4" s="246" t="s">
        <v>141</v>
      </c>
      <c r="B4" s="246" t="s">
        <v>112</v>
      </c>
      <c r="C4" s="246" t="s">
        <v>113</v>
      </c>
      <c r="D4" s="246" t="s">
        <v>114</v>
      </c>
      <c r="E4" s="246" t="s">
        <v>115</v>
      </c>
      <c r="F4" s="246" t="s">
        <v>116</v>
      </c>
      <c r="G4" s="246" t="s">
        <v>117</v>
      </c>
      <c r="H4" s="246" t="s">
        <v>118</v>
      </c>
      <c r="I4" s="246" t="s">
        <v>119</v>
      </c>
      <c r="J4" s="246" t="s">
        <v>120</v>
      </c>
      <c r="K4" s="246" t="s">
        <v>121</v>
      </c>
      <c r="L4" s="246" t="s">
        <v>122</v>
      </c>
      <c r="M4" s="246" t="s">
        <v>123</v>
      </c>
      <c r="N4" s="246" t="s">
        <v>124</v>
      </c>
      <c r="O4" s="246" t="s">
        <v>125</v>
      </c>
      <c r="P4" s="246" t="s">
        <v>126</v>
      </c>
      <c r="Q4" s="246" t="s">
        <v>127</v>
      </c>
      <c r="R4" s="246" t="s">
        <v>128</v>
      </c>
      <c r="S4" s="246" t="s">
        <v>129</v>
      </c>
      <c r="T4" s="246" t="s">
        <v>130</v>
      </c>
      <c r="U4" s="246" t="s">
        <v>131</v>
      </c>
      <c r="V4" s="246" t="s">
        <v>132</v>
      </c>
      <c r="W4" s="246" t="s">
        <v>133</v>
      </c>
      <c r="X4" s="246" t="s">
        <v>134</v>
      </c>
      <c r="Y4" s="246" t="s">
        <v>135</v>
      </c>
      <c r="AA4" s="156" t="s">
        <v>112</v>
      </c>
      <c r="AB4" s="156" t="s">
        <v>113</v>
      </c>
      <c r="AC4" s="156" t="s">
        <v>114</v>
      </c>
      <c r="AD4" s="156" t="s">
        <v>115</v>
      </c>
      <c r="AE4" s="156" t="s">
        <v>116</v>
      </c>
      <c r="AF4" s="156" t="s">
        <v>117</v>
      </c>
      <c r="AG4" s="156" t="s">
        <v>118</v>
      </c>
      <c r="AH4" s="156" t="s">
        <v>119</v>
      </c>
      <c r="AI4" s="156" t="s">
        <v>120</v>
      </c>
      <c r="AJ4" s="156" t="s">
        <v>121</v>
      </c>
      <c r="AK4" s="156" t="s">
        <v>122</v>
      </c>
      <c r="AL4" s="156" t="s">
        <v>123</v>
      </c>
      <c r="AM4" s="156" t="s">
        <v>124</v>
      </c>
      <c r="AN4" s="156" t="s">
        <v>125</v>
      </c>
      <c r="AO4" s="156" t="s">
        <v>126</v>
      </c>
      <c r="AP4" s="156" t="s">
        <v>127</v>
      </c>
      <c r="AQ4" s="156" t="s">
        <v>128</v>
      </c>
      <c r="AR4" s="156" t="s">
        <v>129</v>
      </c>
      <c r="AS4" s="156" t="s">
        <v>130</v>
      </c>
      <c r="AT4" s="156" t="s">
        <v>131</v>
      </c>
      <c r="AU4" s="156" t="s">
        <v>132</v>
      </c>
      <c r="AV4" s="156" t="s">
        <v>133</v>
      </c>
      <c r="AW4" s="156" t="s">
        <v>134</v>
      </c>
      <c r="AX4" s="156" t="s">
        <v>135</v>
      </c>
    </row>
    <row r="5" spans="1:66">
      <c r="A5" t="s">
        <v>359</v>
      </c>
      <c r="B5" t="s">
        <v>158</v>
      </c>
      <c r="C5" t="s">
        <v>158</v>
      </c>
      <c r="D5" t="s">
        <v>162</v>
      </c>
      <c r="E5" t="s">
        <v>164</v>
      </c>
      <c r="F5" t="s">
        <v>164</v>
      </c>
      <c r="G5" t="s">
        <v>164</v>
      </c>
      <c r="H5" t="s">
        <v>164</v>
      </c>
      <c r="I5" t="s">
        <v>162</v>
      </c>
      <c r="J5" t="s">
        <v>162</v>
      </c>
      <c r="K5" t="s">
        <v>162</v>
      </c>
      <c r="L5" t="s">
        <v>162</v>
      </c>
      <c r="M5" t="s">
        <v>164</v>
      </c>
      <c r="N5" t="s">
        <v>164</v>
      </c>
      <c r="O5" t="s">
        <v>164</v>
      </c>
      <c r="P5" t="s">
        <v>164</v>
      </c>
      <c r="Q5" t="s">
        <v>158</v>
      </c>
      <c r="R5" t="s">
        <v>158</v>
      </c>
      <c r="S5" t="s">
        <v>162</v>
      </c>
      <c r="T5" t="s">
        <v>164</v>
      </c>
      <c r="U5" t="s">
        <v>158</v>
      </c>
      <c r="V5" t="s">
        <v>158</v>
      </c>
      <c r="W5" t="s">
        <v>158</v>
      </c>
      <c r="X5" t="s">
        <v>158</v>
      </c>
      <c r="Y5" t="s">
        <v>155</v>
      </c>
      <c r="Z5" s="22" t="s">
        <v>256</v>
      </c>
      <c r="AA5" s="140">
        <f t="shared" ref="AA5:AP20" si="0">IF(IFERROR(FIND($AA$2,B5,1),0)=0,0,1)+IF(IFERROR(FIND($AB$2,B5,1),0)=0,0,1)+IF(IFERROR(FIND($AC$2,B5,1),0)=0,0,1)+IF(IFERROR(FIND($AD$2,B5,1),0)=0,0,1)+IF(IFERROR(FIND($AE$2,B5,1),0)=0,0,1)+IF(IFERROR(FIND($AF$2,B5,1),0)=0,0,1)+IF(IFERROR(FIND($AG$2,B5,1),0)=0,0,1)+IF(IFERROR(FIND($AH$2,B5,1),0)=0,0,1)+IF(IFERROR(FIND($AI$2,B5,1),0)=0,0,1)+IF(IFERROR(FIND($AJ$2,B5,1),0)=0,0,1)</f>
        <v>1</v>
      </c>
      <c r="AB5" s="140">
        <f t="shared" si="0"/>
        <v>1</v>
      </c>
      <c r="AC5" s="140">
        <f t="shared" si="0"/>
        <v>1</v>
      </c>
      <c r="AD5" s="140">
        <f t="shared" si="0"/>
        <v>1</v>
      </c>
      <c r="AE5" s="140">
        <f t="shared" si="0"/>
        <v>1</v>
      </c>
      <c r="AF5" s="140">
        <f t="shared" si="0"/>
        <v>1</v>
      </c>
      <c r="AG5" s="140">
        <f t="shared" si="0"/>
        <v>1</v>
      </c>
      <c r="AH5" s="140">
        <f t="shared" si="0"/>
        <v>1</v>
      </c>
      <c r="AI5" s="140">
        <f t="shared" si="0"/>
        <v>1</v>
      </c>
      <c r="AJ5" s="140">
        <f t="shared" si="0"/>
        <v>1</v>
      </c>
      <c r="AK5" s="140">
        <f t="shared" si="0"/>
        <v>1</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1</v>
      </c>
      <c r="AS5" s="140">
        <f t="shared" si="1"/>
        <v>1</v>
      </c>
      <c r="AT5" s="140">
        <f t="shared" si="1"/>
        <v>1</v>
      </c>
      <c r="AU5" s="140">
        <f t="shared" si="1"/>
        <v>1</v>
      </c>
      <c r="AV5" s="140">
        <f t="shared" si="1"/>
        <v>1</v>
      </c>
      <c r="AW5" s="140">
        <f t="shared" si="1"/>
        <v>1</v>
      </c>
      <c r="AX5" s="140">
        <f t="shared" si="1"/>
        <v>1</v>
      </c>
      <c r="AY5" s="140">
        <f>SUM(AA5:AX5)</f>
        <v>24</v>
      </c>
      <c r="BC5" s="142"/>
      <c r="BD5" s="160" t="s">
        <v>158</v>
      </c>
      <c r="BE5" s="160" t="s">
        <v>155</v>
      </c>
      <c r="BF5" s="160" t="s">
        <v>160</v>
      </c>
      <c r="BG5" s="160" t="s">
        <v>161</v>
      </c>
      <c r="BH5" s="160" t="s">
        <v>163</v>
      </c>
      <c r="BI5" s="160" t="s">
        <v>164</v>
      </c>
      <c r="BJ5" s="160" t="s">
        <v>159</v>
      </c>
      <c r="BK5" s="160" t="s">
        <v>165</v>
      </c>
      <c r="BL5" s="160" t="s">
        <v>156</v>
      </c>
      <c r="BM5" s="160" t="s">
        <v>157</v>
      </c>
      <c r="BN5" s="143"/>
    </row>
    <row r="6" spans="1:66">
      <c r="A6" t="s">
        <v>360</v>
      </c>
      <c r="B6" t="s">
        <v>162</v>
      </c>
      <c r="C6" t="s">
        <v>162</v>
      </c>
      <c r="D6" t="s">
        <v>158</v>
      </c>
      <c r="E6" t="s">
        <v>162</v>
      </c>
      <c r="F6" t="s">
        <v>162</v>
      </c>
      <c r="G6" t="s">
        <v>158</v>
      </c>
      <c r="H6" t="s">
        <v>162</v>
      </c>
      <c r="I6" t="s">
        <v>162</v>
      </c>
      <c r="J6" t="s">
        <v>162</v>
      </c>
      <c r="K6" t="s">
        <v>162</v>
      </c>
      <c r="L6" t="s">
        <v>162</v>
      </c>
      <c r="M6" t="s">
        <v>163</v>
      </c>
      <c r="N6" t="s">
        <v>163</v>
      </c>
      <c r="O6" t="s">
        <v>158</v>
      </c>
      <c r="P6" t="s">
        <v>162</v>
      </c>
      <c r="Q6" t="s">
        <v>162</v>
      </c>
      <c r="R6" t="s">
        <v>162</v>
      </c>
      <c r="S6" t="s">
        <v>163</v>
      </c>
      <c r="T6" t="s">
        <v>158</v>
      </c>
      <c r="U6" t="s">
        <v>162</v>
      </c>
      <c r="V6" t="s">
        <v>158</v>
      </c>
      <c r="W6" t="s">
        <v>158</v>
      </c>
      <c r="X6" t="s">
        <v>163</v>
      </c>
      <c r="Y6" t="s">
        <v>162</v>
      </c>
      <c r="Z6" s="22" t="s">
        <v>256</v>
      </c>
      <c r="AA6" s="140">
        <f t="shared" si="0"/>
        <v>1</v>
      </c>
      <c r="AB6" s="140">
        <f t="shared" si="0"/>
        <v>1</v>
      </c>
      <c r="AC6" s="140">
        <f t="shared" si="0"/>
        <v>1</v>
      </c>
      <c r="AD6" s="140">
        <f t="shared" si="0"/>
        <v>1</v>
      </c>
      <c r="AE6" s="140">
        <f t="shared" si="0"/>
        <v>1</v>
      </c>
      <c r="AF6" s="140">
        <f t="shared" si="0"/>
        <v>1</v>
      </c>
      <c r="AG6" s="140">
        <f t="shared" si="0"/>
        <v>1</v>
      </c>
      <c r="AH6" s="140">
        <f t="shared" si="0"/>
        <v>1</v>
      </c>
      <c r="AI6" s="140">
        <f t="shared" si="0"/>
        <v>1</v>
      </c>
      <c r="AJ6" s="140">
        <f t="shared" si="0"/>
        <v>1</v>
      </c>
      <c r="AK6" s="140">
        <f t="shared" si="0"/>
        <v>1</v>
      </c>
      <c r="AL6" s="140">
        <f t="shared" si="0"/>
        <v>1</v>
      </c>
      <c r="AM6" s="140">
        <f t="shared" si="0"/>
        <v>1</v>
      </c>
      <c r="AN6" s="140">
        <f t="shared" si="0"/>
        <v>1</v>
      </c>
      <c r="AO6" s="140">
        <f t="shared" si="0"/>
        <v>1</v>
      </c>
      <c r="AP6" s="140">
        <f t="shared" si="0"/>
        <v>1</v>
      </c>
      <c r="AQ6" s="140">
        <f t="shared" si="1"/>
        <v>1</v>
      </c>
      <c r="AR6" s="140">
        <f t="shared" si="1"/>
        <v>1</v>
      </c>
      <c r="AS6" s="140">
        <f t="shared" si="1"/>
        <v>1</v>
      </c>
      <c r="AT6" s="140">
        <f t="shared" si="1"/>
        <v>1</v>
      </c>
      <c r="AU6" s="140">
        <f t="shared" si="1"/>
        <v>1</v>
      </c>
      <c r="AV6" s="140">
        <f t="shared" si="1"/>
        <v>1</v>
      </c>
      <c r="AW6" s="140">
        <f t="shared" si="1"/>
        <v>1</v>
      </c>
      <c r="AX6" s="140">
        <f t="shared" si="1"/>
        <v>1</v>
      </c>
      <c r="AY6" s="140">
        <f t="shared" ref="AY6:AY35" si="2">SUM(AA6:AX6)</f>
        <v>24</v>
      </c>
      <c r="BC6" s="160" t="str">
        <f>A5</f>
        <v>01/01/22</v>
      </c>
      <c r="BD6" s="162">
        <f>AY137</f>
        <v>8</v>
      </c>
      <c r="BE6" s="162">
        <f>AY38</f>
        <v>1</v>
      </c>
      <c r="BF6" s="162">
        <f>AY203</f>
        <v>0</v>
      </c>
      <c r="BG6" s="162">
        <f>AY236</f>
        <v>0</v>
      </c>
      <c r="BH6" s="162">
        <f>AY302</f>
        <v>0</v>
      </c>
      <c r="BI6" s="162">
        <f>AY335</f>
        <v>9</v>
      </c>
      <c r="BJ6" s="162">
        <f>AY170</f>
        <v>0</v>
      </c>
      <c r="BK6" s="162">
        <f>AY269</f>
        <v>6</v>
      </c>
      <c r="BL6" s="162">
        <f>AY71</f>
        <v>0</v>
      </c>
      <c r="BM6" s="162">
        <f>AY104</f>
        <v>0</v>
      </c>
      <c r="BN6" s="144">
        <f t="shared" ref="BN6:BN33" si="3">SUM(BD6:BM6)</f>
        <v>24</v>
      </c>
    </row>
    <row r="7" spans="1:66">
      <c r="A7" t="s">
        <v>361</v>
      </c>
      <c r="B7" t="s">
        <v>158</v>
      </c>
      <c r="C7" t="s">
        <v>158</v>
      </c>
      <c r="D7" t="s">
        <v>163</v>
      </c>
      <c r="E7" t="s">
        <v>158</v>
      </c>
      <c r="F7" t="s">
        <v>163</v>
      </c>
      <c r="G7" t="s">
        <v>158</v>
      </c>
      <c r="H7" t="s">
        <v>158</v>
      </c>
      <c r="I7" t="s">
        <v>158</v>
      </c>
      <c r="J7" t="s">
        <v>158</v>
      </c>
      <c r="K7" t="s">
        <v>158</v>
      </c>
      <c r="L7" t="s">
        <v>158</v>
      </c>
      <c r="M7" t="s">
        <v>164</v>
      </c>
      <c r="N7" t="s">
        <v>158</v>
      </c>
      <c r="O7" t="s">
        <v>163</v>
      </c>
      <c r="P7" t="s">
        <v>162</v>
      </c>
      <c r="Q7" t="s">
        <v>162</v>
      </c>
      <c r="R7" t="s">
        <v>163</v>
      </c>
      <c r="S7" t="s">
        <v>158</v>
      </c>
      <c r="T7" t="s">
        <v>162</v>
      </c>
      <c r="U7" t="s">
        <v>162</v>
      </c>
      <c r="V7" t="s">
        <v>158</v>
      </c>
      <c r="W7" t="s">
        <v>163</v>
      </c>
      <c r="X7" t="s">
        <v>158</v>
      </c>
      <c r="Y7" t="s">
        <v>162</v>
      </c>
      <c r="Z7" s="22" t="s">
        <v>256</v>
      </c>
      <c r="AA7" s="140">
        <f t="shared" si="0"/>
        <v>1</v>
      </c>
      <c r="AB7" s="140">
        <f t="shared" si="0"/>
        <v>1</v>
      </c>
      <c r="AC7" s="140">
        <f t="shared" si="0"/>
        <v>1</v>
      </c>
      <c r="AD7" s="140">
        <f t="shared" si="0"/>
        <v>1</v>
      </c>
      <c r="AE7" s="140">
        <f t="shared" si="0"/>
        <v>1</v>
      </c>
      <c r="AF7" s="140">
        <f t="shared" si="0"/>
        <v>1</v>
      </c>
      <c r="AG7" s="140">
        <f t="shared" si="0"/>
        <v>1</v>
      </c>
      <c r="AH7" s="140">
        <f t="shared" si="0"/>
        <v>1</v>
      </c>
      <c r="AI7" s="140">
        <f t="shared" si="0"/>
        <v>1</v>
      </c>
      <c r="AJ7" s="140">
        <f t="shared" si="0"/>
        <v>1</v>
      </c>
      <c r="AK7" s="140">
        <f t="shared" si="0"/>
        <v>1</v>
      </c>
      <c r="AL7" s="140">
        <f t="shared" si="0"/>
        <v>1</v>
      </c>
      <c r="AM7" s="140">
        <f t="shared" si="0"/>
        <v>1</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1</v>
      </c>
      <c r="AY7" s="140">
        <f t="shared" si="2"/>
        <v>24</v>
      </c>
      <c r="BC7" s="160" t="str">
        <f t="shared" ref="BC7:BC35" si="4">A6</f>
        <v>02/01/22</v>
      </c>
      <c r="BD7" s="162">
        <f t="shared" ref="BD7:BD35" si="5">AY138</f>
        <v>6</v>
      </c>
      <c r="BE7" s="162">
        <f t="shared" ref="BE7:BE35" si="6">AY39</f>
        <v>0</v>
      </c>
      <c r="BF7" s="162">
        <f t="shared" ref="BF7:BF35" si="7">AY204</f>
        <v>0</v>
      </c>
      <c r="BG7" s="162">
        <f t="shared" ref="BG7:BG35" si="8">AY237</f>
        <v>0</v>
      </c>
      <c r="BH7" s="162">
        <f t="shared" ref="BH7:BH35" si="9">AY303</f>
        <v>4</v>
      </c>
      <c r="BI7" s="162">
        <f t="shared" ref="BI7:BI35" si="10">AY336</f>
        <v>0</v>
      </c>
      <c r="BJ7" s="162">
        <f t="shared" ref="BJ7:BJ35" si="11">AY171</f>
        <v>0</v>
      </c>
      <c r="BK7" s="162">
        <f t="shared" ref="BK7:BK35" si="12">AY270</f>
        <v>14</v>
      </c>
      <c r="BL7" s="162">
        <f t="shared" ref="BL7:BL35" si="13">AY72</f>
        <v>0</v>
      </c>
      <c r="BM7" s="162">
        <f t="shared" ref="BM7:BM35" si="14">AY105</f>
        <v>0</v>
      </c>
      <c r="BN7" s="144">
        <f t="shared" si="3"/>
        <v>24</v>
      </c>
    </row>
    <row r="8" spans="1:66" ht="12.75" customHeight="1">
      <c r="A8" t="s">
        <v>362</v>
      </c>
      <c r="B8" t="s">
        <v>158</v>
      </c>
      <c r="C8" t="s">
        <v>158</v>
      </c>
      <c r="D8" t="s">
        <v>158</v>
      </c>
      <c r="E8" t="s">
        <v>162</v>
      </c>
      <c r="F8" t="s">
        <v>162</v>
      </c>
      <c r="G8" t="s">
        <v>158</v>
      </c>
      <c r="H8" t="s">
        <v>158</v>
      </c>
      <c r="I8" t="s">
        <v>155</v>
      </c>
      <c r="J8" t="s">
        <v>164</v>
      </c>
      <c r="K8" t="s">
        <v>363</v>
      </c>
      <c r="L8" t="s">
        <v>158</v>
      </c>
      <c r="M8" t="s">
        <v>164</v>
      </c>
      <c r="N8" t="s">
        <v>164</v>
      </c>
      <c r="O8" t="s">
        <v>164</v>
      </c>
      <c r="P8" t="s">
        <v>163</v>
      </c>
      <c r="Q8" t="s">
        <v>155</v>
      </c>
      <c r="R8" t="s">
        <v>155</v>
      </c>
      <c r="S8" t="s">
        <v>158</v>
      </c>
      <c r="T8" t="s">
        <v>158</v>
      </c>
      <c r="U8" t="s">
        <v>164</v>
      </c>
      <c r="V8" t="s">
        <v>158</v>
      </c>
      <c r="W8" t="s">
        <v>158</v>
      </c>
      <c r="X8" t="s">
        <v>163</v>
      </c>
      <c r="Y8" t="s">
        <v>162</v>
      </c>
      <c r="Z8" s="22" t="s">
        <v>256</v>
      </c>
      <c r="AA8" s="140">
        <f t="shared" si="0"/>
        <v>1</v>
      </c>
      <c r="AB8" s="140">
        <f t="shared" si="0"/>
        <v>1</v>
      </c>
      <c r="AC8" s="140">
        <f t="shared" si="0"/>
        <v>1</v>
      </c>
      <c r="AD8" s="140">
        <f t="shared" si="0"/>
        <v>1</v>
      </c>
      <c r="AE8" s="140">
        <f t="shared" si="0"/>
        <v>1</v>
      </c>
      <c r="AF8" s="140">
        <f t="shared" si="0"/>
        <v>1</v>
      </c>
      <c r="AG8" s="140">
        <f t="shared" si="0"/>
        <v>1</v>
      </c>
      <c r="AH8" s="140">
        <f t="shared" si="0"/>
        <v>1</v>
      </c>
      <c r="AI8" s="140">
        <f t="shared" si="0"/>
        <v>1</v>
      </c>
      <c r="AJ8" s="140">
        <f t="shared" si="0"/>
        <v>2</v>
      </c>
      <c r="AK8" s="140">
        <f t="shared" si="0"/>
        <v>1</v>
      </c>
      <c r="AL8" s="140">
        <f t="shared" si="0"/>
        <v>1</v>
      </c>
      <c r="AM8" s="140">
        <f t="shared" si="0"/>
        <v>1</v>
      </c>
      <c r="AN8" s="140">
        <f t="shared" si="0"/>
        <v>1</v>
      </c>
      <c r="AO8" s="140">
        <f t="shared" si="0"/>
        <v>1</v>
      </c>
      <c r="AP8" s="140">
        <f t="shared" si="0"/>
        <v>1</v>
      </c>
      <c r="AQ8" s="140">
        <f t="shared" si="1"/>
        <v>1</v>
      </c>
      <c r="AR8" s="140">
        <f t="shared" si="1"/>
        <v>1</v>
      </c>
      <c r="AS8" s="140">
        <f t="shared" si="1"/>
        <v>1</v>
      </c>
      <c r="AT8" s="140">
        <f t="shared" si="1"/>
        <v>1</v>
      </c>
      <c r="AU8" s="140">
        <f t="shared" si="1"/>
        <v>1</v>
      </c>
      <c r="AV8" s="140">
        <f t="shared" si="1"/>
        <v>1</v>
      </c>
      <c r="AW8" s="140">
        <f t="shared" si="1"/>
        <v>1</v>
      </c>
      <c r="AX8" s="140">
        <f t="shared" si="1"/>
        <v>1</v>
      </c>
      <c r="AY8" s="140">
        <f t="shared" si="2"/>
        <v>25</v>
      </c>
      <c r="BC8" s="160" t="str">
        <f t="shared" si="4"/>
        <v>03/01/22</v>
      </c>
      <c r="BD8" s="162">
        <f t="shared" si="5"/>
        <v>13</v>
      </c>
      <c r="BE8" s="162">
        <f t="shared" si="6"/>
        <v>0</v>
      </c>
      <c r="BF8" s="162">
        <f t="shared" si="7"/>
        <v>0</v>
      </c>
      <c r="BG8" s="162">
        <f t="shared" si="8"/>
        <v>0</v>
      </c>
      <c r="BH8" s="162">
        <f t="shared" si="9"/>
        <v>5</v>
      </c>
      <c r="BI8" s="162">
        <f t="shared" si="10"/>
        <v>1</v>
      </c>
      <c r="BJ8" s="162">
        <f t="shared" si="11"/>
        <v>0</v>
      </c>
      <c r="BK8" s="162">
        <f t="shared" si="12"/>
        <v>5</v>
      </c>
      <c r="BL8" s="162">
        <f t="shared" si="13"/>
        <v>0</v>
      </c>
      <c r="BM8" s="162">
        <f t="shared" si="14"/>
        <v>0</v>
      </c>
      <c r="BN8" s="144">
        <f t="shared" si="3"/>
        <v>24</v>
      </c>
    </row>
    <row r="9" spans="1:66">
      <c r="A9" t="s">
        <v>364</v>
      </c>
      <c r="B9" t="s">
        <v>158</v>
      </c>
      <c r="C9" t="s">
        <v>365</v>
      </c>
      <c r="D9" t="s">
        <v>164</v>
      </c>
      <c r="E9" t="s">
        <v>162</v>
      </c>
      <c r="F9" t="s">
        <v>158</v>
      </c>
      <c r="G9" t="s">
        <v>158</v>
      </c>
      <c r="H9" t="s">
        <v>158</v>
      </c>
      <c r="I9" t="s">
        <v>158</v>
      </c>
      <c r="J9" t="s">
        <v>163</v>
      </c>
      <c r="K9" t="s">
        <v>158</v>
      </c>
      <c r="L9" t="s">
        <v>158</v>
      </c>
      <c r="M9" t="s">
        <v>158</v>
      </c>
      <c r="N9" t="s">
        <v>155</v>
      </c>
      <c r="O9" t="s">
        <v>158</v>
      </c>
      <c r="P9" t="s">
        <v>158</v>
      </c>
      <c r="Q9" t="s">
        <v>366</v>
      </c>
      <c r="R9" t="s">
        <v>158</v>
      </c>
      <c r="S9" t="s">
        <v>163</v>
      </c>
      <c r="T9" t="s">
        <v>162</v>
      </c>
      <c r="U9" t="s">
        <v>162</v>
      </c>
      <c r="V9" t="s">
        <v>155</v>
      </c>
      <c r="W9" t="s">
        <v>155</v>
      </c>
      <c r="X9" t="s">
        <v>158</v>
      </c>
      <c r="Y9" t="s">
        <v>366</v>
      </c>
      <c r="Z9" s="22" t="s">
        <v>256</v>
      </c>
      <c r="AA9" s="140">
        <f t="shared" si="0"/>
        <v>1</v>
      </c>
      <c r="AB9" s="140">
        <f t="shared" si="0"/>
        <v>2</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2</v>
      </c>
      <c r="AQ9" s="140">
        <f t="shared" si="1"/>
        <v>1</v>
      </c>
      <c r="AR9" s="140">
        <f t="shared" si="1"/>
        <v>1</v>
      </c>
      <c r="AS9" s="140">
        <f t="shared" si="1"/>
        <v>1</v>
      </c>
      <c r="AT9" s="140">
        <f t="shared" si="1"/>
        <v>1</v>
      </c>
      <c r="AU9" s="140">
        <f t="shared" si="1"/>
        <v>1</v>
      </c>
      <c r="AV9" s="140">
        <f t="shared" si="1"/>
        <v>1</v>
      </c>
      <c r="AW9" s="140">
        <f t="shared" si="1"/>
        <v>1</v>
      </c>
      <c r="AX9" s="140">
        <f t="shared" si="1"/>
        <v>2</v>
      </c>
      <c r="AY9" s="140">
        <f t="shared" si="2"/>
        <v>27</v>
      </c>
      <c r="BC9" s="160" t="str">
        <f t="shared" si="4"/>
        <v>04/01/22</v>
      </c>
      <c r="BD9" s="162">
        <f t="shared" si="5"/>
        <v>10.5</v>
      </c>
      <c r="BE9" s="162">
        <f t="shared" si="6"/>
        <v>3</v>
      </c>
      <c r="BF9" s="162">
        <f t="shared" si="7"/>
        <v>0</v>
      </c>
      <c r="BG9" s="162">
        <f t="shared" si="8"/>
        <v>0</v>
      </c>
      <c r="BH9" s="162">
        <f t="shared" si="9"/>
        <v>2</v>
      </c>
      <c r="BI9" s="162">
        <f t="shared" si="10"/>
        <v>5</v>
      </c>
      <c r="BJ9" s="162">
        <f t="shared" si="11"/>
        <v>0</v>
      </c>
      <c r="BK9" s="162">
        <f t="shared" si="12"/>
        <v>3.5</v>
      </c>
      <c r="BL9" s="162">
        <f t="shared" si="13"/>
        <v>0</v>
      </c>
      <c r="BM9" s="162">
        <f t="shared" si="14"/>
        <v>0</v>
      </c>
      <c r="BN9" s="144">
        <f t="shared" si="3"/>
        <v>24</v>
      </c>
    </row>
    <row r="10" spans="1:66" ht="12.75" customHeight="1">
      <c r="A10" t="s">
        <v>367</v>
      </c>
      <c r="B10" t="s">
        <v>363</v>
      </c>
      <c r="C10" t="s">
        <v>163</v>
      </c>
      <c r="D10" t="s">
        <v>162</v>
      </c>
      <c r="E10" t="s">
        <v>158</v>
      </c>
      <c r="F10" t="s">
        <v>158</v>
      </c>
      <c r="G10" t="s">
        <v>163</v>
      </c>
      <c r="H10" t="s">
        <v>163</v>
      </c>
      <c r="I10" t="s">
        <v>158</v>
      </c>
      <c r="J10" t="s">
        <v>158</v>
      </c>
      <c r="K10" t="s">
        <v>158</v>
      </c>
      <c r="L10" t="s">
        <v>163</v>
      </c>
      <c r="M10" t="s">
        <v>158</v>
      </c>
      <c r="N10" t="s">
        <v>158</v>
      </c>
      <c r="O10" t="s">
        <v>158</v>
      </c>
      <c r="P10" t="s">
        <v>158</v>
      </c>
      <c r="Q10" t="s">
        <v>155</v>
      </c>
      <c r="R10" t="s">
        <v>158</v>
      </c>
      <c r="S10" t="s">
        <v>163</v>
      </c>
      <c r="T10" t="s">
        <v>158</v>
      </c>
      <c r="U10" t="s">
        <v>162</v>
      </c>
      <c r="V10" t="s">
        <v>158</v>
      </c>
      <c r="W10" t="s">
        <v>155</v>
      </c>
      <c r="X10" t="s">
        <v>158</v>
      </c>
      <c r="Y10" t="s">
        <v>158</v>
      </c>
      <c r="Z10" s="22" t="s">
        <v>256</v>
      </c>
      <c r="AA10" s="140">
        <f t="shared" si="0"/>
        <v>2</v>
      </c>
      <c r="AB10" s="140">
        <f t="shared" si="0"/>
        <v>1</v>
      </c>
      <c r="AC10" s="140">
        <f t="shared" si="0"/>
        <v>1</v>
      </c>
      <c r="AD10" s="140">
        <f t="shared" si="0"/>
        <v>1</v>
      </c>
      <c r="AE10" s="140">
        <f t="shared" si="0"/>
        <v>1</v>
      </c>
      <c r="AF10" s="140">
        <f t="shared" si="0"/>
        <v>1</v>
      </c>
      <c r="AG10" s="140">
        <f t="shared" si="0"/>
        <v>1</v>
      </c>
      <c r="AH10" s="140">
        <f t="shared" si="0"/>
        <v>1</v>
      </c>
      <c r="AI10" s="140">
        <f t="shared" si="0"/>
        <v>1</v>
      </c>
      <c r="AJ10" s="140">
        <f t="shared" si="0"/>
        <v>1</v>
      </c>
      <c r="AK10" s="140">
        <f t="shared" si="0"/>
        <v>1</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25</v>
      </c>
      <c r="BC10" s="160" t="str">
        <f t="shared" si="4"/>
        <v>05/01/22</v>
      </c>
      <c r="BD10" s="162">
        <f t="shared" si="5"/>
        <v>13</v>
      </c>
      <c r="BE10" s="162">
        <f t="shared" si="6"/>
        <v>3</v>
      </c>
      <c r="BF10" s="162">
        <f t="shared" si="7"/>
        <v>0</v>
      </c>
      <c r="BG10" s="162">
        <f t="shared" si="8"/>
        <v>0</v>
      </c>
      <c r="BH10" s="162">
        <f t="shared" si="9"/>
        <v>3.5</v>
      </c>
      <c r="BI10" s="162">
        <f t="shared" si="10"/>
        <v>1</v>
      </c>
      <c r="BJ10" s="162">
        <f t="shared" si="11"/>
        <v>0</v>
      </c>
      <c r="BK10" s="162">
        <f t="shared" si="12"/>
        <v>3.5</v>
      </c>
      <c r="BL10" s="162">
        <f t="shared" si="13"/>
        <v>0</v>
      </c>
      <c r="BM10" s="162">
        <f t="shared" si="14"/>
        <v>0</v>
      </c>
      <c r="BN10" s="144">
        <f t="shared" si="3"/>
        <v>24</v>
      </c>
    </row>
    <row r="11" spans="1:66" ht="12.75" customHeight="1">
      <c r="A11" t="s">
        <v>368</v>
      </c>
      <c r="B11" t="s">
        <v>158</v>
      </c>
      <c r="C11" t="s">
        <v>162</v>
      </c>
      <c r="D11" t="s">
        <v>162</v>
      </c>
      <c r="E11" t="s">
        <v>158</v>
      </c>
      <c r="F11" t="s">
        <v>164</v>
      </c>
      <c r="G11" t="s">
        <v>158</v>
      </c>
      <c r="H11" t="s">
        <v>158</v>
      </c>
      <c r="I11" t="s">
        <v>158</v>
      </c>
      <c r="J11" t="s">
        <v>158</v>
      </c>
      <c r="K11" t="s">
        <v>363</v>
      </c>
      <c r="L11" t="s">
        <v>162</v>
      </c>
      <c r="M11" t="s">
        <v>155</v>
      </c>
      <c r="N11" t="s">
        <v>158</v>
      </c>
      <c r="O11" t="s">
        <v>163</v>
      </c>
      <c r="P11" t="s">
        <v>158</v>
      </c>
      <c r="Q11" t="s">
        <v>158</v>
      </c>
      <c r="R11" t="s">
        <v>158</v>
      </c>
      <c r="S11" t="s">
        <v>158</v>
      </c>
      <c r="T11" t="s">
        <v>158</v>
      </c>
      <c r="U11" t="s">
        <v>369</v>
      </c>
      <c r="V11" t="s">
        <v>158</v>
      </c>
      <c r="W11" t="s">
        <v>158</v>
      </c>
      <c r="X11" t="s">
        <v>155</v>
      </c>
      <c r="Y11" t="s">
        <v>163</v>
      </c>
      <c r="Z11" s="22" t="s">
        <v>256</v>
      </c>
      <c r="AA11" s="140">
        <f t="shared" si="0"/>
        <v>1</v>
      </c>
      <c r="AB11" s="140">
        <f t="shared" si="0"/>
        <v>1</v>
      </c>
      <c r="AC11" s="140">
        <f t="shared" si="0"/>
        <v>1</v>
      </c>
      <c r="AD11" s="140">
        <f t="shared" si="0"/>
        <v>1</v>
      </c>
      <c r="AE11" s="140">
        <f t="shared" si="0"/>
        <v>1</v>
      </c>
      <c r="AF11" s="140">
        <f t="shared" si="0"/>
        <v>1</v>
      </c>
      <c r="AG11" s="140">
        <f t="shared" si="0"/>
        <v>1</v>
      </c>
      <c r="AH11" s="140">
        <f t="shared" si="0"/>
        <v>1</v>
      </c>
      <c r="AI11" s="140">
        <f t="shared" si="0"/>
        <v>1</v>
      </c>
      <c r="AJ11" s="140">
        <f>IF(IFERROR(FIND($AA$2,K11,1),0)=0,0,1)+IF(IFERROR(FIND($AB$2,K11,1),0)=0,0,1)+IF(IFERROR(FIND($AC$2,K11,1),0)=0,0,1)+IF(IFERROR(FIND($AD$2,K11,1),0)=0,0,1)+IF(IFERROR(FIND($AE$2,K11,1),0)=0,0,1)+IF(IFERROR(FIND($AF$2,K11,1),0)=0,0,1)+IF(IFERROR(FIND($AG$2,K11,1),0)=0,0,1)+IF(IFERROR(FIND($AH$2,K11,1),0)=0,0,1)+IF(IFERROR(FIND($AI$2,K11,1),0)=0,0,1)+IF(IFERROR(FIND($AJ$2,K11,1),0)=0,0,1)</f>
        <v>2</v>
      </c>
      <c r="AK11" s="140">
        <f t="shared" si="0"/>
        <v>1</v>
      </c>
      <c r="AL11" s="140">
        <f t="shared" si="0"/>
        <v>1</v>
      </c>
      <c r="AM11" s="140">
        <f t="shared" si="0"/>
        <v>1</v>
      </c>
      <c r="AN11" s="140">
        <f t="shared" si="0"/>
        <v>1</v>
      </c>
      <c r="AO11" s="140">
        <f t="shared" si="0"/>
        <v>1</v>
      </c>
      <c r="AP11" s="140">
        <f t="shared" si="0"/>
        <v>1</v>
      </c>
      <c r="AQ11" s="140">
        <f t="shared" si="1"/>
        <v>1</v>
      </c>
      <c r="AR11" s="140">
        <f t="shared" si="1"/>
        <v>1</v>
      </c>
      <c r="AS11" s="140">
        <f t="shared" si="1"/>
        <v>1</v>
      </c>
      <c r="AT11" s="140">
        <f t="shared" si="1"/>
        <v>3</v>
      </c>
      <c r="AU11" s="140">
        <f t="shared" si="1"/>
        <v>1</v>
      </c>
      <c r="AV11" s="140">
        <f t="shared" si="1"/>
        <v>1</v>
      </c>
      <c r="AW11" s="140">
        <f t="shared" si="1"/>
        <v>1</v>
      </c>
      <c r="AX11" s="140">
        <f t="shared" si="1"/>
        <v>1</v>
      </c>
      <c r="AY11" s="140">
        <f t="shared" si="2"/>
        <v>27</v>
      </c>
      <c r="BC11" s="160" t="str">
        <f t="shared" si="4"/>
        <v>06/01/22</v>
      </c>
      <c r="BD11" s="162">
        <f t="shared" si="5"/>
        <v>14.5</v>
      </c>
      <c r="BE11" s="162">
        <f t="shared" si="6"/>
        <v>2</v>
      </c>
      <c r="BF11" s="162">
        <f t="shared" si="7"/>
        <v>0</v>
      </c>
      <c r="BG11" s="162">
        <f t="shared" si="8"/>
        <v>0</v>
      </c>
      <c r="BH11" s="162">
        <f t="shared" si="9"/>
        <v>5</v>
      </c>
      <c r="BI11" s="162">
        <f t="shared" si="10"/>
        <v>0</v>
      </c>
      <c r="BJ11" s="162">
        <f t="shared" si="11"/>
        <v>0</v>
      </c>
      <c r="BK11" s="162">
        <f t="shared" si="12"/>
        <v>2.5</v>
      </c>
      <c r="BL11" s="162">
        <f t="shared" si="13"/>
        <v>0</v>
      </c>
      <c r="BM11" s="162">
        <f t="shared" si="14"/>
        <v>0</v>
      </c>
      <c r="BN11" s="144">
        <f t="shared" si="3"/>
        <v>24</v>
      </c>
    </row>
    <row r="12" spans="1:66" ht="12.75" customHeight="1">
      <c r="A12" t="s">
        <v>370</v>
      </c>
      <c r="B12" t="s">
        <v>155</v>
      </c>
      <c r="C12" t="s">
        <v>158</v>
      </c>
      <c r="D12" t="s">
        <v>158</v>
      </c>
      <c r="E12" t="s">
        <v>158</v>
      </c>
      <c r="F12" t="s">
        <v>155</v>
      </c>
      <c r="G12" t="s">
        <v>155</v>
      </c>
      <c r="H12" t="s">
        <v>163</v>
      </c>
      <c r="I12" t="s">
        <v>158</v>
      </c>
      <c r="J12" t="s">
        <v>158</v>
      </c>
      <c r="K12" t="s">
        <v>162</v>
      </c>
      <c r="L12" t="s">
        <v>162</v>
      </c>
      <c r="M12" t="s">
        <v>158</v>
      </c>
      <c r="N12" t="s">
        <v>158</v>
      </c>
      <c r="O12" t="s">
        <v>162</v>
      </c>
      <c r="P12" t="s">
        <v>158</v>
      </c>
      <c r="Q12" t="s">
        <v>164</v>
      </c>
      <c r="R12" t="s">
        <v>164</v>
      </c>
      <c r="S12" t="s">
        <v>158</v>
      </c>
      <c r="T12" t="s">
        <v>158</v>
      </c>
      <c r="U12" t="s">
        <v>363</v>
      </c>
      <c r="V12" t="s">
        <v>363</v>
      </c>
      <c r="W12" t="s">
        <v>158</v>
      </c>
      <c r="X12" t="s">
        <v>162</v>
      </c>
      <c r="Y12" t="s">
        <v>162</v>
      </c>
      <c r="Z12" s="22" t="s">
        <v>256</v>
      </c>
      <c r="AA12" s="140">
        <f t="shared" si="0"/>
        <v>1</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1</v>
      </c>
      <c r="AO12" s="140">
        <f t="shared" si="0"/>
        <v>1</v>
      </c>
      <c r="AP12" s="140">
        <f t="shared" si="0"/>
        <v>1</v>
      </c>
      <c r="AQ12" s="140">
        <f t="shared" si="1"/>
        <v>1</v>
      </c>
      <c r="AR12" s="140">
        <f t="shared" si="1"/>
        <v>1</v>
      </c>
      <c r="AS12" s="140">
        <f t="shared" si="1"/>
        <v>1</v>
      </c>
      <c r="AT12" s="140">
        <f t="shared" si="1"/>
        <v>2</v>
      </c>
      <c r="AU12" s="140">
        <f t="shared" si="1"/>
        <v>2</v>
      </c>
      <c r="AV12" s="140">
        <f t="shared" si="1"/>
        <v>1</v>
      </c>
      <c r="AW12" s="140">
        <f t="shared" si="1"/>
        <v>1</v>
      </c>
      <c r="AX12" s="140">
        <f t="shared" si="1"/>
        <v>1</v>
      </c>
      <c r="AY12" s="140">
        <f t="shared" si="2"/>
        <v>26</v>
      </c>
      <c r="BC12" s="160" t="str">
        <f t="shared" si="4"/>
        <v>07/01/22</v>
      </c>
      <c r="BD12" s="162">
        <f>AY143</f>
        <v>14.833333333333334</v>
      </c>
      <c r="BE12" s="162">
        <f t="shared" si="6"/>
        <v>2.333333333333333</v>
      </c>
      <c r="BF12" s="162">
        <f t="shared" si="7"/>
        <v>0</v>
      </c>
      <c r="BG12" s="162">
        <f t="shared" si="8"/>
        <v>0</v>
      </c>
      <c r="BH12" s="162">
        <f t="shared" si="9"/>
        <v>2</v>
      </c>
      <c r="BI12" s="162">
        <f t="shared" si="10"/>
        <v>1</v>
      </c>
      <c r="BJ12" s="162">
        <f t="shared" si="11"/>
        <v>0</v>
      </c>
      <c r="BK12" s="162">
        <f t="shared" si="12"/>
        <v>3.3333333333333335</v>
      </c>
      <c r="BL12" s="162">
        <f t="shared" si="13"/>
        <v>0</v>
      </c>
      <c r="BM12" s="162">
        <f t="shared" si="14"/>
        <v>0</v>
      </c>
      <c r="BN12" s="144">
        <f>SUM(BD12:BM12)</f>
        <v>23.5</v>
      </c>
    </row>
    <row r="13" spans="1:66" ht="12.75" customHeight="1">
      <c r="A13" t="s">
        <v>371</v>
      </c>
      <c r="B13" t="s">
        <v>158</v>
      </c>
      <c r="C13" t="s">
        <v>164</v>
      </c>
      <c r="D13" t="s">
        <v>158</v>
      </c>
      <c r="E13" t="s">
        <v>162</v>
      </c>
      <c r="F13" t="s">
        <v>158</v>
      </c>
      <c r="G13" t="s">
        <v>158</v>
      </c>
      <c r="H13" t="s">
        <v>162</v>
      </c>
      <c r="I13" t="s">
        <v>164</v>
      </c>
      <c r="J13" t="s">
        <v>158</v>
      </c>
      <c r="K13" t="s">
        <v>162</v>
      </c>
      <c r="L13" t="s">
        <v>162</v>
      </c>
      <c r="M13" t="s">
        <v>158</v>
      </c>
      <c r="N13" t="s">
        <v>162</v>
      </c>
      <c r="O13" t="s">
        <v>162</v>
      </c>
      <c r="P13" t="s">
        <v>158</v>
      </c>
      <c r="Q13" t="s">
        <v>162</v>
      </c>
      <c r="R13" t="s">
        <v>164</v>
      </c>
      <c r="S13" t="s">
        <v>164</v>
      </c>
      <c r="T13" t="s">
        <v>158</v>
      </c>
      <c r="U13" t="s">
        <v>158</v>
      </c>
      <c r="V13" t="s">
        <v>158</v>
      </c>
      <c r="W13" t="s">
        <v>158</v>
      </c>
      <c r="X13" t="s">
        <v>158</v>
      </c>
      <c r="Y13" t="s">
        <v>162</v>
      </c>
      <c r="Z13" s="22" t="s">
        <v>256</v>
      </c>
      <c r="AA13" s="140">
        <f t="shared" si="0"/>
        <v>1</v>
      </c>
      <c r="AB13" s="140">
        <f t="shared" si="0"/>
        <v>1</v>
      </c>
      <c r="AC13" s="140">
        <f t="shared" si="0"/>
        <v>1</v>
      </c>
      <c r="AD13" s="140">
        <f t="shared" si="0"/>
        <v>1</v>
      </c>
      <c r="AE13" s="140">
        <f t="shared" si="0"/>
        <v>1</v>
      </c>
      <c r="AF13" s="140">
        <f t="shared" si="0"/>
        <v>1</v>
      </c>
      <c r="AG13" s="140">
        <f t="shared" si="0"/>
        <v>1</v>
      </c>
      <c r="AH13" s="140">
        <f t="shared" si="0"/>
        <v>1</v>
      </c>
      <c r="AI13" s="140">
        <f>IF(IFERROR(FIND($AA$2,K11,1),0)=0,0,1)+IF(IFERROR(FIND($AB$2,K11,1),0)=0,0,1)+IF(IFERROR(FIND($AC$2,K11,1),0)=0,0,1)+IF(IFERROR(FIND($AD$2,K11,1),0)=0,0,1)+IF(IFERROR(FIND($AE$2,K11,1),0)=0,0,1)+IF(IFERROR(FIND($AF$2,K11,1),0)=0,0,1)+IF(IFERROR(FIND($AG$2,K11,1),0)=0,0,1)+IF(IFERROR(FIND($AH$2,K11,1),0)=0,0,1)+IF(IFERROR(FIND($AI$2,K11,1),0)=0,0,1)+IF(IFERROR(FIND($AJ$2,K11,1),0)=0,0,1)</f>
        <v>2</v>
      </c>
      <c r="AJ13" s="140">
        <f t="shared" si="0"/>
        <v>1</v>
      </c>
      <c r="AK13" s="140">
        <f t="shared" si="0"/>
        <v>1</v>
      </c>
      <c r="AL13" s="140">
        <f t="shared" si="0"/>
        <v>1</v>
      </c>
      <c r="AM13" s="140">
        <f t="shared" si="0"/>
        <v>1</v>
      </c>
      <c r="AN13" s="140">
        <f t="shared" si="0"/>
        <v>1</v>
      </c>
      <c r="AO13" s="140">
        <f t="shared" si="0"/>
        <v>1</v>
      </c>
      <c r="AP13" s="140">
        <f t="shared" si="0"/>
        <v>1</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25</v>
      </c>
      <c r="BC13" s="160" t="str">
        <f t="shared" si="4"/>
        <v>08/01/22</v>
      </c>
      <c r="BD13" s="162">
        <f t="shared" si="5"/>
        <v>12</v>
      </c>
      <c r="BE13" s="162">
        <f t="shared" si="6"/>
        <v>3</v>
      </c>
      <c r="BF13" s="162">
        <f t="shared" si="7"/>
        <v>0</v>
      </c>
      <c r="BG13" s="162">
        <f t="shared" si="8"/>
        <v>0</v>
      </c>
      <c r="BH13" s="162">
        <f t="shared" si="9"/>
        <v>1</v>
      </c>
      <c r="BI13" s="162">
        <f t="shared" si="10"/>
        <v>2</v>
      </c>
      <c r="BJ13" s="162">
        <f t="shared" si="11"/>
        <v>0</v>
      </c>
      <c r="BK13" s="162">
        <f t="shared" si="12"/>
        <v>6</v>
      </c>
      <c r="BL13" s="162">
        <f t="shared" si="13"/>
        <v>0</v>
      </c>
      <c r="BM13" s="162">
        <f t="shared" si="14"/>
        <v>0</v>
      </c>
      <c r="BN13" s="144">
        <f t="shared" si="3"/>
        <v>24</v>
      </c>
    </row>
    <row r="14" spans="1:66" ht="12.75" customHeight="1">
      <c r="A14" t="s">
        <v>372</v>
      </c>
      <c r="B14" t="s">
        <v>162</v>
      </c>
      <c r="C14" t="s">
        <v>155</v>
      </c>
      <c r="D14" t="s">
        <v>164</v>
      </c>
      <c r="E14" t="s">
        <v>164</v>
      </c>
      <c r="F14" t="s">
        <v>162</v>
      </c>
      <c r="G14" t="s">
        <v>158</v>
      </c>
      <c r="H14" t="s">
        <v>162</v>
      </c>
      <c r="I14" t="s">
        <v>158</v>
      </c>
      <c r="J14" t="s">
        <v>163</v>
      </c>
      <c r="K14" t="s">
        <v>158</v>
      </c>
      <c r="L14" t="s">
        <v>162</v>
      </c>
      <c r="M14" t="s">
        <v>158</v>
      </c>
      <c r="N14" t="s">
        <v>163</v>
      </c>
      <c r="O14" t="s">
        <v>158</v>
      </c>
      <c r="P14" t="s">
        <v>163</v>
      </c>
      <c r="Q14" t="s">
        <v>162</v>
      </c>
      <c r="R14" t="s">
        <v>155</v>
      </c>
      <c r="S14" t="s">
        <v>158</v>
      </c>
      <c r="T14" t="s">
        <v>163</v>
      </c>
      <c r="U14" t="s">
        <v>158</v>
      </c>
      <c r="V14" t="s">
        <v>158</v>
      </c>
      <c r="W14" t="s">
        <v>162</v>
      </c>
      <c r="X14" t="s">
        <v>163</v>
      </c>
      <c r="Y14" t="s">
        <v>163</v>
      </c>
      <c r="Z14" s="22" t="s">
        <v>256</v>
      </c>
      <c r="AA14" s="140">
        <f t="shared" si="0"/>
        <v>1</v>
      </c>
      <c r="AB14" s="140">
        <f t="shared" si="0"/>
        <v>1</v>
      </c>
      <c r="AC14" s="140">
        <f t="shared" si="0"/>
        <v>1</v>
      </c>
      <c r="AD14" s="140">
        <f t="shared" si="0"/>
        <v>1</v>
      </c>
      <c r="AE14" s="140">
        <f t="shared" si="0"/>
        <v>1</v>
      </c>
      <c r="AF14" s="140">
        <f t="shared" si="0"/>
        <v>1</v>
      </c>
      <c r="AG14" s="140">
        <f t="shared" si="0"/>
        <v>1</v>
      </c>
      <c r="AH14" s="140">
        <f t="shared" si="0"/>
        <v>1</v>
      </c>
      <c r="AI14" s="140">
        <f t="shared" si="0"/>
        <v>1</v>
      </c>
      <c r="AJ14" s="140">
        <f t="shared" si="0"/>
        <v>1</v>
      </c>
      <c r="AK14" s="140">
        <f t="shared" si="0"/>
        <v>1</v>
      </c>
      <c r="AL14" s="140">
        <f t="shared" si="0"/>
        <v>1</v>
      </c>
      <c r="AM14" s="140">
        <f t="shared" si="0"/>
        <v>1</v>
      </c>
      <c r="AN14" s="140">
        <f t="shared" si="0"/>
        <v>1</v>
      </c>
      <c r="AO14" s="140">
        <f t="shared" si="0"/>
        <v>1</v>
      </c>
      <c r="AP14" s="140">
        <f t="shared" si="0"/>
        <v>1</v>
      </c>
      <c r="AQ14" s="140">
        <f t="shared" si="1"/>
        <v>1</v>
      </c>
      <c r="AR14" s="140">
        <f t="shared" si="1"/>
        <v>1</v>
      </c>
      <c r="AS14" s="140">
        <f t="shared" si="1"/>
        <v>1</v>
      </c>
      <c r="AT14" s="140">
        <f t="shared" si="1"/>
        <v>1</v>
      </c>
      <c r="AU14" s="140">
        <f t="shared" si="1"/>
        <v>1</v>
      </c>
      <c r="AV14" s="140">
        <f t="shared" si="1"/>
        <v>1</v>
      </c>
      <c r="AW14" s="140">
        <f t="shared" si="1"/>
        <v>1</v>
      </c>
      <c r="AX14" s="140">
        <f t="shared" si="1"/>
        <v>1</v>
      </c>
      <c r="AY14" s="140">
        <f t="shared" si="2"/>
        <v>24</v>
      </c>
      <c r="BC14" s="160" t="str">
        <f t="shared" si="4"/>
        <v>09/01/22</v>
      </c>
      <c r="BD14" s="162">
        <f t="shared" si="5"/>
        <v>11.5</v>
      </c>
      <c r="BE14" s="162">
        <f t="shared" si="6"/>
        <v>0</v>
      </c>
      <c r="BF14" s="162">
        <f t="shared" si="7"/>
        <v>0</v>
      </c>
      <c r="BG14" s="162">
        <f t="shared" si="8"/>
        <v>0</v>
      </c>
      <c r="BH14" s="162">
        <f t="shared" si="9"/>
        <v>0</v>
      </c>
      <c r="BI14" s="162">
        <f t="shared" si="10"/>
        <v>4</v>
      </c>
      <c r="BJ14" s="162">
        <f t="shared" si="11"/>
        <v>0</v>
      </c>
      <c r="BK14" s="162">
        <f t="shared" si="12"/>
        <v>8.5</v>
      </c>
      <c r="BL14" s="162">
        <f t="shared" si="13"/>
        <v>0</v>
      </c>
      <c r="BM14" s="162">
        <f t="shared" si="14"/>
        <v>0</v>
      </c>
      <c r="BN14" s="144">
        <f t="shared" si="3"/>
        <v>24</v>
      </c>
    </row>
    <row r="15" spans="1:66" ht="12.75" customHeight="1">
      <c r="A15" t="s">
        <v>373</v>
      </c>
      <c r="B15" t="s">
        <v>158</v>
      </c>
      <c r="C15" t="s">
        <v>163</v>
      </c>
      <c r="D15" t="s">
        <v>158</v>
      </c>
      <c r="E15" t="s">
        <v>158</v>
      </c>
      <c r="F15" t="s">
        <v>158</v>
      </c>
      <c r="G15" t="s">
        <v>163</v>
      </c>
      <c r="H15" t="s">
        <v>158</v>
      </c>
      <c r="I15" t="s">
        <v>158</v>
      </c>
      <c r="J15" t="s">
        <v>158</v>
      </c>
      <c r="K15" t="s">
        <v>158</v>
      </c>
      <c r="L15" t="s">
        <v>158</v>
      </c>
      <c r="M15" t="s">
        <v>163</v>
      </c>
      <c r="N15" t="s">
        <v>163</v>
      </c>
      <c r="O15" t="s">
        <v>163</v>
      </c>
      <c r="P15" t="s">
        <v>163</v>
      </c>
      <c r="Q15" t="s">
        <v>163</v>
      </c>
      <c r="R15" t="s">
        <v>163</v>
      </c>
      <c r="S15" t="s">
        <v>158</v>
      </c>
      <c r="T15" t="s">
        <v>158</v>
      </c>
      <c r="U15" t="s">
        <v>158</v>
      </c>
      <c r="V15" t="s">
        <v>158</v>
      </c>
      <c r="W15" t="s">
        <v>158</v>
      </c>
      <c r="X15" t="s">
        <v>163</v>
      </c>
      <c r="Y15" t="s">
        <v>163</v>
      </c>
      <c r="Z15" s="22" t="s">
        <v>256</v>
      </c>
      <c r="AA15" s="140">
        <f t="shared" si="0"/>
        <v>1</v>
      </c>
      <c r="AB15" s="140">
        <f t="shared" si="0"/>
        <v>1</v>
      </c>
      <c r="AC15" s="140">
        <f t="shared" si="0"/>
        <v>1</v>
      </c>
      <c r="AD15" s="140">
        <f t="shared" si="0"/>
        <v>1</v>
      </c>
      <c r="AE15" s="140">
        <f t="shared" si="0"/>
        <v>1</v>
      </c>
      <c r="AF15" s="140">
        <f t="shared" si="0"/>
        <v>1</v>
      </c>
      <c r="AG15" s="140">
        <f t="shared" si="0"/>
        <v>1</v>
      </c>
      <c r="AH15" s="140">
        <f t="shared" si="0"/>
        <v>1</v>
      </c>
      <c r="AI15" s="140">
        <f t="shared" si="0"/>
        <v>1</v>
      </c>
      <c r="AJ15" s="140">
        <f t="shared" si="0"/>
        <v>1</v>
      </c>
      <c r="AK15" s="140">
        <f t="shared" si="0"/>
        <v>1</v>
      </c>
      <c r="AL15" s="140">
        <f t="shared" si="0"/>
        <v>1</v>
      </c>
      <c r="AM15" s="140">
        <f t="shared" si="0"/>
        <v>1</v>
      </c>
      <c r="AN15" s="140">
        <f t="shared" si="0"/>
        <v>1</v>
      </c>
      <c r="AO15" s="140">
        <f t="shared" si="0"/>
        <v>1</v>
      </c>
      <c r="AP15" s="140">
        <f t="shared" si="0"/>
        <v>1</v>
      </c>
      <c r="AQ15" s="140">
        <f t="shared" si="1"/>
        <v>1</v>
      </c>
      <c r="AR15" s="140">
        <f t="shared" si="1"/>
        <v>1</v>
      </c>
      <c r="AS15" s="140">
        <f t="shared" si="1"/>
        <v>1</v>
      </c>
      <c r="AT15" s="140">
        <f t="shared" si="1"/>
        <v>1</v>
      </c>
      <c r="AU15" s="140">
        <f t="shared" si="1"/>
        <v>1</v>
      </c>
      <c r="AV15" s="140">
        <f t="shared" si="1"/>
        <v>1</v>
      </c>
      <c r="AW15" s="140">
        <f t="shared" si="1"/>
        <v>1</v>
      </c>
      <c r="AX15" s="140">
        <f t="shared" si="1"/>
        <v>1</v>
      </c>
      <c r="AY15" s="140">
        <f t="shared" si="2"/>
        <v>24</v>
      </c>
      <c r="BC15" s="160" t="str">
        <f t="shared" si="4"/>
        <v>10/01/22</v>
      </c>
      <c r="BD15" s="162">
        <f t="shared" si="5"/>
        <v>8</v>
      </c>
      <c r="BE15" s="162">
        <f t="shared" si="6"/>
        <v>2</v>
      </c>
      <c r="BF15" s="162">
        <f t="shared" si="7"/>
        <v>0</v>
      </c>
      <c r="BG15" s="162">
        <f t="shared" si="8"/>
        <v>0</v>
      </c>
      <c r="BH15" s="162">
        <f t="shared" si="9"/>
        <v>6</v>
      </c>
      <c r="BI15" s="162">
        <f t="shared" si="10"/>
        <v>2</v>
      </c>
      <c r="BJ15" s="162">
        <f t="shared" si="11"/>
        <v>0</v>
      </c>
      <c r="BK15" s="162">
        <f t="shared" si="12"/>
        <v>6</v>
      </c>
      <c r="BL15" s="162">
        <f t="shared" si="13"/>
        <v>0</v>
      </c>
      <c r="BM15" s="162">
        <f t="shared" si="14"/>
        <v>0</v>
      </c>
      <c r="BN15" s="144">
        <f t="shared" si="3"/>
        <v>24</v>
      </c>
    </row>
    <row r="16" spans="1:66" ht="12.75" customHeight="1">
      <c r="A16" t="s">
        <v>374</v>
      </c>
      <c r="B16" t="s">
        <v>163</v>
      </c>
      <c r="C16" t="s">
        <v>163</v>
      </c>
      <c r="D16" t="s">
        <v>163</v>
      </c>
      <c r="E16" t="s">
        <v>164</v>
      </c>
      <c r="F16" t="s">
        <v>164</v>
      </c>
      <c r="G16" t="s">
        <v>163</v>
      </c>
      <c r="H16" t="s">
        <v>163</v>
      </c>
      <c r="I16" t="s">
        <v>163</v>
      </c>
      <c r="J16" t="s">
        <v>163</v>
      </c>
      <c r="K16" t="s">
        <v>162</v>
      </c>
      <c r="L16" t="s">
        <v>163</v>
      </c>
      <c r="M16" t="s">
        <v>158</v>
      </c>
      <c r="N16" t="s">
        <v>158</v>
      </c>
      <c r="O16" t="s">
        <v>158</v>
      </c>
      <c r="P16" t="s">
        <v>163</v>
      </c>
      <c r="Q16" t="s">
        <v>163</v>
      </c>
      <c r="R16" t="s">
        <v>162</v>
      </c>
      <c r="S16" t="s">
        <v>158</v>
      </c>
      <c r="T16" t="s">
        <v>158</v>
      </c>
      <c r="U16" t="s">
        <v>158</v>
      </c>
      <c r="V16" t="s">
        <v>158</v>
      </c>
      <c r="W16" t="s">
        <v>163</v>
      </c>
      <c r="X16" t="s">
        <v>158</v>
      </c>
      <c r="Y16" t="s">
        <v>162</v>
      </c>
      <c r="Z16" s="22" t="s">
        <v>256</v>
      </c>
      <c r="AA16" s="140">
        <f t="shared" si="0"/>
        <v>1</v>
      </c>
      <c r="AB16" s="140">
        <f t="shared" si="0"/>
        <v>1</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1</v>
      </c>
      <c r="AN16" s="140">
        <f t="shared" si="0"/>
        <v>1</v>
      </c>
      <c r="AO16" s="140">
        <f t="shared" si="0"/>
        <v>1</v>
      </c>
      <c r="AP16" s="140">
        <f t="shared" si="0"/>
        <v>1</v>
      </c>
      <c r="AQ16" s="140">
        <f t="shared" si="1"/>
        <v>1</v>
      </c>
      <c r="AR16" s="140">
        <f t="shared" si="1"/>
        <v>1</v>
      </c>
      <c r="AS16" s="140">
        <f t="shared" si="1"/>
        <v>1</v>
      </c>
      <c r="AT16" s="140">
        <f t="shared" si="1"/>
        <v>1</v>
      </c>
      <c r="AU16" s="140">
        <f t="shared" si="1"/>
        <v>1</v>
      </c>
      <c r="AV16" s="140">
        <f t="shared" si="1"/>
        <v>1</v>
      </c>
      <c r="AW16" s="140">
        <f t="shared" si="1"/>
        <v>1</v>
      </c>
      <c r="AX16" s="140">
        <f t="shared" si="1"/>
        <v>1</v>
      </c>
      <c r="AY16" s="140">
        <f t="shared" si="2"/>
        <v>24</v>
      </c>
      <c r="BC16" s="160" t="str">
        <f t="shared" si="4"/>
        <v>11/01/22</v>
      </c>
      <c r="BD16" s="162">
        <f t="shared" si="5"/>
        <v>14</v>
      </c>
      <c r="BE16" s="162">
        <f t="shared" si="6"/>
        <v>0</v>
      </c>
      <c r="BF16" s="162">
        <f t="shared" si="7"/>
        <v>0</v>
      </c>
      <c r="BG16" s="162">
        <f t="shared" si="8"/>
        <v>0</v>
      </c>
      <c r="BH16" s="162">
        <f t="shared" si="9"/>
        <v>10</v>
      </c>
      <c r="BI16" s="162">
        <f t="shared" si="10"/>
        <v>0</v>
      </c>
      <c r="BJ16" s="162">
        <f t="shared" si="11"/>
        <v>0</v>
      </c>
      <c r="BK16" s="162">
        <f t="shared" si="12"/>
        <v>0</v>
      </c>
      <c r="BL16" s="162">
        <f t="shared" si="13"/>
        <v>0</v>
      </c>
      <c r="BM16" s="162">
        <f t="shared" si="14"/>
        <v>0</v>
      </c>
      <c r="BN16" s="144">
        <f t="shared" si="3"/>
        <v>24</v>
      </c>
    </row>
    <row r="17" spans="1:66" ht="12.75" customHeight="1">
      <c r="A17" t="s">
        <v>375</v>
      </c>
      <c r="B17" t="s">
        <v>162</v>
      </c>
      <c r="C17" t="s">
        <v>158</v>
      </c>
      <c r="D17" t="s">
        <v>158</v>
      </c>
      <c r="E17" t="s">
        <v>163</v>
      </c>
      <c r="F17" t="s">
        <v>163</v>
      </c>
      <c r="G17" t="s">
        <v>158</v>
      </c>
      <c r="H17" t="s">
        <v>163</v>
      </c>
      <c r="I17" t="s">
        <v>158</v>
      </c>
      <c r="J17" t="s">
        <v>158</v>
      </c>
      <c r="K17" t="s">
        <v>158</v>
      </c>
      <c r="L17" t="s">
        <v>158</v>
      </c>
      <c r="M17" t="s">
        <v>158</v>
      </c>
      <c r="N17" t="s">
        <v>158</v>
      </c>
      <c r="O17" t="s">
        <v>158</v>
      </c>
      <c r="P17" t="s">
        <v>158</v>
      </c>
      <c r="Q17" t="s">
        <v>163</v>
      </c>
      <c r="R17" t="s">
        <v>158</v>
      </c>
      <c r="S17" t="s">
        <v>163</v>
      </c>
      <c r="T17" t="s">
        <v>158</v>
      </c>
      <c r="U17" t="s">
        <v>158</v>
      </c>
      <c r="V17" t="s">
        <v>158</v>
      </c>
      <c r="W17" t="s">
        <v>163</v>
      </c>
      <c r="X17" t="s">
        <v>158</v>
      </c>
      <c r="Y17" t="s">
        <v>155</v>
      </c>
      <c r="Z17" s="22" t="s">
        <v>256</v>
      </c>
      <c r="AA17" s="140">
        <f t="shared" si="0"/>
        <v>1</v>
      </c>
      <c r="AB17" s="140">
        <f t="shared" si="0"/>
        <v>1</v>
      </c>
      <c r="AC17" s="140">
        <f t="shared" si="0"/>
        <v>1</v>
      </c>
      <c r="AD17" s="140">
        <f t="shared" si="0"/>
        <v>1</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1</v>
      </c>
      <c r="AN17" s="140">
        <f t="shared" si="0"/>
        <v>1</v>
      </c>
      <c r="AO17" s="140">
        <f t="shared" si="0"/>
        <v>1</v>
      </c>
      <c r="AP17" s="140">
        <f t="shared" si="0"/>
        <v>1</v>
      </c>
      <c r="AQ17" s="140">
        <f t="shared" si="1"/>
        <v>1</v>
      </c>
      <c r="AR17" s="140">
        <f t="shared" si="1"/>
        <v>1</v>
      </c>
      <c r="AS17" s="140">
        <f t="shared" si="1"/>
        <v>1</v>
      </c>
      <c r="AT17" s="140">
        <f t="shared" si="1"/>
        <v>1</v>
      </c>
      <c r="AU17" s="140">
        <f t="shared" si="1"/>
        <v>1</v>
      </c>
      <c r="AV17" s="140">
        <f t="shared" si="1"/>
        <v>1</v>
      </c>
      <c r="AW17" s="140">
        <f t="shared" si="1"/>
        <v>1</v>
      </c>
      <c r="AX17" s="140">
        <f t="shared" si="1"/>
        <v>1</v>
      </c>
      <c r="AY17" s="140">
        <f t="shared" si="2"/>
        <v>24</v>
      </c>
      <c r="BC17" s="160" t="str">
        <f t="shared" si="4"/>
        <v>12/01/22</v>
      </c>
      <c r="BD17" s="162">
        <f t="shared" si="5"/>
        <v>8</v>
      </c>
      <c r="BE17" s="162">
        <f t="shared" si="6"/>
        <v>0</v>
      </c>
      <c r="BF17" s="162">
        <f t="shared" si="7"/>
        <v>0</v>
      </c>
      <c r="BG17" s="162">
        <f t="shared" si="8"/>
        <v>0</v>
      </c>
      <c r="BH17" s="162">
        <f t="shared" si="9"/>
        <v>11</v>
      </c>
      <c r="BI17" s="162">
        <f t="shared" si="10"/>
        <v>2</v>
      </c>
      <c r="BJ17" s="162">
        <f t="shared" si="11"/>
        <v>0</v>
      </c>
      <c r="BK17" s="162">
        <f t="shared" si="12"/>
        <v>3</v>
      </c>
      <c r="BL17" s="162">
        <f t="shared" si="13"/>
        <v>0</v>
      </c>
      <c r="BM17" s="162">
        <f t="shared" si="14"/>
        <v>0</v>
      </c>
      <c r="BN17" s="144">
        <f t="shared" si="3"/>
        <v>24</v>
      </c>
    </row>
    <row r="18" spans="1:66" ht="12.75" customHeight="1">
      <c r="A18" t="s">
        <v>376</v>
      </c>
      <c r="B18" t="s">
        <v>162</v>
      </c>
      <c r="C18" t="s">
        <v>163</v>
      </c>
      <c r="D18" t="s">
        <v>162</v>
      </c>
      <c r="E18" t="s">
        <v>163</v>
      </c>
      <c r="F18" t="s">
        <v>163</v>
      </c>
      <c r="G18" t="s">
        <v>162</v>
      </c>
      <c r="H18" t="s">
        <v>158</v>
      </c>
      <c r="I18" t="s">
        <v>158</v>
      </c>
      <c r="J18" t="s">
        <v>163</v>
      </c>
      <c r="K18" t="s">
        <v>158</v>
      </c>
      <c r="L18" t="s">
        <v>163</v>
      </c>
      <c r="M18" t="s">
        <v>163</v>
      </c>
      <c r="N18" t="s">
        <v>158</v>
      </c>
      <c r="O18" t="s">
        <v>158</v>
      </c>
      <c r="P18" t="s">
        <v>158</v>
      </c>
      <c r="Q18" t="s">
        <v>163</v>
      </c>
      <c r="R18" t="s">
        <v>163</v>
      </c>
      <c r="S18" t="s">
        <v>163</v>
      </c>
      <c r="T18" t="s">
        <v>158</v>
      </c>
      <c r="U18" t="s">
        <v>155</v>
      </c>
      <c r="V18" t="s">
        <v>155</v>
      </c>
      <c r="W18" t="s">
        <v>158</v>
      </c>
      <c r="X18" t="s">
        <v>158</v>
      </c>
      <c r="Y18" t="s">
        <v>158</v>
      </c>
      <c r="Z18" s="22" t="s">
        <v>256</v>
      </c>
      <c r="AA18" s="140">
        <f t="shared" si="0"/>
        <v>1</v>
      </c>
      <c r="AB18" s="140">
        <f t="shared" si="0"/>
        <v>1</v>
      </c>
      <c r="AC18" s="140">
        <f t="shared" si="0"/>
        <v>1</v>
      </c>
      <c r="AD18" s="140">
        <f t="shared" si="0"/>
        <v>1</v>
      </c>
      <c r="AE18" s="140">
        <f t="shared" si="0"/>
        <v>1</v>
      </c>
      <c r="AF18" s="140">
        <f t="shared" si="0"/>
        <v>1</v>
      </c>
      <c r="AG18" s="140">
        <f t="shared" si="0"/>
        <v>1</v>
      </c>
      <c r="AH18" s="140">
        <f t="shared" si="0"/>
        <v>1</v>
      </c>
      <c r="AI18" s="140">
        <f t="shared" si="0"/>
        <v>1</v>
      </c>
      <c r="AJ18" s="140">
        <f t="shared" si="0"/>
        <v>1</v>
      </c>
      <c r="AK18" s="140">
        <f t="shared" si="0"/>
        <v>1</v>
      </c>
      <c r="AL18" s="140">
        <f t="shared" si="0"/>
        <v>1</v>
      </c>
      <c r="AM18" s="140">
        <f t="shared" si="0"/>
        <v>1</v>
      </c>
      <c r="AN18" s="140">
        <f t="shared" si="0"/>
        <v>1</v>
      </c>
      <c r="AO18" s="140">
        <f t="shared" si="0"/>
        <v>1</v>
      </c>
      <c r="AP18" s="140">
        <f t="shared" si="0"/>
        <v>1</v>
      </c>
      <c r="AQ18" s="140">
        <f t="shared" si="1"/>
        <v>1</v>
      </c>
      <c r="AR18" s="140">
        <f t="shared" si="1"/>
        <v>1</v>
      </c>
      <c r="AS18" s="140">
        <f t="shared" si="1"/>
        <v>1</v>
      </c>
      <c r="AT18" s="140">
        <f t="shared" si="1"/>
        <v>1</v>
      </c>
      <c r="AU18" s="140">
        <f t="shared" si="1"/>
        <v>1</v>
      </c>
      <c r="AV18" s="140">
        <f t="shared" si="1"/>
        <v>1</v>
      </c>
      <c r="AW18" s="140">
        <f t="shared" si="1"/>
        <v>1</v>
      </c>
      <c r="AX18" s="140">
        <f t="shared" si="1"/>
        <v>1</v>
      </c>
      <c r="AY18" s="140">
        <f t="shared" si="2"/>
        <v>24</v>
      </c>
      <c r="BC18" s="160" t="str">
        <f t="shared" si="4"/>
        <v>13/01/22</v>
      </c>
      <c r="BD18" s="162">
        <f t="shared" si="5"/>
        <v>16</v>
      </c>
      <c r="BE18" s="162">
        <f t="shared" si="6"/>
        <v>1</v>
      </c>
      <c r="BF18" s="162">
        <f t="shared" si="7"/>
        <v>0</v>
      </c>
      <c r="BG18" s="162">
        <f t="shared" si="8"/>
        <v>0</v>
      </c>
      <c r="BH18" s="162">
        <f t="shared" si="9"/>
        <v>6</v>
      </c>
      <c r="BI18" s="162">
        <f t="shared" si="10"/>
        <v>0</v>
      </c>
      <c r="BJ18" s="162">
        <f t="shared" si="11"/>
        <v>0</v>
      </c>
      <c r="BK18" s="162">
        <f t="shared" si="12"/>
        <v>1</v>
      </c>
      <c r="BL18" s="162">
        <f t="shared" si="13"/>
        <v>0</v>
      </c>
      <c r="BM18" s="162">
        <f t="shared" si="14"/>
        <v>0</v>
      </c>
      <c r="BN18" s="144">
        <f t="shared" si="3"/>
        <v>24</v>
      </c>
    </row>
    <row r="19" spans="1:66" ht="12.75" customHeight="1">
      <c r="A19" t="s">
        <v>377</v>
      </c>
      <c r="B19" t="s">
        <v>163</v>
      </c>
      <c r="C19" t="s">
        <v>158</v>
      </c>
      <c r="D19" t="s">
        <v>158</v>
      </c>
      <c r="E19" t="s">
        <v>163</v>
      </c>
      <c r="F19" t="s">
        <v>163</v>
      </c>
      <c r="G19" t="s">
        <v>162</v>
      </c>
      <c r="H19" t="s">
        <v>162</v>
      </c>
      <c r="I19" t="s">
        <v>158</v>
      </c>
      <c r="J19" t="s">
        <v>158</v>
      </c>
      <c r="K19" t="s">
        <v>158</v>
      </c>
      <c r="L19" t="s">
        <v>162</v>
      </c>
      <c r="M19" t="s">
        <v>158</v>
      </c>
      <c r="N19" t="s">
        <v>158</v>
      </c>
      <c r="O19" t="s">
        <v>155</v>
      </c>
      <c r="P19" t="s">
        <v>158</v>
      </c>
      <c r="Q19" t="s">
        <v>158</v>
      </c>
      <c r="R19" t="s">
        <v>158</v>
      </c>
      <c r="S19" t="s">
        <v>158</v>
      </c>
      <c r="T19" t="s">
        <v>155</v>
      </c>
      <c r="U19" t="s">
        <v>158</v>
      </c>
      <c r="V19" t="s">
        <v>158</v>
      </c>
      <c r="W19" t="s">
        <v>158</v>
      </c>
      <c r="X19" t="s">
        <v>163</v>
      </c>
      <c r="Y19" t="s">
        <v>163</v>
      </c>
      <c r="Z19" s="22" t="s">
        <v>256</v>
      </c>
      <c r="AA19" s="140">
        <f t="shared" si="0"/>
        <v>1</v>
      </c>
      <c r="AB19" s="140">
        <f t="shared" si="0"/>
        <v>1</v>
      </c>
      <c r="AC19" s="140">
        <f t="shared" si="0"/>
        <v>1</v>
      </c>
      <c r="AD19" s="140">
        <f t="shared" si="0"/>
        <v>1</v>
      </c>
      <c r="AE19" s="140">
        <f t="shared" si="0"/>
        <v>1</v>
      </c>
      <c r="AF19" s="140">
        <f t="shared" si="0"/>
        <v>1</v>
      </c>
      <c r="AG19" s="140">
        <f t="shared" si="0"/>
        <v>1</v>
      </c>
      <c r="AH19" s="140">
        <f t="shared" si="0"/>
        <v>1</v>
      </c>
      <c r="AI19" s="140">
        <f t="shared" si="0"/>
        <v>1</v>
      </c>
      <c r="AJ19" s="140">
        <f t="shared" si="0"/>
        <v>1</v>
      </c>
      <c r="AK19" s="140">
        <f t="shared" si="0"/>
        <v>1</v>
      </c>
      <c r="AL19" s="140">
        <f t="shared" si="0"/>
        <v>1</v>
      </c>
      <c r="AM19" s="140">
        <f t="shared" si="0"/>
        <v>1</v>
      </c>
      <c r="AN19" s="140">
        <f t="shared" si="0"/>
        <v>1</v>
      </c>
      <c r="AO19" s="140">
        <f t="shared" si="0"/>
        <v>1</v>
      </c>
      <c r="AP19" s="140">
        <f t="shared" si="0"/>
        <v>1</v>
      </c>
      <c r="AQ19" s="140">
        <f t="shared" si="1"/>
        <v>1</v>
      </c>
      <c r="AR19" s="140">
        <f t="shared" si="1"/>
        <v>1</v>
      </c>
      <c r="AS19" s="140">
        <f t="shared" si="1"/>
        <v>1</v>
      </c>
      <c r="AT19" s="140">
        <f t="shared" si="1"/>
        <v>1</v>
      </c>
      <c r="AU19" s="140">
        <f t="shared" si="1"/>
        <v>1</v>
      </c>
      <c r="AV19" s="140">
        <f t="shared" si="1"/>
        <v>1</v>
      </c>
      <c r="AW19" s="140">
        <f t="shared" si="1"/>
        <v>1</v>
      </c>
      <c r="AX19" s="140">
        <f t="shared" si="1"/>
        <v>1</v>
      </c>
      <c r="AY19" s="140">
        <f t="shared" si="2"/>
        <v>24</v>
      </c>
      <c r="BC19" s="160" t="str">
        <f t="shared" si="4"/>
        <v>14/01/22</v>
      </c>
      <c r="BD19" s="162">
        <f t="shared" si="5"/>
        <v>10</v>
      </c>
      <c r="BE19" s="162">
        <f t="shared" si="6"/>
        <v>2</v>
      </c>
      <c r="BF19" s="162">
        <f t="shared" si="7"/>
        <v>0</v>
      </c>
      <c r="BG19" s="162">
        <f t="shared" si="8"/>
        <v>0</v>
      </c>
      <c r="BH19" s="162">
        <f t="shared" si="9"/>
        <v>9</v>
      </c>
      <c r="BI19" s="162">
        <f t="shared" si="10"/>
        <v>0</v>
      </c>
      <c r="BJ19" s="162">
        <f t="shared" si="11"/>
        <v>0</v>
      </c>
      <c r="BK19" s="162">
        <f t="shared" si="12"/>
        <v>3</v>
      </c>
      <c r="BL19" s="162">
        <f t="shared" si="13"/>
        <v>0</v>
      </c>
      <c r="BM19" s="162">
        <f t="shared" si="14"/>
        <v>0</v>
      </c>
      <c r="BN19" s="144">
        <f t="shared" si="3"/>
        <v>24</v>
      </c>
    </row>
    <row r="20" spans="1:66" ht="12.75" customHeight="1">
      <c r="A20" t="s">
        <v>378</v>
      </c>
      <c r="B20" t="s">
        <v>158</v>
      </c>
      <c r="C20" t="s">
        <v>158</v>
      </c>
      <c r="D20" t="s">
        <v>163</v>
      </c>
      <c r="E20" t="s">
        <v>158</v>
      </c>
      <c r="F20" t="s">
        <v>162</v>
      </c>
      <c r="G20" t="s">
        <v>162</v>
      </c>
      <c r="H20" t="s">
        <v>158</v>
      </c>
      <c r="I20" t="s">
        <v>162</v>
      </c>
      <c r="J20" t="s">
        <v>162</v>
      </c>
      <c r="K20" t="s">
        <v>163</v>
      </c>
      <c r="L20" t="s">
        <v>163</v>
      </c>
      <c r="M20" t="s">
        <v>163</v>
      </c>
      <c r="N20" t="s">
        <v>162</v>
      </c>
      <c r="O20" t="s">
        <v>158</v>
      </c>
      <c r="P20" t="s">
        <v>163</v>
      </c>
      <c r="Q20" t="s">
        <v>158</v>
      </c>
      <c r="R20" t="s">
        <v>163</v>
      </c>
      <c r="S20" t="s">
        <v>158</v>
      </c>
      <c r="T20" t="s">
        <v>158</v>
      </c>
      <c r="U20" t="s">
        <v>155</v>
      </c>
      <c r="V20" t="s">
        <v>158</v>
      </c>
      <c r="W20" t="s">
        <v>158</v>
      </c>
      <c r="X20" t="s">
        <v>158</v>
      </c>
      <c r="Y20" t="s">
        <v>158</v>
      </c>
      <c r="Z20" s="22" t="s">
        <v>256</v>
      </c>
      <c r="AA20" s="140">
        <f t="shared" si="0"/>
        <v>1</v>
      </c>
      <c r="AB20" s="140">
        <f t="shared" si="0"/>
        <v>1</v>
      </c>
      <c r="AC20" s="140">
        <f t="shared" si="0"/>
        <v>1</v>
      </c>
      <c r="AD20" s="140">
        <f t="shared" si="0"/>
        <v>1</v>
      </c>
      <c r="AE20" s="140">
        <f t="shared" si="0"/>
        <v>1</v>
      </c>
      <c r="AF20" s="140">
        <f t="shared" si="0"/>
        <v>1</v>
      </c>
      <c r="AG20" s="140">
        <f t="shared" si="0"/>
        <v>1</v>
      </c>
      <c r="AH20" s="140">
        <f t="shared" si="0"/>
        <v>1</v>
      </c>
      <c r="AI20" s="140">
        <f t="shared" si="0"/>
        <v>1</v>
      </c>
      <c r="AJ20" s="140">
        <f t="shared" si="0"/>
        <v>1</v>
      </c>
      <c r="AK20" s="140">
        <f t="shared" si="0"/>
        <v>1</v>
      </c>
      <c r="AL20" s="140">
        <f t="shared" si="0"/>
        <v>1</v>
      </c>
      <c r="AM20" s="140">
        <f t="shared" si="0"/>
        <v>1</v>
      </c>
      <c r="AN20" s="140">
        <f t="shared" si="0"/>
        <v>1</v>
      </c>
      <c r="AO20" s="140">
        <f t="shared" si="0"/>
        <v>1</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40">
        <f t="shared" si="15"/>
        <v>1</v>
      </c>
      <c r="AR20" s="140">
        <f t="shared" si="1"/>
        <v>1</v>
      </c>
      <c r="AS20" s="140">
        <f t="shared" si="1"/>
        <v>1</v>
      </c>
      <c r="AT20" s="140">
        <f t="shared" si="1"/>
        <v>1</v>
      </c>
      <c r="AU20" s="140">
        <f t="shared" si="1"/>
        <v>1</v>
      </c>
      <c r="AV20" s="140">
        <f t="shared" si="1"/>
        <v>1</v>
      </c>
      <c r="AW20" s="140">
        <f t="shared" si="1"/>
        <v>1</v>
      </c>
      <c r="AX20" s="140">
        <f t="shared" si="1"/>
        <v>1</v>
      </c>
      <c r="AY20" s="140">
        <f t="shared" si="2"/>
        <v>24</v>
      </c>
      <c r="BC20" s="160" t="str">
        <f t="shared" si="4"/>
        <v>15/01/22</v>
      </c>
      <c r="BD20" s="162">
        <f t="shared" si="5"/>
        <v>14</v>
      </c>
      <c r="BE20" s="162">
        <f t="shared" si="6"/>
        <v>2</v>
      </c>
      <c r="BF20" s="162">
        <f t="shared" si="7"/>
        <v>0</v>
      </c>
      <c r="BG20" s="162">
        <f t="shared" si="8"/>
        <v>0</v>
      </c>
      <c r="BH20" s="162">
        <f t="shared" si="9"/>
        <v>5</v>
      </c>
      <c r="BI20" s="162">
        <f t="shared" si="10"/>
        <v>0</v>
      </c>
      <c r="BJ20" s="162">
        <f t="shared" si="11"/>
        <v>0</v>
      </c>
      <c r="BK20" s="162">
        <f t="shared" si="12"/>
        <v>3</v>
      </c>
      <c r="BL20" s="162">
        <f t="shared" si="13"/>
        <v>0</v>
      </c>
      <c r="BM20" s="162">
        <f t="shared" si="14"/>
        <v>0</v>
      </c>
      <c r="BN20" s="144">
        <f t="shared" si="3"/>
        <v>24</v>
      </c>
    </row>
    <row r="21" spans="1:66" ht="12.75" customHeight="1">
      <c r="A21" t="s">
        <v>379</v>
      </c>
      <c r="B21" t="s">
        <v>158</v>
      </c>
      <c r="C21" t="s">
        <v>158</v>
      </c>
      <c r="D21" t="s">
        <v>162</v>
      </c>
      <c r="E21" t="s">
        <v>158</v>
      </c>
      <c r="F21" t="s">
        <v>365</v>
      </c>
      <c r="G21" t="s">
        <v>162</v>
      </c>
      <c r="H21" t="s">
        <v>158</v>
      </c>
      <c r="I21" t="s">
        <v>155</v>
      </c>
      <c r="J21" t="s">
        <v>158</v>
      </c>
      <c r="K21" t="s">
        <v>158</v>
      </c>
      <c r="L21" t="s">
        <v>158</v>
      </c>
      <c r="M21" t="s">
        <v>158</v>
      </c>
      <c r="N21" t="s">
        <v>158</v>
      </c>
      <c r="O21" t="s">
        <v>158</v>
      </c>
      <c r="P21" t="s">
        <v>158</v>
      </c>
      <c r="Q21" t="s">
        <v>158</v>
      </c>
      <c r="R21" t="s">
        <v>163</v>
      </c>
      <c r="S21" t="s">
        <v>158</v>
      </c>
      <c r="T21" t="s">
        <v>380</v>
      </c>
      <c r="U21" t="s">
        <v>158</v>
      </c>
      <c r="V21" t="s">
        <v>155</v>
      </c>
      <c r="W21" t="s">
        <v>158</v>
      </c>
      <c r="X21" t="s">
        <v>158</v>
      </c>
      <c r="Y21" t="s">
        <v>158</v>
      </c>
      <c r="Z21" s="22" t="s">
        <v>256</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2</v>
      </c>
      <c r="AF21" s="140">
        <f t="shared" si="16"/>
        <v>1</v>
      </c>
      <c r="AG21" s="140">
        <f t="shared" si="16"/>
        <v>1</v>
      </c>
      <c r="AH21" s="140">
        <f t="shared" si="16"/>
        <v>1</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2</v>
      </c>
      <c r="AT21" s="140">
        <f t="shared" si="15"/>
        <v>1</v>
      </c>
      <c r="AU21" s="140">
        <f t="shared" si="15"/>
        <v>1</v>
      </c>
      <c r="AV21" s="140">
        <f t="shared" si="15"/>
        <v>1</v>
      </c>
      <c r="AW21" s="140">
        <f t="shared" si="15"/>
        <v>1</v>
      </c>
      <c r="AX21" s="140">
        <f t="shared" si="15"/>
        <v>1</v>
      </c>
      <c r="AY21" s="140">
        <f t="shared" si="2"/>
        <v>26</v>
      </c>
      <c r="BC21" s="160" t="str">
        <f t="shared" si="4"/>
        <v>16/01/22</v>
      </c>
      <c r="BD21" s="162">
        <f t="shared" si="5"/>
        <v>12</v>
      </c>
      <c r="BE21" s="162">
        <f t="shared" si="6"/>
        <v>1</v>
      </c>
      <c r="BF21" s="162">
        <f t="shared" si="7"/>
        <v>0</v>
      </c>
      <c r="BG21" s="162">
        <f t="shared" si="8"/>
        <v>0</v>
      </c>
      <c r="BH21" s="162">
        <f t="shared" si="9"/>
        <v>6</v>
      </c>
      <c r="BI21" s="162">
        <f t="shared" si="10"/>
        <v>0</v>
      </c>
      <c r="BJ21" s="162">
        <f t="shared" si="11"/>
        <v>0</v>
      </c>
      <c r="BK21" s="162">
        <f t="shared" si="12"/>
        <v>5</v>
      </c>
      <c r="BL21" s="162">
        <f t="shared" si="13"/>
        <v>0</v>
      </c>
      <c r="BM21" s="162">
        <f t="shared" si="14"/>
        <v>0</v>
      </c>
      <c r="BN21" s="144">
        <f t="shared" si="3"/>
        <v>24</v>
      </c>
    </row>
    <row r="22" spans="1:66" ht="12.75" customHeight="1">
      <c r="A22" t="s">
        <v>381</v>
      </c>
      <c r="B22" t="s">
        <v>158</v>
      </c>
      <c r="C22" t="s">
        <v>163</v>
      </c>
      <c r="D22" t="s">
        <v>158</v>
      </c>
      <c r="E22" t="s">
        <v>163</v>
      </c>
      <c r="F22" t="s">
        <v>163</v>
      </c>
      <c r="G22" t="s">
        <v>158</v>
      </c>
      <c r="H22" t="s">
        <v>158</v>
      </c>
      <c r="I22" t="s">
        <v>158</v>
      </c>
      <c r="J22" t="s">
        <v>163</v>
      </c>
      <c r="K22" t="s">
        <v>158</v>
      </c>
      <c r="L22" t="s">
        <v>158</v>
      </c>
      <c r="M22" t="s">
        <v>158</v>
      </c>
      <c r="N22" t="s">
        <v>158</v>
      </c>
      <c r="O22" t="s">
        <v>158</v>
      </c>
      <c r="P22" t="s">
        <v>158</v>
      </c>
      <c r="Q22" t="s">
        <v>158</v>
      </c>
      <c r="R22" t="s">
        <v>163</v>
      </c>
      <c r="S22" t="s">
        <v>158</v>
      </c>
      <c r="T22" t="s">
        <v>158</v>
      </c>
      <c r="U22" t="s">
        <v>155</v>
      </c>
      <c r="V22" t="s">
        <v>158</v>
      </c>
      <c r="W22" t="s">
        <v>158</v>
      </c>
      <c r="X22" t="s">
        <v>158</v>
      </c>
      <c r="Y22" t="s">
        <v>158</v>
      </c>
      <c r="Z22" s="22" t="s">
        <v>256</v>
      </c>
      <c r="AA22" s="140">
        <f t="shared" si="16"/>
        <v>1</v>
      </c>
      <c r="AB22" s="140">
        <f t="shared" si="16"/>
        <v>1</v>
      </c>
      <c r="AC22" s="140">
        <f t="shared" si="16"/>
        <v>1</v>
      </c>
      <c r="AD22" s="140">
        <f t="shared" si="16"/>
        <v>1</v>
      </c>
      <c r="AE22" s="140">
        <f t="shared" si="16"/>
        <v>1</v>
      </c>
      <c r="AF22" s="140">
        <f t="shared" si="16"/>
        <v>1</v>
      </c>
      <c r="AG22" s="140">
        <f t="shared" si="16"/>
        <v>1</v>
      </c>
      <c r="AH22" s="140">
        <f t="shared" si="16"/>
        <v>1</v>
      </c>
      <c r="AI22" s="140">
        <f t="shared" si="16"/>
        <v>1</v>
      </c>
      <c r="AJ22" s="140">
        <f t="shared" si="16"/>
        <v>1</v>
      </c>
      <c r="AK22" s="140">
        <f t="shared" si="16"/>
        <v>1</v>
      </c>
      <c r="AL22" s="140">
        <f t="shared" si="16"/>
        <v>1</v>
      </c>
      <c r="AM22" s="140">
        <f t="shared" si="16"/>
        <v>1</v>
      </c>
      <c r="AN22" s="140">
        <f t="shared" si="16"/>
        <v>1</v>
      </c>
      <c r="AO22" s="140">
        <f t="shared" si="16"/>
        <v>1</v>
      </c>
      <c r="AP22" s="140">
        <f t="shared" si="15"/>
        <v>1</v>
      </c>
      <c r="AQ22" s="140">
        <f t="shared" si="15"/>
        <v>1</v>
      </c>
      <c r="AR22" s="140">
        <f t="shared" si="15"/>
        <v>1</v>
      </c>
      <c r="AS22" s="140">
        <f t="shared" si="15"/>
        <v>1</v>
      </c>
      <c r="AT22" s="140">
        <f t="shared" si="15"/>
        <v>1</v>
      </c>
      <c r="AU22" s="140">
        <f t="shared" si="15"/>
        <v>1</v>
      </c>
      <c r="AV22" s="140">
        <f t="shared" si="15"/>
        <v>1</v>
      </c>
      <c r="AW22" s="140">
        <f t="shared" si="15"/>
        <v>1</v>
      </c>
      <c r="AX22" s="140">
        <f t="shared" si="15"/>
        <v>1</v>
      </c>
      <c r="AY22" s="140">
        <f t="shared" si="2"/>
        <v>24</v>
      </c>
      <c r="BC22" s="160" t="str">
        <f t="shared" si="4"/>
        <v>17/01/22</v>
      </c>
      <c r="BD22" s="162">
        <f t="shared" si="5"/>
        <v>17.5</v>
      </c>
      <c r="BE22" s="162">
        <f t="shared" si="6"/>
        <v>2.5</v>
      </c>
      <c r="BF22" s="162">
        <f t="shared" si="7"/>
        <v>0</v>
      </c>
      <c r="BG22" s="162">
        <f t="shared" si="8"/>
        <v>0</v>
      </c>
      <c r="BH22" s="162">
        <f t="shared" si="9"/>
        <v>1.5</v>
      </c>
      <c r="BI22" s="162">
        <f t="shared" si="10"/>
        <v>0</v>
      </c>
      <c r="BJ22" s="162">
        <f t="shared" si="11"/>
        <v>0</v>
      </c>
      <c r="BK22" s="162">
        <f t="shared" si="12"/>
        <v>2.5</v>
      </c>
      <c r="BL22" s="162">
        <f t="shared" si="13"/>
        <v>0</v>
      </c>
      <c r="BM22" s="162">
        <f t="shared" si="14"/>
        <v>0</v>
      </c>
      <c r="BN22" s="144">
        <f t="shared" si="3"/>
        <v>24</v>
      </c>
    </row>
    <row r="23" spans="1:66" ht="12.75" customHeight="1">
      <c r="A23" t="s">
        <v>382</v>
      </c>
      <c r="B23" t="s">
        <v>163</v>
      </c>
      <c r="C23" t="s">
        <v>158</v>
      </c>
      <c r="D23" t="s">
        <v>158</v>
      </c>
      <c r="E23" t="s">
        <v>158</v>
      </c>
      <c r="F23" t="s">
        <v>162</v>
      </c>
      <c r="G23" t="s">
        <v>158</v>
      </c>
      <c r="H23" t="s">
        <v>158</v>
      </c>
      <c r="I23" t="s">
        <v>158</v>
      </c>
      <c r="J23" t="s">
        <v>158</v>
      </c>
      <c r="K23" t="s">
        <v>158</v>
      </c>
      <c r="L23" t="s">
        <v>163</v>
      </c>
      <c r="M23" t="s">
        <v>163</v>
      </c>
      <c r="N23" t="s">
        <v>163</v>
      </c>
      <c r="O23" t="s">
        <v>163</v>
      </c>
      <c r="P23" t="s">
        <v>158</v>
      </c>
      <c r="Q23" t="s">
        <v>158</v>
      </c>
      <c r="R23" t="s">
        <v>163</v>
      </c>
      <c r="S23" t="s">
        <v>158</v>
      </c>
      <c r="T23" t="s">
        <v>158</v>
      </c>
      <c r="U23" t="s">
        <v>155</v>
      </c>
      <c r="V23" t="s">
        <v>155</v>
      </c>
      <c r="W23" t="s">
        <v>163</v>
      </c>
      <c r="X23" t="s">
        <v>163</v>
      </c>
      <c r="Y23" t="s">
        <v>158</v>
      </c>
      <c r="Z23" s="22" t="s">
        <v>256</v>
      </c>
      <c r="AA23" s="140">
        <f t="shared" si="16"/>
        <v>1</v>
      </c>
      <c r="AB23" s="140">
        <f t="shared" si="16"/>
        <v>1</v>
      </c>
      <c r="AC23" s="140">
        <f t="shared" si="16"/>
        <v>1</v>
      </c>
      <c r="AD23" s="140">
        <f t="shared" si="16"/>
        <v>1</v>
      </c>
      <c r="AE23" s="140">
        <f t="shared" si="16"/>
        <v>1</v>
      </c>
      <c r="AF23" s="140">
        <f t="shared" si="16"/>
        <v>1</v>
      </c>
      <c r="AG23" s="140">
        <f t="shared" si="16"/>
        <v>1</v>
      </c>
      <c r="AH23" s="140">
        <f t="shared" si="16"/>
        <v>1</v>
      </c>
      <c r="AI23" s="140">
        <f t="shared" si="16"/>
        <v>1</v>
      </c>
      <c r="AJ23" s="140">
        <f t="shared" si="16"/>
        <v>1</v>
      </c>
      <c r="AK23" s="140">
        <f t="shared" si="16"/>
        <v>1</v>
      </c>
      <c r="AL23" s="140">
        <f t="shared" si="16"/>
        <v>1</v>
      </c>
      <c r="AM23" s="140">
        <f t="shared" si="16"/>
        <v>1</v>
      </c>
      <c r="AN23" s="140">
        <f t="shared" si="16"/>
        <v>1</v>
      </c>
      <c r="AO23" s="140">
        <f t="shared" si="16"/>
        <v>1</v>
      </c>
      <c r="AP23" s="140">
        <f t="shared" si="15"/>
        <v>1</v>
      </c>
      <c r="AQ23" s="140">
        <f t="shared" si="15"/>
        <v>1</v>
      </c>
      <c r="AR23" s="140">
        <f t="shared" si="15"/>
        <v>1</v>
      </c>
      <c r="AS23" s="140">
        <f t="shared" si="15"/>
        <v>1</v>
      </c>
      <c r="AT23" s="140">
        <f t="shared" si="15"/>
        <v>1</v>
      </c>
      <c r="AU23" s="140">
        <f t="shared" si="15"/>
        <v>1</v>
      </c>
      <c r="AV23" s="140">
        <f t="shared" si="15"/>
        <v>1</v>
      </c>
      <c r="AW23" s="140">
        <f t="shared" si="15"/>
        <v>1</v>
      </c>
      <c r="AX23" s="140">
        <f t="shared" si="15"/>
        <v>1</v>
      </c>
      <c r="AY23" s="140">
        <f t="shared" si="2"/>
        <v>24</v>
      </c>
      <c r="BC23" s="160" t="str">
        <f t="shared" si="4"/>
        <v>18/01/22</v>
      </c>
      <c r="BD23" s="162">
        <f t="shared" si="5"/>
        <v>18</v>
      </c>
      <c r="BE23" s="162">
        <f t="shared" si="6"/>
        <v>1</v>
      </c>
      <c r="BF23" s="162">
        <f t="shared" si="7"/>
        <v>0</v>
      </c>
      <c r="BG23" s="162">
        <f t="shared" si="8"/>
        <v>0</v>
      </c>
      <c r="BH23" s="162">
        <f t="shared" si="9"/>
        <v>5</v>
      </c>
      <c r="BI23" s="162">
        <f t="shared" si="10"/>
        <v>0</v>
      </c>
      <c r="BJ23" s="162">
        <f t="shared" si="11"/>
        <v>0</v>
      </c>
      <c r="BK23" s="162">
        <f t="shared" si="12"/>
        <v>0</v>
      </c>
      <c r="BL23" s="162">
        <f t="shared" si="13"/>
        <v>0</v>
      </c>
      <c r="BM23" s="162">
        <f t="shared" si="14"/>
        <v>0</v>
      </c>
      <c r="BN23" s="144">
        <f t="shared" si="3"/>
        <v>24</v>
      </c>
    </row>
    <row r="24" spans="1:66" ht="12.75" customHeight="1">
      <c r="A24" t="s">
        <v>383</v>
      </c>
      <c r="B24" t="s">
        <v>158</v>
      </c>
      <c r="C24" t="s">
        <v>158</v>
      </c>
      <c r="D24" t="s">
        <v>163</v>
      </c>
      <c r="E24" t="s">
        <v>163</v>
      </c>
      <c r="F24" t="s">
        <v>158</v>
      </c>
      <c r="G24" t="s">
        <v>163</v>
      </c>
      <c r="H24" t="s">
        <v>158</v>
      </c>
      <c r="I24" t="s">
        <v>158</v>
      </c>
      <c r="J24" t="s">
        <v>158</v>
      </c>
      <c r="K24" t="s">
        <v>158</v>
      </c>
      <c r="L24" t="s">
        <v>158</v>
      </c>
      <c r="M24" t="s">
        <v>158</v>
      </c>
      <c r="N24" t="s">
        <v>163</v>
      </c>
      <c r="O24" t="s">
        <v>162</v>
      </c>
      <c r="P24" t="s">
        <v>158</v>
      </c>
      <c r="Q24" t="s">
        <v>158</v>
      </c>
      <c r="R24" t="s">
        <v>158</v>
      </c>
      <c r="S24" t="s">
        <v>158</v>
      </c>
      <c r="T24" t="s">
        <v>158</v>
      </c>
      <c r="U24" t="s">
        <v>158</v>
      </c>
      <c r="V24" t="s">
        <v>158</v>
      </c>
      <c r="W24" t="s">
        <v>158</v>
      </c>
      <c r="X24" t="s">
        <v>163</v>
      </c>
      <c r="Y24" t="s">
        <v>163</v>
      </c>
      <c r="Z24" s="22" t="s">
        <v>256</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1</v>
      </c>
      <c r="AO24" s="140">
        <f t="shared" si="16"/>
        <v>1</v>
      </c>
      <c r="AP24" s="140">
        <f t="shared" si="15"/>
        <v>1</v>
      </c>
      <c r="AQ24" s="140">
        <f t="shared" si="15"/>
        <v>1</v>
      </c>
      <c r="AR24" s="140">
        <f t="shared" si="15"/>
        <v>1</v>
      </c>
      <c r="AS24" s="140">
        <f t="shared" si="15"/>
        <v>1</v>
      </c>
      <c r="AT24" s="140">
        <f t="shared" si="15"/>
        <v>1</v>
      </c>
      <c r="AU24" s="140">
        <f t="shared" si="15"/>
        <v>1</v>
      </c>
      <c r="AV24" s="140">
        <f t="shared" si="15"/>
        <v>1</v>
      </c>
      <c r="AW24" s="140">
        <f t="shared" si="15"/>
        <v>1</v>
      </c>
      <c r="AX24" s="140">
        <f t="shared" si="15"/>
        <v>1</v>
      </c>
      <c r="AY24" s="140">
        <f t="shared" si="2"/>
        <v>24</v>
      </c>
      <c r="BC24" s="160" t="str">
        <f t="shared" si="4"/>
        <v>19/01/22</v>
      </c>
      <c r="BD24" s="162">
        <f t="shared" si="5"/>
        <v>13</v>
      </c>
      <c r="BE24" s="162">
        <f t="shared" si="6"/>
        <v>2</v>
      </c>
      <c r="BF24" s="162">
        <f t="shared" si="7"/>
        <v>0</v>
      </c>
      <c r="BG24" s="162">
        <f t="shared" si="8"/>
        <v>0</v>
      </c>
      <c r="BH24" s="162">
        <f t="shared" si="9"/>
        <v>8</v>
      </c>
      <c r="BI24" s="162">
        <f t="shared" si="10"/>
        <v>0</v>
      </c>
      <c r="BJ24" s="162">
        <f t="shared" si="11"/>
        <v>0</v>
      </c>
      <c r="BK24" s="162">
        <f t="shared" si="12"/>
        <v>1</v>
      </c>
      <c r="BL24" s="162">
        <f t="shared" si="13"/>
        <v>0</v>
      </c>
      <c r="BM24" s="162">
        <f t="shared" si="14"/>
        <v>0</v>
      </c>
      <c r="BN24" s="144">
        <f t="shared" si="3"/>
        <v>24</v>
      </c>
    </row>
    <row r="25" spans="1:66" ht="12.75" customHeight="1">
      <c r="A25" t="s">
        <v>384</v>
      </c>
      <c r="B25" t="s">
        <v>385</v>
      </c>
      <c r="C25" t="s">
        <v>163</v>
      </c>
      <c r="D25" t="s">
        <v>158</v>
      </c>
      <c r="E25" t="s">
        <v>363</v>
      </c>
      <c r="F25" t="s">
        <v>158</v>
      </c>
      <c r="G25" t="s">
        <v>158</v>
      </c>
      <c r="H25" t="s">
        <v>164</v>
      </c>
      <c r="I25" t="s">
        <v>158</v>
      </c>
      <c r="J25" t="s">
        <v>158</v>
      </c>
      <c r="K25" t="s">
        <v>158</v>
      </c>
      <c r="L25" t="s">
        <v>163</v>
      </c>
      <c r="M25" t="s">
        <v>164</v>
      </c>
      <c r="N25" t="s">
        <v>163</v>
      </c>
      <c r="O25" t="s">
        <v>163</v>
      </c>
      <c r="P25" t="s">
        <v>164</v>
      </c>
      <c r="Q25" t="s">
        <v>162</v>
      </c>
      <c r="R25" t="s">
        <v>162</v>
      </c>
      <c r="S25" t="s">
        <v>163</v>
      </c>
      <c r="T25" t="s">
        <v>158</v>
      </c>
      <c r="U25" t="s">
        <v>158</v>
      </c>
      <c r="V25" t="s">
        <v>162</v>
      </c>
      <c r="W25" t="s">
        <v>158</v>
      </c>
      <c r="X25" t="s">
        <v>158</v>
      </c>
      <c r="Y25" t="s">
        <v>158</v>
      </c>
      <c r="Z25" s="22" t="s">
        <v>256</v>
      </c>
      <c r="AA25" s="140">
        <f t="shared" si="16"/>
        <v>3</v>
      </c>
      <c r="AB25" s="140">
        <f t="shared" si="16"/>
        <v>1</v>
      </c>
      <c r="AC25" s="140">
        <f t="shared" si="16"/>
        <v>1</v>
      </c>
      <c r="AD25" s="140">
        <f t="shared" si="16"/>
        <v>2</v>
      </c>
      <c r="AE25" s="140">
        <f t="shared" si="16"/>
        <v>1</v>
      </c>
      <c r="AF25" s="140">
        <f t="shared" si="16"/>
        <v>1</v>
      </c>
      <c r="AG25" s="140">
        <f t="shared" si="16"/>
        <v>1</v>
      </c>
      <c r="AH25" s="140">
        <f t="shared" si="16"/>
        <v>1</v>
      </c>
      <c r="AI25" s="140">
        <f t="shared" si="16"/>
        <v>1</v>
      </c>
      <c r="AJ25" s="140">
        <f t="shared" si="16"/>
        <v>1</v>
      </c>
      <c r="AK25" s="140">
        <f t="shared" si="16"/>
        <v>1</v>
      </c>
      <c r="AL25" s="140">
        <f t="shared" si="16"/>
        <v>1</v>
      </c>
      <c r="AM25" s="140">
        <f t="shared" si="16"/>
        <v>1</v>
      </c>
      <c r="AN25" s="140">
        <f t="shared" si="16"/>
        <v>1</v>
      </c>
      <c r="AO25" s="140">
        <f t="shared" si="16"/>
        <v>1</v>
      </c>
      <c r="AP25" s="140">
        <f t="shared" si="15"/>
        <v>1</v>
      </c>
      <c r="AQ25" s="140">
        <f t="shared" si="15"/>
        <v>1</v>
      </c>
      <c r="AR25" s="140">
        <f t="shared" si="15"/>
        <v>1</v>
      </c>
      <c r="AS25" s="140">
        <f t="shared" si="15"/>
        <v>1</v>
      </c>
      <c r="AT25" s="140">
        <f t="shared" si="15"/>
        <v>1</v>
      </c>
      <c r="AU25" s="140">
        <f t="shared" si="15"/>
        <v>1</v>
      </c>
      <c r="AV25" s="140">
        <f t="shared" si="15"/>
        <v>1</v>
      </c>
      <c r="AW25" s="140">
        <f t="shared" si="15"/>
        <v>1</v>
      </c>
      <c r="AX25" s="140">
        <f t="shared" si="15"/>
        <v>1</v>
      </c>
      <c r="AY25" s="140">
        <f t="shared" si="2"/>
        <v>27</v>
      </c>
      <c r="BC25" s="160" t="str">
        <f t="shared" si="4"/>
        <v>20/01/22</v>
      </c>
      <c r="BD25" s="162">
        <f t="shared" si="5"/>
        <v>17</v>
      </c>
      <c r="BE25" s="162">
        <f t="shared" si="6"/>
        <v>0</v>
      </c>
      <c r="BF25" s="162">
        <f t="shared" si="7"/>
        <v>0</v>
      </c>
      <c r="BG25" s="162">
        <f t="shared" si="8"/>
        <v>0</v>
      </c>
      <c r="BH25" s="162">
        <f t="shared" si="9"/>
        <v>6</v>
      </c>
      <c r="BI25" s="162">
        <f t="shared" si="10"/>
        <v>0</v>
      </c>
      <c r="BJ25" s="162">
        <f t="shared" si="11"/>
        <v>0</v>
      </c>
      <c r="BK25" s="162">
        <f t="shared" si="12"/>
        <v>1</v>
      </c>
      <c r="BL25" s="162">
        <f t="shared" si="13"/>
        <v>0</v>
      </c>
      <c r="BM25" s="162">
        <f t="shared" si="14"/>
        <v>0</v>
      </c>
      <c r="BN25" s="144">
        <f t="shared" si="3"/>
        <v>24</v>
      </c>
    </row>
    <row r="26" spans="1:66" ht="12.75" customHeight="1">
      <c r="A26" t="s">
        <v>386</v>
      </c>
      <c r="B26" t="s">
        <v>163</v>
      </c>
      <c r="C26" t="s">
        <v>163</v>
      </c>
      <c r="D26" t="s">
        <v>163</v>
      </c>
      <c r="E26" t="s">
        <v>162</v>
      </c>
      <c r="F26" t="s">
        <v>162</v>
      </c>
      <c r="G26" t="s">
        <v>163</v>
      </c>
      <c r="H26" t="s">
        <v>158</v>
      </c>
      <c r="I26" t="s">
        <v>158</v>
      </c>
      <c r="J26" t="s">
        <v>158</v>
      </c>
      <c r="K26" t="s">
        <v>163</v>
      </c>
      <c r="L26" t="s">
        <v>162</v>
      </c>
      <c r="M26" t="s">
        <v>163</v>
      </c>
      <c r="N26" t="s">
        <v>163</v>
      </c>
      <c r="O26" t="s">
        <v>158</v>
      </c>
      <c r="P26" t="s">
        <v>158</v>
      </c>
      <c r="Q26" t="s">
        <v>163</v>
      </c>
      <c r="R26" t="s">
        <v>158</v>
      </c>
      <c r="S26" t="s">
        <v>158</v>
      </c>
      <c r="T26" t="s">
        <v>158</v>
      </c>
      <c r="U26" t="s">
        <v>380</v>
      </c>
      <c r="V26" t="s">
        <v>158</v>
      </c>
      <c r="W26" t="s">
        <v>158</v>
      </c>
      <c r="X26" t="s">
        <v>158</v>
      </c>
      <c r="Y26" t="s">
        <v>162</v>
      </c>
      <c r="Z26" s="22" t="s">
        <v>256</v>
      </c>
      <c r="AA26" s="140">
        <f t="shared" si="16"/>
        <v>1</v>
      </c>
      <c r="AB26" s="140">
        <f t="shared" si="16"/>
        <v>1</v>
      </c>
      <c r="AC26" s="140">
        <f t="shared" si="16"/>
        <v>1</v>
      </c>
      <c r="AD26" s="140">
        <f t="shared" si="16"/>
        <v>1</v>
      </c>
      <c r="AE26" s="140">
        <f t="shared" si="16"/>
        <v>1</v>
      </c>
      <c r="AF26" s="140">
        <f t="shared" si="16"/>
        <v>1</v>
      </c>
      <c r="AG26" s="140">
        <f t="shared" si="16"/>
        <v>1</v>
      </c>
      <c r="AH26" s="140">
        <f t="shared" si="16"/>
        <v>1</v>
      </c>
      <c r="AI26" s="140">
        <f t="shared" si="16"/>
        <v>1</v>
      </c>
      <c r="AJ26" s="140">
        <f t="shared" si="16"/>
        <v>1</v>
      </c>
      <c r="AK26" s="140">
        <f t="shared" si="16"/>
        <v>1</v>
      </c>
      <c r="AL26" s="140">
        <f t="shared" si="16"/>
        <v>1</v>
      </c>
      <c r="AM26" s="140">
        <f t="shared" si="16"/>
        <v>1</v>
      </c>
      <c r="AN26" s="140">
        <f t="shared" si="16"/>
        <v>1</v>
      </c>
      <c r="AO26" s="140">
        <f t="shared" si="16"/>
        <v>1</v>
      </c>
      <c r="AP26" s="140">
        <f t="shared" si="15"/>
        <v>1</v>
      </c>
      <c r="AQ26" s="140">
        <f t="shared" si="15"/>
        <v>1</v>
      </c>
      <c r="AR26" s="140">
        <f t="shared" si="15"/>
        <v>1</v>
      </c>
      <c r="AS26" s="140">
        <f t="shared" si="15"/>
        <v>1</v>
      </c>
      <c r="AT26" s="140">
        <f t="shared" si="15"/>
        <v>2</v>
      </c>
      <c r="AU26" s="140">
        <f t="shared" si="15"/>
        <v>1</v>
      </c>
      <c r="AV26" s="140">
        <f t="shared" si="15"/>
        <v>1</v>
      </c>
      <c r="AW26" s="140">
        <f t="shared" si="15"/>
        <v>1</v>
      </c>
      <c r="AX26" s="140">
        <f t="shared" si="15"/>
        <v>1</v>
      </c>
      <c r="AY26" s="140">
        <f t="shared" si="2"/>
        <v>25</v>
      </c>
      <c r="BC26" s="160" t="str">
        <f t="shared" si="4"/>
        <v>21/01/22</v>
      </c>
      <c r="BD26" s="162">
        <f t="shared" si="5"/>
        <v>11.5</v>
      </c>
      <c r="BE26" s="162">
        <f t="shared" si="6"/>
        <v>0.33333333333333331</v>
      </c>
      <c r="BF26" s="162">
        <f t="shared" si="7"/>
        <v>0</v>
      </c>
      <c r="BG26" s="162">
        <f t="shared" si="8"/>
        <v>0</v>
      </c>
      <c r="BH26" s="162">
        <f t="shared" si="9"/>
        <v>5.333333333333333</v>
      </c>
      <c r="BI26" s="162">
        <f t="shared" si="10"/>
        <v>3</v>
      </c>
      <c r="BJ26" s="162">
        <f t="shared" si="11"/>
        <v>0</v>
      </c>
      <c r="BK26" s="162">
        <f t="shared" si="12"/>
        <v>3.833333333333333</v>
      </c>
      <c r="BL26" s="162">
        <f t="shared" si="13"/>
        <v>0</v>
      </c>
      <c r="BM26" s="162">
        <f t="shared" si="14"/>
        <v>0</v>
      </c>
      <c r="BN26" s="144">
        <f t="shared" si="3"/>
        <v>24</v>
      </c>
    </row>
    <row r="27" spans="1:66" ht="12.75" customHeight="1">
      <c r="A27" t="s">
        <v>387</v>
      </c>
      <c r="B27" t="s">
        <v>163</v>
      </c>
      <c r="C27" t="s">
        <v>158</v>
      </c>
      <c r="D27" t="s">
        <v>163</v>
      </c>
      <c r="E27" t="s">
        <v>163</v>
      </c>
      <c r="F27" t="s">
        <v>163</v>
      </c>
      <c r="G27" t="s">
        <v>163</v>
      </c>
      <c r="H27" t="s">
        <v>158</v>
      </c>
      <c r="I27" t="s">
        <v>163</v>
      </c>
      <c r="J27" t="s">
        <v>158</v>
      </c>
      <c r="K27" t="s">
        <v>163</v>
      </c>
      <c r="L27" t="s">
        <v>163</v>
      </c>
      <c r="M27" t="s">
        <v>163</v>
      </c>
      <c r="N27" t="s">
        <v>163</v>
      </c>
      <c r="O27" t="s">
        <v>163</v>
      </c>
      <c r="P27" t="s">
        <v>158</v>
      </c>
      <c r="Q27" t="s">
        <v>158</v>
      </c>
      <c r="R27" t="s">
        <v>158</v>
      </c>
      <c r="S27" t="s">
        <v>163</v>
      </c>
      <c r="T27" t="s">
        <v>158</v>
      </c>
      <c r="U27" t="s">
        <v>158</v>
      </c>
      <c r="V27" t="s">
        <v>155</v>
      </c>
      <c r="W27" t="s">
        <v>158</v>
      </c>
      <c r="X27" t="s">
        <v>158</v>
      </c>
      <c r="Y27" t="s">
        <v>158</v>
      </c>
      <c r="Z27" s="22" t="s">
        <v>256</v>
      </c>
      <c r="AA27" s="140">
        <f t="shared" si="16"/>
        <v>1</v>
      </c>
      <c r="AB27" s="140">
        <f t="shared" si="16"/>
        <v>1</v>
      </c>
      <c r="AC27" s="140">
        <f t="shared" si="16"/>
        <v>1</v>
      </c>
      <c r="AD27" s="140">
        <f t="shared" si="16"/>
        <v>1</v>
      </c>
      <c r="AE27" s="140">
        <f t="shared" si="16"/>
        <v>1</v>
      </c>
      <c r="AF27" s="140">
        <f t="shared" si="16"/>
        <v>1</v>
      </c>
      <c r="AG27" s="140">
        <f t="shared" si="16"/>
        <v>1</v>
      </c>
      <c r="AH27" s="140">
        <f t="shared" si="16"/>
        <v>1</v>
      </c>
      <c r="AI27" s="140">
        <f t="shared" si="16"/>
        <v>1</v>
      </c>
      <c r="AJ27" s="140">
        <f t="shared" si="16"/>
        <v>1</v>
      </c>
      <c r="AK27" s="140">
        <f t="shared" si="16"/>
        <v>1</v>
      </c>
      <c r="AL27" s="140">
        <f t="shared" si="16"/>
        <v>1</v>
      </c>
      <c r="AM27" s="140">
        <f t="shared" si="16"/>
        <v>1</v>
      </c>
      <c r="AN27" s="140">
        <f t="shared" si="16"/>
        <v>1</v>
      </c>
      <c r="AO27" s="140">
        <f t="shared" si="16"/>
        <v>1</v>
      </c>
      <c r="AP27" s="140">
        <f t="shared" si="15"/>
        <v>1</v>
      </c>
      <c r="AQ27" s="140">
        <f t="shared" si="15"/>
        <v>1</v>
      </c>
      <c r="AR27" s="140">
        <f t="shared" si="15"/>
        <v>1</v>
      </c>
      <c r="AS27" s="140">
        <f t="shared" si="15"/>
        <v>1</v>
      </c>
      <c r="AT27" s="140">
        <f t="shared" si="15"/>
        <v>1</v>
      </c>
      <c r="AU27" s="140">
        <f t="shared" si="15"/>
        <v>1</v>
      </c>
      <c r="AV27" s="140">
        <f t="shared" si="15"/>
        <v>1</v>
      </c>
      <c r="AW27" s="140">
        <f t="shared" si="15"/>
        <v>1</v>
      </c>
      <c r="AX27" s="140">
        <f t="shared" si="15"/>
        <v>1</v>
      </c>
      <c r="AY27" s="140">
        <f t="shared" si="2"/>
        <v>24</v>
      </c>
      <c r="BC27" s="160" t="str">
        <f t="shared" si="4"/>
        <v>22/01/22</v>
      </c>
      <c r="BD27" s="162">
        <f t="shared" si="5"/>
        <v>11.5</v>
      </c>
      <c r="BE27" s="162">
        <f t="shared" si="6"/>
        <v>0.5</v>
      </c>
      <c r="BF27" s="162">
        <f t="shared" si="7"/>
        <v>0</v>
      </c>
      <c r="BG27" s="162">
        <f t="shared" si="8"/>
        <v>0</v>
      </c>
      <c r="BH27" s="162">
        <f t="shared" si="9"/>
        <v>8</v>
      </c>
      <c r="BI27" s="162">
        <f t="shared" si="10"/>
        <v>0</v>
      </c>
      <c r="BJ27" s="162">
        <f t="shared" si="11"/>
        <v>0</v>
      </c>
      <c r="BK27" s="162">
        <f t="shared" si="12"/>
        <v>4</v>
      </c>
      <c r="BL27" s="162">
        <f t="shared" si="13"/>
        <v>0</v>
      </c>
      <c r="BM27" s="162">
        <f t="shared" si="14"/>
        <v>0</v>
      </c>
      <c r="BN27" s="144">
        <f t="shared" si="3"/>
        <v>24</v>
      </c>
    </row>
    <row r="28" spans="1:66" ht="12.75" customHeight="1">
      <c r="A28" t="s">
        <v>388</v>
      </c>
      <c r="B28" t="s">
        <v>163</v>
      </c>
      <c r="C28" t="s">
        <v>163</v>
      </c>
      <c r="D28" t="s">
        <v>163</v>
      </c>
      <c r="E28" t="s">
        <v>162</v>
      </c>
      <c r="F28" t="s">
        <v>162</v>
      </c>
      <c r="G28" t="s">
        <v>158</v>
      </c>
      <c r="H28" t="s">
        <v>158</v>
      </c>
      <c r="I28" t="s">
        <v>155</v>
      </c>
      <c r="J28" t="s">
        <v>163</v>
      </c>
      <c r="K28" t="s">
        <v>163</v>
      </c>
      <c r="L28" t="s">
        <v>155</v>
      </c>
      <c r="M28" t="s">
        <v>158</v>
      </c>
      <c r="N28" t="s">
        <v>155</v>
      </c>
      <c r="O28" t="s">
        <v>155</v>
      </c>
      <c r="P28" t="s">
        <v>163</v>
      </c>
      <c r="Q28" t="s">
        <v>158</v>
      </c>
      <c r="R28" t="s">
        <v>158</v>
      </c>
      <c r="S28" t="s">
        <v>389</v>
      </c>
      <c r="T28" t="s">
        <v>390</v>
      </c>
      <c r="U28" t="s">
        <v>158</v>
      </c>
      <c r="V28" t="s">
        <v>155</v>
      </c>
      <c r="W28" t="s">
        <v>369</v>
      </c>
      <c r="X28" t="s">
        <v>158</v>
      </c>
      <c r="Y28" t="s">
        <v>158</v>
      </c>
      <c r="Z28" s="22" t="s">
        <v>256</v>
      </c>
      <c r="AA28" s="140">
        <f t="shared" si="16"/>
        <v>1</v>
      </c>
      <c r="AB28" s="140">
        <f t="shared" si="16"/>
        <v>1</v>
      </c>
      <c r="AC28" s="140">
        <f t="shared" si="16"/>
        <v>1</v>
      </c>
      <c r="AD28" s="140">
        <f t="shared" si="16"/>
        <v>1</v>
      </c>
      <c r="AE28" s="140">
        <f t="shared" si="16"/>
        <v>1</v>
      </c>
      <c r="AF28" s="140">
        <f t="shared" si="16"/>
        <v>1</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1</v>
      </c>
      <c r="AP28" s="140">
        <f t="shared" si="15"/>
        <v>1</v>
      </c>
      <c r="AQ28" s="140">
        <f t="shared" si="15"/>
        <v>1</v>
      </c>
      <c r="AR28" s="140">
        <f t="shared" si="15"/>
        <v>4</v>
      </c>
      <c r="AS28" s="140">
        <f t="shared" si="15"/>
        <v>2</v>
      </c>
      <c r="AT28" s="140">
        <f t="shared" si="15"/>
        <v>1</v>
      </c>
      <c r="AU28" s="140">
        <f t="shared" si="15"/>
        <v>1</v>
      </c>
      <c r="AV28" s="140">
        <f t="shared" si="15"/>
        <v>3</v>
      </c>
      <c r="AW28" s="140">
        <f t="shared" si="15"/>
        <v>1</v>
      </c>
      <c r="AX28" s="140">
        <f t="shared" si="15"/>
        <v>1</v>
      </c>
      <c r="AY28" s="140">
        <f t="shared" si="2"/>
        <v>30</v>
      </c>
      <c r="BC28" s="160" t="str">
        <f t="shared" si="4"/>
        <v>23/01/22</v>
      </c>
      <c r="BD28" s="162">
        <f t="shared" si="5"/>
        <v>11</v>
      </c>
      <c r="BE28" s="162">
        <f t="shared" si="6"/>
        <v>1</v>
      </c>
      <c r="BF28" s="162">
        <f t="shared" si="7"/>
        <v>0</v>
      </c>
      <c r="BG28" s="162">
        <f t="shared" si="8"/>
        <v>0</v>
      </c>
      <c r="BH28" s="162">
        <f t="shared" si="9"/>
        <v>12</v>
      </c>
      <c r="BI28" s="162">
        <f t="shared" si="10"/>
        <v>0</v>
      </c>
      <c r="BJ28" s="162">
        <f t="shared" si="11"/>
        <v>0</v>
      </c>
      <c r="BK28" s="162">
        <f t="shared" si="12"/>
        <v>0</v>
      </c>
      <c r="BL28" s="162">
        <f t="shared" si="13"/>
        <v>0</v>
      </c>
      <c r="BM28" s="162">
        <f t="shared" si="14"/>
        <v>0</v>
      </c>
      <c r="BN28" s="144">
        <f t="shared" si="3"/>
        <v>24</v>
      </c>
    </row>
    <row r="29" spans="1:66" ht="12.75" customHeight="1">
      <c r="A29" t="s">
        <v>391</v>
      </c>
      <c r="B29" t="s">
        <v>158</v>
      </c>
      <c r="C29" t="s">
        <v>162</v>
      </c>
      <c r="D29" t="s">
        <v>163</v>
      </c>
      <c r="E29" t="s">
        <v>163</v>
      </c>
      <c r="F29" t="s">
        <v>163</v>
      </c>
      <c r="G29" t="s">
        <v>163</v>
      </c>
      <c r="H29" t="s">
        <v>162</v>
      </c>
      <c r="I29" t="s">
        <v>158</v>
      </c>
      <c r="J29" t="s">
        <v>158</v>
      </c>
      <c r="K29" t="s">
        <v>158</v>
      </c>
      <c r="L29" t="s">
        <v>158</v>
      </c>
      <c r="M29" t="s">
        <v>366</v>
      </c>
      <c r="N29" t="s">
        <v>158</v>
      </c>
      <c r="O29" t="s">
        <v>158</v>
      </c>
      <c r="P29" t="s">
        <v>163</v>
      </c>
      <c r="Q29" t="s">
        <v>163</v>
      </c>
      <c r="R29" t="s">
        <v>158</v>
      </c>
      <c r="S29" t="s">
        <v>155</v>
      </c>
      <c r="T29" t="s">
        <v>158</v>
      </c>
      <c r="U29" t="s">
        <v>158</v>
      </c>
      <c r="V29" t="s">
        <v>158</v>
      </c>
      <c r="W29" t="s">
        <v>162</v>
      </c>
      <c r="X29" t="s">
        <v>158</v>
      </c>
      <c r="Y29" t="s">
        <v>163</v>
      </c>
      <c r="Z29" s="22" t="s">
        <v>256</v>
      </c>
      <c r="AA29" s="140">
        <f t="shared" si="16"/>
        <v>1</v>
      </c>
      <c r="AB29" s="140">
        <f t="shared" si="16"/>
        <v>1</v>
      </c>
      <c r="AC29" s="140">
        <f t="shared" si="16"/>
        <v>1</v>
      </c>
      <c r="AD29" s="140">
        <f t="shared" si="16"/>
        <v>1</v>
      </c>
      <c r="AE29" s="140">
        <f t="shared" si="16"/>
        <v>1</v>
      </c>
      <c r="AF29" s="140">
        <f t="shared" si="16"/>
        <v>1</v>
      </c>
      <c r="AG29" s="140">
        <f t="shared" si="16"/>
        <v>1</v>
      </c>
      <c r="AH29" s="140">
        <f t="shared" si="16"/>
        <v>1</v>
      </c>
      <c r="AI29" s="140">
        <f t="shared" si="16"/>
        <v>1</v>
      </c>
      <c r="AJ29" s="140">
        <f t="shared" si="16"/>
        <v>1</v>
      </c>
      <c r="AK29" s="140">
        <f t="shared" si="16"/>
        <v>1</v>
      </c>
      <c r="AL29" s="140">
        <f t="shared" si="16"/>
        <v>2</v>
      </c>
      <c r="AM29" s="140">
        <f t="shared" si="16"/>
        <v>1</v>
      </c>
      <c r="AN29" s="140">
        <f t="shared" si="16"/>
        <v>1</v>
      </c>
      <c r="AO29" s="140">
        <f t="shared" si="16"/>
        <v>1</v>
      </c>
      <c r="AP29" s="140">
        <f t="shared" si="15"/>
        <v>1</v>
      </c>
      <c r="AQ29" s="140">
        <f t="shared" si="15"/>
        <v>1</v>
      </c>
      <c r="AR29" s="140">
        <f t="shared" si="15"/>
        <v>1</v>
      </c>
      <c r="AS29" s="140">
        <f t="shared" si="15"/>
        <v>1</v>
      </c>
      <c r="AT29" s="140">
        <f t="shared" si="15"/>
        <v>1</v>
      </c>
      <c r="AU29" s="140">
        <f t="shared" si="15"/>
        <v>1</v>
      </c>
      <c r="AV29" s="140">
        <f t="shared" si="15"/>
        <v>1</v>
      </c>
      <c r="AW29" s="140">
        <f t="shared" si="15"/>
        <v>1</v>
      </c>
      <c r="AX29" s="140">
        <f t="shared" si="15"/>
        <v>1</v>
      </c>
      <c r="AY29" s="140">
        <f>SUM(AA29:AX29)</f>
        <v>25</v>
      </c>
      <c r="BC29" s="160" t="str">
        <f t="shared" si="4"/>
        <v>24/01/22</v>
      </c>
      <c r="BD29" s="162">
        <f t="shared" si="5"/>
        <v>8.5833333333333321</v>
      </c>
      <c r="BE29" s="162">
        <f t="shared" si="6"/>
        <v>6.083333333333333</v>
      </c>
      <c r="BF29" s="162">
        <f t="shared" si="7"/>
        <v>0</v>
      </c>
      <c r="BG29" s="162">
        <f t="shared" si="8"/>
        <v>0</v>
      </c>
      <c r="BH29" s="162">
        <f t="shared" si="9"/>
        <v>6.75</v>
      </c>
      <c r="BI29" s="162">
        <f t="shared" si="10"/>
        <v>0</v>
      </c>
      <c r="BJ29" s="162">
        <f t="shared" si="11"/>
        <v>0</v>
      </c>
      <c r="BK29" s="162">
        <f t="shared" si="12"/>
        <v>2.5833333333333335</v>
      </c>
      <c r="BL29" s="162">
        <f t="shared" si="13"/>
        <v>0</v>
      </c>
      <c r="BM29" s="162">
        <f t="shared" si="14"/>
        <v>0</v>
      </c>
      <c r="BN29" s="144">
        <f t="shared" si="3"/>
        <v>23.999999999999996</v>
      </c>
    </row>
    <row r="30" spans="1:66" ht="12.75" customHeight="1">
      <c r="A30" t="s">
        <v>392</v>
      </c>
      <c r="B30" t="s">
        <v>158</v>
      </c>
      <c r="C30" t="s">
        <v>363</v>
      </c>
      <c r="D30" t="s">
        <v>158</v>
      </c>
      <c r="E30" t="s">
        <v>158</v>
      </c>
      <c r="F30" t="s">
        <v>158</v>
      </c>
      <c r="G30" t="s">
        <v>158</v>
      </c>
      <c r="H30" t="s">
        <v>158</v>
      </c>
      <c r="I30" t="s">
        <v>163</v>
      </c>
      <c r="J30" t="s">
        <v>158</v>
      </c>
      <c r="K30" t="s">
        <v>158</v>
      </c>
      <c r="L30" t="s">
        <v>158</v>
      </c>
      <c r="M30" t="s">
        <v>163</v>
      </c>
      <c r="N30" t="s">
        <v>155</v>
      </c>
      <c r="O30" t="s">
        <v>158</v>
      </c>
      <c r="P30" t="s">
        <v>163</v>
      </c>
      <c r="Q30" t="s">
        <v>163</v>
      </c>
      <c r="R30" t="s">
        <v>155</v>
      </c>
      <c r="S30" t="s">
        <v>155</v>
      </c>
      <c r="T30" t="s">
        <v>158</v>
      </c>
      <c r="U30" t="s">
        <v>158</v>
      </c>
      <c r="V30" t="s">
        <v>162</v>
      </c>
      <c r="W30" t="s">
        <v>158</v>
      </c>
      <c r="X30" t="s">
        <v>163</v>
      </c>
      <c r="Y30" t="s">
        <v>163</v>
      </c>
      <c r="Z30" s="22" t="s">
        <v>256</v>
      </c>
      <c r="AA30" s="140">
        <f t="shared" si="16"/>
        <v>1</v>
      </c>
      <c r="AB30" s="140">
        <f t="shared" si="16"/>
        <v>2</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1</v>
      </c>
      <c r="AM30" s="140">
        <f t="shared" si="16"/>
        <v>1</v>
      </c>
      <c r="AN30" s="140">
        <f t="shared" si="16"/>
        <v>1</v>
      </c>
      <c r="AO30" s="140">
        <f t="shared" si="16"/>
        <v>1</v>
      </c>
      <c r="AP30" s="140">
        <f t="shared" si="15"/>
        <v>1</v>
      </c>
      <c r="AQ30" s="140">
        <f t="shared" si="15"/>
        <v>1</v>
      </c>
      <c r="AR30" s="140">
        <f t="shared" si="15"/>
        <v>1</v>
      </c>
      <c r="AS30" s="140">
        <f t="shared" si="15"/>
        <v>1</v>
      </c>
      <c r="AT30" s="140">
        <f t="shared" si="15"/>
        <v>1</v>
      </c>
      <c r="AU30" s="140">
        <f t="shared" si="15"/>
        <v>1</v>
      </c>
      <c r="AV30" s="140">
        <f t="shared" si="15"/>
        <v>1</v>
      </c>
      <c r="AW30" s="140">
        <f t="shared" si="15"/>
        <v>1</v>
      </c>
      <c r="AX30" s="140">
        <f t="shared" si="15"/>
        <v>1</v>
      </c>
      <c r="AY30" s="140">
        <f t="shared" si="2"/>
        <v>25</v>
      </c>
      <c r="BC30" s="160" t="str">
        <f t="shared" si="4"/>
        <v>25/01/22</v>
      </c>
      <c r="BD30" s="162">
        <f t="shared" si="5"/>
        <v>12.5</v>
      </c>
      <c r="BE30" s="162">
        <f t="shared" si="6"/>
        <v>1</v>
      </c>
      <c r="BF30" s="162">
        <f t="shared" si="7"/>
        <v>0</v>
      </c>
      <c r="BG30" s="162">
        <f t="shared" si="8"/>
        <v>0</v>
      </c>
      <c r="BH30" s="162">
        <f t="shared" si="9"/>
        <v>7.5</v>
      </c>
      <c r="BI30" s="162">
        <f t="shared" si="10"/>
        <v>0</v>
      </c>
      <c r="BJ30" s="162">
        <f t="shared" si="11"/>
        <v>0</v>
      </c>
      <c r="BK30" s="162">
        <f>AY293</f>
        <v>3</v>
      </c>
      <c r="BL30" s="162">
        <f t="shared" si="13"/>
        <v>0</v>
      </c>
      <c r="BM30" s="162">
        <f t="shared" si="14"/>
        <v>0</v>
      </c>
      <c r="BN30" s="144">
        <f t="shared" si="3"/>
        <v>24</v>
      </c>
    </row>
    <row r="31" spans="1:66" ht="12.75" customHeight="1">
      <c r="A31" t="s">
        <v>393</v>
      </c>
      <c r="B31" t="s">
        <v>163</v>
      </c>
      <c r="C31" t="s">
        <v>163</v>
      </c>
      <c r="D31" t="s">
        <v>158</v>
      </c>
      <c r="E31" t="s">
        <v>158</v>
      </c>
      <c r="F31" t="s">
        <v>163</v>
      </c>
      <c r="G31" t="s">
        <v>162</v>
      </c>
      <c r="H31" t="s">
        <v>163</v>
      </c>
      <c r="I31" t="s">
        <v>158</v>
      </c>
      <c r="J31" t="s">
        <v>158</v>
      </c>
      <c r="K31" t="s">
        <v>158</v>
      </c>
      <c r="L31" t="s">
        <v>162</v>
      </c>
      <c r="M31" t="s">
        <v>163</v>
      </c>
      <c r="N31" t="s">
        <v>158</v>
      </c>
      <c r="O31" t="s">
        <v>158</v>
      </c>
      <c r="P31" t="s">
        <v>158</v>
      </c>
      <c r="Q31" t="s">
        <v>162</v>
      </c>
      <c r="R31" t="s">
        <v>163</v>
      </c>
      <c r="S31" t="s">
        <v>158</v>
      </c>
      <c r="T31" t="s">
        <v>162</v>
      </c>
      <c r="U31" t="s">
        <v>162</v>
      </c>
      <c r="V31" t="s">
        <v>155</v>
      </c>
      <c r="W31" t="s">
        <v>363</v>
      </c>
      <c r="X31" t="s">
        <v>163</v>
      </c>
      <c r="Y31" t="s">
        <v>158</v>
      </c>
      <c r="Z31" s="22" t="s">
        <v>256</v>
      </c>
      <c r="AA31" s="140">
        <f t="shared" si="16"/>
        <v>1</v>
      </c>
      <c r="AB31" s="140">
        <f t="shared" si="16"/>
        <v>1</v>
      </c>
      <c r="AC31" s="140">
        <f t="shared" si="16"/>
        <v>1</v>
      </c>
      <c r="AD31" s="140">
        <f t="shared" si="16"/>
        <v>1</v>
      </c>
      <c r="AE31" s="140">
        <f t="shared" si="16"/>
        <v>1</v>
      </c>
      <c r="AF31" s="140">
        <f t="shared" si="16"/>
        <v>1</v>
      </c>
      <c r="AG31" s="140">
        <f t="shared" si="16"/>
        <v>1</v>
      </c>
      <c r="AH31" s="140">
        <f t="shared" si="16"/>
        <v>1</v>
      </c>
      <c r="AI31" s="140">
        <f t="shared" si="16"/>
        <v>1</v>
      </c>
      <c r="AJ31" s="140">
        <f t="shared" si="16"/>
        <v>1</v>
      </c>
      <c r="AK31" s="140">
        <f t="shared" si="16"/>
        <v>1</v>
      </c>
      <c r="AL31" s="140">
        <f t="shared" si="16"/>
        <v>1</v>
      </c>
      <c r="AM31" s="140">
        <f t="shared" si="16"/>
        <v>1</v>
      </c>
      <c r="AN31" s="140">
        <f t="shared" si="16"/>
        <v>1</v>
      </c>
      <c r="AO31" s="140">
        <f t="shared" si="16"/>
        <v>1</v>
      </c>
      <c r="AP31" s="140">
        <f t="shared" si="15"/>
        <v>1</v>
      </c>
      <c r="AQ31" s="140">
        <f t="shared" si="15"/>
        <v>1</v>
      </c>
      <c r="AR31" s="140">
        <f t="shared" si="15"/>
        <v>1</v>
      </c>
      <c r="AS31" s="140">
        <f t="shared" si="15"/>
        <v>1</v>
      </c>
      <c r="AT31" s="140">
        <f t="shared" si="15"/>
        <v>1</v>
      </c>
      <c r="AU31" s="140">
        <f t="shared" si="15"/>
        <v>1</v>
      </c>
      <c r="AV31" s="140">
        <f t="shared" si="15"/>
        <v>2</v>
      </c>
      <c r="AW31" s="140">
        <f t="shared" si="15"/>
        <v>1</v>
      </c>
      <c r="AX31" s="140">
        <f t="shared" si="15"/>
        <v>1</v>
      </c>
      <c r="AY31" s="140">
        <f t="shared" si="2"/>
        <v>25</v>
      </c>
      <c r="BC31" s="160" t="str">
        <f t="shared" si="4"/>
        <v>26/01/22</v>
      </c>
      <c r="BD31" s="162">
        <f t="shared" si="5"/>
        <v>13.5</v>
      </c>
      <c r="BE31" s="162">
        <f t="shared" si="6"/>
        <v>3</v>
      </c>
      <c r="BF31" s="162">
        <f t="shared" si="7"/>
        <v>0</v>
      </c>
      <c r="BG31" s="162">
        <f t="shared" si="8"/>
        <v>0</v>
      </c>
      <c r="BH31" s="162">
        <f t="shared" si="9"/>
        <v>6</v>
      </c>
      <c r="BI31" s="162">
        <f t="shared" si="10"/>
        <v>0</v>
      </c>
      <c r="BJ31" s="162">
        <f t="shared" si="11"/>
        <v>0</v>
      </c>
      <c r="BK31" s="162">
        <f t="shared" si="12"/>
        <v>1.5</v>
      </c>
      <c r="BL31" s="162">
        <f t="shared" si="13"/>
        <v>0</v>
      </c>
      <c r="BM31" s="162">
        <f t="shared" si="14"/>
        <v>0</v>
      </c>
      <c r="BN31" s="144">
        <f t="shared" si="3"/>
        <v>24</v>
      </c>
    </row>
    <row r="32" spans="1:66" ht="12.75" customHeight="1">
      <c r="A32" t="s">
        <v>394</v>
      </c>
      <c r="B32" t="s">
        <v>158</v>
      </c>
      <c r="C32" t="s">
        <v>162</v>
      </c>
      <c r="D32" t="s">
        <v>162</v>
      </c>
      <c r="E32" t="s">
        <v>162</v>
      </c>
      <c r="F32" t="s">
        <v>162</v>
      </c>
      <c r="G32" t="s">
        <v>158</v>
      </c>
      <c r="H32" t="s">
        <v>162</v>
      </c>
      <c r="I32" t="s">
        <v>158</v>
      </c>
      <c r="J32" t="s">
        <v>158</v>
      </c>
      <c r="K32" t="s">
        <v>158</v>
      </c>
      <c r="L32" t="s">
        <v>163</v>
      </c>
      <c r="M32" t="s">
        <v>158</v>
      </c>
      <c r="N32" t="s">
        <v>163</v>
      </c>
      <c r="O32" t="s">
        <v>163</v>
      </c>
      <c r="P32" t="s">
        <v>163</v>
      </c>
      <c r="Q32" t="s">
        <v>162</v>
      </c>
      <c r="R32" t="s">
        <v>162</v>
      </c>
      <c r="S32" t="s">
        <v>158</v>
      </c>
      <c r="T32" t="s">
        <v>162</v>
      </c>
      <c r="U32" t="s">
        <v>158</v>
      </c>
      <c r="V32" t="s">
        <v>155</v>
      </c>
      <c r="W32" t="s">
        <v>158</v>
      </c>
      <c r="X32" t="s">
        <v>158</v>
      </c>
      <c r="Y32" t="s">
        <v>163</v>
      </c>
      <c r="Z32" s="22" t="s">
        <v>256</v>
      </c>
      <c r="AA32" s="140">
        <f t="shared" si="16"/>
        <v>1</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1</v>
      </c>
      <c r="AO32" s="140">
        <f t="shared" si="16"/>
        <v>1</v>
      </c>
      <c r="AP32" s="140">
        <f t="shared" si="15"/>
        <v>1</v>
      </c>
      <c r="AQ32" s="140">
        <f t="shared" si="15"/>
        <v>1</v>
      </c>
      <c r="AR32" s="140">
        <f t="shared" si="15"/>
        <v>1</v>
      </c>
      <c r="AS32" s="140">
        <f t="shared" si="15"/>
        <v>1</v>
      </c>
      <c r="AT32" s="140">
        <f t="shared" si="15"/>
        <v>1</v>
      </c>
      <c r="AU32" s="140">
        <f t="shared" si="15"/>
        <v>1</v>
      </c>
      <c r="AV32" s="140">
        <f t="shared" si="15"/>
        <v>1</v>
      </c>
      <c r="AW32" s="140">
        <f t="shared" si="15"/>
        <v>1</v>
      </c>
      <c r="AX32" s="140">
        <f t="shared" si="15"/>
        <v>1</v>
      </c>
      <c r="AY32" s="140">
        <f t="shared" si="2"/>
        <v>24</v>
      </c>
      <c r="BC32" s="160" t="str">
        <f t="shared" si="4"/>
        <v>27/01/22</v>
      </c>
      <c r="BD32" s="162">
        <f t="shared" si="5"/>
        <v>10.5</v>
      </c>
      <c r="BE32" s="162">
        <f t="shared" si="6"/>
        <v>1</v>
      </c>
      <c r="BF32" s="162">
        <f t="shared" si="7"/>
        <v>0</v>
      </c>
      <c r="BG32" s="162">
        <f t="shared" si="8"/>
        <v>0</v>
      </c>
      <c r="BH32" s="162">
        <f t="shared" si="9"/>
        <v>7</v>
      </c>
      <c r="BI32" s="162">
        <f t="shared" si="10"/>
        <v>0</v>
      </c>
      <c r="BJ32" s="162">
        <f t="shared" si="11"/>
        <v>0</v>
      </c>
      <c r="BK32" s="162">
        <f t="shared" si="12"/>
        <v>5.5</v>
      </c>
      <c r="BL32" s="162">
        <f t="shared" si="13"/>
        <v>0</v>
      </c>
      <c r="BM32" s="162">
        <f t="shared" si="14"/>
        <v>0</v>
      </c>
      <c r="BN32" s="144">
        <f t="shared" si="3"/>
        <v>24</v>
      </c>
    </row>
    <row r="33" spans="1:66" ht="12.75" customHeight="1">
      <c r="A33" t="s">
        <v>395</v>
      </c>
      <c r="B33" t="s">
        <v>158</v>
      </c>
      <c r="C33" t="s">
        <v>163</v>
      </c>
      <c r="D33" t="s">
        <v>162</v>
      </c>
      <c r="E33" t="s">
        <v>163</v>
      </c>
      <c r="F33" t="s">
        <v>365</v>
      </c>
      <c r="G33" t="s">
        <v>162</v>
      </c>
      <c r="H33" t="s">
        <v>162</v>
      </c>
      <c r="I33" t="s">
        <v>158</v>
      </c>
      <c r="J33" t="s">
        <v>158</v>
      </c>
      <c r="K33" t="s">
        <v>158</v>
      </c>
      <c r="L33" t="s">
        <v>158</v>
      </c>
      <c r="M33" t="s">
        <v>163</v>
      </c>
      <c r="N33" t="s">
        <v>163</v>
      </c>
      <c r="O33" t="s">
        <v>163</v>
      </c>
      <c r="P33" t="s">
        <v>162</v>
      </c>
      <c r="Q33" t="s">
        <v>162</v>
      </c>
      <c r="R33" t="s">
        <v>158</v>
      </c>
      <c r="S33" t="s">
        <v>158</v>
      </c>
      <c r="T33" t="s">
        <v>158</v>
      </c>
      <c r="U33" t="s">
        <v>158</v>
      </c>
      <c r="V33" t="s">
        <v>155</v>
      </c>
      <c r="W33" t="s">
        <v>155</v>
      </c>
      <c r="X33" t="s">
        <v>158</v>
      </c>
      <c r="Y33" t="s">
        <v>162</v>
      </c>
      <c r="Z33" s="22" t="s">
        <v>256</v>
      </c>
      <c r="AA33" s="140">
        <f t="shared" si="16"/>
        <v>1</v>
      </c>
      <c r="AB33" s="140">
        <f t="shared" si="16"/>
        <v>1</v>
      </c>
      <c r="AC33" s="140">
        <f t="shared" si="16"/>
        <v>1</v>
      </c>
      <c r="AD33" s="140">
        <f t="shared" si="16"/>
        <v>1</v>
      </c>
      <c r="AE33" s="140">
        <f t="shared" si="16"/>
        <v>2</v>
      </c>
      <c r="AF33" s="140">
        <f t="shared" si="16"/>
        <v>1</v>
      </c>
      <c r="AG33" s="140">
        <f t="shared" si="16"/>
        <v>1</v>
      </c>
      <c r="AH33" s="140">
        <f t="shared" si="16"/>
        <v>1</v>
      </c>
      <c r="AI33" s="140">
        <f t="shared" si="16"/>
        <v>1</v>
      </c>
      <c r="AJ33" s="140">
        <f t="shared" si="16"/>
        <v>1</v>
      </c>
      <c r="AK33" s="140">
        <f t="shared" si="16"/>
        <v>1</v>
      </c>
      <c r="AL33" s="140">
        <f t="shared" si="16"/>
        <v>1</v>
      </c>
      <c r="AM33" s="140">
        <f t="shared" si="16"/>
        <v>1</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1</v>
      </c>
      <c r="AW33" s="140">
        <f t="shared" si="15"/>
        <v>1</v>
      </c>
      <c r="AX33" s="140">
        <f t="shared" si="15"/>
        <v>1</v>
      </c>
      <c r="AY33" s="140">
        <f t="shared" si="2"/>
        <v>25</v>
      </c>
      <c r="BC33" s="160" t="str">
        <f t="shared" si="4"/>
        <v>28/01/22</v>
      </c>
      <c r="BD33" s="162">
        <f t="shared" si="5"/>
        <v>10</v>
      </c>
      <c r="BE33" s="162">
        <f t="shared" si="6"/>
        <v>1</v>
      </c>
      <c r="BF33" s="162">
        <f t="shared" si="7"/>
        <v>0</v>
      </c>
      <c r="BG33" s="162">
        <f t="shared" si="8"/>
        <v>0</v>
      </c>
      <c r="BH33" s="162">
        <f t="shared" si="9"/>
        <v>5</v>
      </c>
      <c r="BI33" s="162">
        <f t="shared" si="10"/>
        <v>0</v>
      </c>
      <c r="BJ33" s="162">
        <f t="shared" si="11"/>
        <v>0</v>
      </c>
      <c r="BK33" s="162">
        <f t="shared" si="12"/>
        <v>8</v>
      </c>
      <c r="BL33" s="162">
        <f t="shared" si="13"/>
        <v>0</v>
      </c>
      <c r="BM33" s="162">
        <f t="shared" si="14"/>
        <v>0</v>
      </c>
      <c r="BN33" s="144">
        <f t="shared" si="3"/>
        <v>24</v>
      </c>
    </row>
    <row r="34" spans="1:66" ht="12.75" customHeight="1">
      <c r="A34" t="s">
        <v>396</v>
      </c>
      <c r="B34" t="s">
        <v>162</v>
      </c>
      <c r="C34" t="s">
        <v>162</v>
      </c>
      <c r="D34" t="s">
        <v>162</v>
      </c>
      <c r="E34" t="s">
        <v>162</v>
      </c>
      <c r="F34" t="s">
        <v>162</v>
      </c>
      <c r="G34" t="s">
        <v>163</v>
      </c>
      <c r="H34" t="s">
        <v>162</v>
      </c>
      <c r="I34" t="s">
        <v>163</v>
      </c>
      <c r="J34" t="s">
        <v>158</v>
      </c>
      <c r="K34" t="s">
        <v>162</v>
      </c>
      <c r="L34" t="s">
        <v>366</v>
      </c>
      <c r="M34" t="s">
        <v>163</v>
      </c>
      <c r="N34" t="s">
        <v>163</v>
      </c>
      <c r="O34" t="s">
        <v>163</v>
      </c>
      <c r="P34" t="s">
        <v>162</v>
      </c>
      <c r="Q34" t="s">
        <v>162</v>
      </c>
      <c r="R34" t="s">
        <v>163</v>
      </c>
      <c r="S34" t="s">
        <v>155</v>
      </c>
      <c r="T34" t="s">
        <v>158</v>
      </c>
      <c r="U34" t="s">
        <v>155</v>
      </c>
      <c r="V34" t="s">
        <v>158</v>
      </c>
      <c r="W34" t="s">
        <v>158</v>
      </c>
      <c r="X34" t="s">
        <v>155</v>
      </c>
      <c r="Y34" t="s">
        <v>158</v>
      </c>
      <c r="Z34" s="22" t="s">
        <v>256</v>
      </c>
      <c r="AA34" s="140">
        <f t="shared" si="16"/>
        <v>1</v>
      </c>
      <c r="AB34" s="140">
        <f t="shared" si="16"/>
        <v>1</v>
      </c>
      <c r="AC34" s="140">
        <f t="shared" si="16"/>
        <v>1</v>
      </c>
      <c r="AD34" s="140">
        <f t="shared" si="16"/>
        <v>1</v>
      </c>
      <c r="AE34" s="140">
        <f t="shared" si="16"/>
        <v>1</v>
      </c>
      <c r="AF34" s="140">
        <f t="shared" si="16"/>
        <v>1</v>
      </c>
      <c r="AG34" s="140">
        <f t="shared" si="16"/>
        <v>1</v>
      </c>
      <c r="AH34" s="140">
        <f t="shared" si="16"/>
        <v>1</v>
      </c>
      <c r="AI34" s="140">
        <f t="shared" si="16"/>
        <v>1</v>
      </c>
      <c r="AJ34" s="140">
        <f t="shared" si="16"/>
        <v>1</v>
      </c>
      <c r="AK34" s="140">
        <f t="shared" si="16"/>
        <v>2</v>
      </c>
      <c r="AL34" s="140">
        <f t="shared" si="16"/>
        <v>1</v>
      </c>
      <c r="AM34" s="140">
        <f t="shared" si="16"/>
        <v>1</v>
      </c>
      <c r="AN34" s="140">
        <f t="shared" si="16"/>
        <v>1</v>
      </c>
      <c r="AO34" s="140">
        <f t="shared" si="16"/>
        <v>1</v>
      </c>
      <c r="AP34" s="140">
        <f t="shared" si="16"/>
        <v>1</v>
      </c>
      <c r="AQ34" s="140">
        <f t="shared" si="15"/>
        <v>1</v>
      </c>
      <c r="AR34" s="140">
        <f t="shared" si="15"/>
        <v>1</v>
      </c>
      <c r="AS34" s="140">
        <f t="shared" si="15"/>
        <v>1</v>
      </c>
      <c r="AT34" s="140">
        <f t="shared" si="15"/>
        <v>1</v>
      </c>
      <c r="AU34" s="140">
        <f t="shared" si="15"/>
        <v>1</v>
      </c>
      <c r="AV34" s="140">
        <f t="shared" si="15"/>
        <v>1</v>
      </c>
      <c r="AW34" s="140">
        <f t="shared" si="15"/>
        <v>1</v>
      </c>
      <c r="AX34" s="140">
        <f t="shared" si="15"/>
        <v>1</v>
      </c>
      <c r="AY34" s="140">
        <f t="shared" si="2"/>
        <v>25</v>
      </c>
      <c r="BC34" s="160" t="str">
        <f t="shared" si="4"/>
        <v>29/01/22</v>
      </c>
      <c r="BD34" s="162">
        <f t="shared" si="5"/>
        <v>10</v>
      </c>
      <c r="BE34" s="162">
        <f t="shared" si="6"/>
        <v>2</v>
      </c>
      <c r="BF34" s="162">
        <f t="shared" si="7"/>
        <v>0</v>
      </c>
      <c r="BG34" s="162">
        <f t="shared" si="8"/>
        <v>0</v>
      </c>
      <c r="BH34" s="162">
        <f t="shared" si="9"/>
        <v>5.5</v>
      </c>
      <c r="BI34" s="162">
        <f t="shared" si="10"/>
        <v>0</v>
      </c>
      <c r="BJ34" s="162">
        <f t="shared" si="11"/>
        <v>0</v>
      </c>
      <c r="BK34" s="162">
        <f t="shared" si="12"/>
        <v>6.5</v>
      </c>
      <c r="BL34" s="162">
        <f t="shared" si="13"/>
        <v>0</v>
      </c>
      <c r="BM34" s="162">
        <f t="shared" si="14"/>
        <v>0</v>
      </c>
      <c r="BN34" s="144">
        <f>SUM(BD34:BM34)</f>
        <v>24</v>
      </c>
    </row>
    <row r="35" spans="1:66" ht="12.75" customHeight="1">
      <c r="A35" t="s">
        <v>397</v>
      </c>
      <c r="B35" t="s">
        <v>158</v>
      </c>
      <c r="C35" t="s">
        <v>158</v>
      </c>
      <c r="D35" t="s">
        <v>158</v>
      </c>
      <c r="E35" t="s">
        <v>162</v>
      </c>
      <c r="F35" t="s">
        <v>162</v>
      </c>
      <c r="G35" t="s">
        <v>162</v>
      </c>
      <c r="H35" t="s">
        <v>158</v>
      </c>
      <c r="I35" t="s">
        <v>163</v>
      </c>
      <c r="J35" t="s">
        <v>158</v>
      </c>
      <c r="K35" t="s">
        <v>158</v>
      </c>
      <c r="L35" t="s">
        <v>158</v>
      </c>
      <c r="M35" t="s">
        <v>158</v>
      </c>
      <c r="N35" t="s">
        <v>162</v>
      </c>
      <c r="O35" t="s">
        <v>163</v>
      </c>
      <c r="P35" t="s">
        <v>162</v>
      </c>
      <c r="Q35" t="s">
        <v>158</v>
      </c>
      <c r="R35" t="s">
        <v>163</v>
      </c>
      <c r="S35" t="s">
        <v>365</v>
      </c>
      <c r="T35" t="s">
        <v>158</v>
      </c>
      <c r="U35" t="s">
        <v>369</v>
      </c>
      <c r="V35" t="s">
        <v>158</v>
      </c>
      <c r="W35" t="s">
        <v>365</v>
      </c>
      <c r="X35" t="s">
        <v>163</v>
      </c>
      <c r="Y35" t="s">
        <v>162</v>
      </c>
      <c r="AA35" s="140">
        <f t="shared" si="16"/>
        <v>1</v>
      </c>
      <c r="AB35" s="140">
        <f t="shared" si="16"/>
        <v>1</v>
      </c>
      <c r="AC35" s="140">
        <f t="shared" si="16"/>
        <v>1</v>
      </c>
      <c r="AD35" s="140">
        <f t="shared" si="16"/>
        <v>1</v>
      </c>
      <c r="AE35" s="140">
        <f t="shared" si="16"/>
        <v>1</v>
      </c>
      <c r="AF35" s="140">
        <f t="shared" si="16"/>
        <v>1</v>
      </c>
      <c r="AG35" s="140">
        <f t="shared" si="16"/>
        <v>1</v>
      </c>
      <c r="AH35" s="140">
        <f t="shared" si="16"/>
        <v>1</v>
      </c>
      <c r="AI35" s="140">
        <f t="shared" si="16"/>
        <v>1</v>
      </c>
      <c r="AJ35" s="140">
        <f t="shared" si="16"/>
        <v>1</v>
      </c>
      <c r="AK35" s="140">
        <f t="shared" si="16"/>
        <v>1</v>
      </c>
      <c r="AL35" s="140">
        <f t="shared" si="16"/>
        <v>1</v>
      </c>
      <c r="AM35" s="140">
        <f t="shared" si="16"/>
        <v>1</v>
      </c>
      <c r="AN35" s="140">
        <f t="shared" si="16"/>
        <v>1</v>
      </c>
      <c r="AO35" s="140">
        <f t="shared" si="16"/>
        <v>1</v>
      </c>
      <c r="AP35" s="140">
        <f t="shared" si="16"/>
        <v>1</v>
      </c>
      <c r="AQ35" s="140">
        <f t="shared" si="15"/>
        <v>1</v>
      </c>
      <c r="AR35" s="140">
        <f t="shared" si="15"/>
        <v>2</v>
      </c>
      <c r="AS35" s="140">
        <f t="shared" si="15"/>
        <v>1</v>
      </c>
      <c r="AT35" s="140">
        <f t="shared" si="15"/>
        <v>3</v>
      </c>
      <c r="AU35" s="140">
        <f t="shared" si="15"/>
        <v>1</v>
      </c>
      <c r="AV35" s="140">
        <f t="shared" si="15"/>
        <v>2</v>
      </c>
      <c r="AW35" s="140">
        <f t="shared" si="15"/>
        <v>1</v>
      </c>
      <c r="AX35" s="140">
        <f t="shared" si="15"/>
        <v>1</v>
      </c>
      <c r="AY35" s="140">
        <f t="shared" si="2"/>
        <v>28</v>
      </c>
      <c r="BC35" s="160" t="str">
        <f t="shared" si="4"/>
        <v>30/01/22</v>
      </c>
      <c r="BD35" s="162">
        <f t="shared" si="5"/>
        <v>5.5</v>
      </c>
      <c r="BE35" s="162">
        <f t="shared" si="6"/>
        <v>3</v>
      </c>
      <c r="BF35" s="162">
        <f t="shared" si="7"/>
        <v>0</v>
      </c>
      <c r="BG35" s="162">
        <f t="shared" si="8"/>
        <v>0</v>
      </c>
      <c r="BH35" s="162">
        <f t="shared" si="9"/>
        <v>6.5</v>
      </c>
      <c r="BI35" s="162">
        <f t="shared" si="10"/>
        <v>0</v>
      </c>
      <c r="BJ35" s="162">
        <f t="shared" si="11"/>
        <v>0</v>
      </c>
      <c r="BK35" s="162">
        <f t="shared" si="12"/>
        <v>9</v>
      </c>
      <c r="BL35" s="162">
        <f t="shared" si="13"/>
        <v>0</v>
      </c>
      <c r="BM35" s="162">
        <f t="shared" si="14"/>
        <v>0</v>
      </c>
      <c r="BN35" s="144">
        <f>SUM(BD35:BM35)</f>
        <v>24</v>
      </c>
    </row>
    <row r="36" spans="1:66">
      <c r="BC36" s="160"/>
      <c r="BD36" s="162"/>
      <c r="BE36" s="162"/>
      <c r="BF36" s="162"/>
      <c r="BG36" s="162"/>
      <c r="BH36" s="162"/>
      <c r="BI36" s="162"/>
      <c r="BJ36" s="162"/>
      <c r="BK36" s="162"/>
      <c r="BL36" s="162"/>
      <c r="BM36" s="162"/>
      <c r="BN36" s="144">
        <f>SUM(BD36:BM36)</f>
        <v>0</v>
      </c>
    </row>
    <row r="37" spans="1:66">
      <c r="A37" s="157" t="s">
        <v>155</v>
      </c>
      <c r="BD37" s="306"/>
      <c r="BE37" s="307"/>
      <c r="BF37" s="307"/>
      <c r="BG37" s="307"/>
      <c r="BH37" s="307"/>
      <c r="BI37" s="307"/>
      <c r="BJ37" s="307"/>
      <c r="BK37" s="307"/>
      <c r="BL37" s="307"/>
      <c r="BM37" s="308"/>
      <c r="BN37" s="144"/>
    </row>
    <row r="38" spans="1:66">
      <c r="A38" s="140" t="s">
        <v>167</v>
      </c>
      <c r="B38" s="140">
        <f>IF(IFERROR(FIND($A$37,B5,1),0)=0,0,1)</f>
        <v>0</v>
      </c>
      <c r="C38" s="140">
        <f t="shared" ref="B38:Y48" si="17">IF(IFERROR(FIND($A$37,C5,1),0)=0,0,1)</f>
        <v>0</v>
      </c>
      <c r="D38" s="140">
        <f t="shared" si="17"/>
        <v>0</v>
      </c>
      <c r="E38" s="140">
        <f t="shared" si="17"/>
        <v>0</v>
      </c>
      <c r="F38" s="140">
        <f t="shared" si="17"/>
        <v>0</v>
      </c>
      <c r="G38" s="140">
        <f t="shared" si="17"/>
        <v>0</v>
      </c>
      <c r="H38" s="140">
        <f t="shared" si="17"/>
        <v>0</v>
      </c>
      <c r="I38" s="140">
        <f t="shared" si="17"/>
        <v>0</v>
      </c>
      <c r="J38" s="140">
        <f t="shared" si="17"/>
        <v>0</v>
      </c>
      <c r="K38" s="140">
        <f t="shared" si="17"/>
        <v>0</v>
      </c>
      <c r="L38" s="140">
        <f t="shared" si="17"/>
        <v>0</v>
      </c>
      <c r="M38" s="140">
        <f t="shared" si="17"/>
        <v>0</v>
      </c>
      <c r="N38" s="140">
        <f t="shared" si="17"/>
        <v>0</v>
      </c>
      <c r="O38" s="140">
        <f t="shared" si="17"/>
        <v>0</v>
      </c>
      <c r="P38" s="140">
        <f t="shared" si="17"/>
        <v>0</v>
      </c>
      <c r="Q38" s="140">
        <f t="shared" si="17"/>
        <v>0</v>
      </c>
      <c r="R38" s="140">
        <f t="shared" si="17"/>
        <v>0</v>
      </c>
      <c r="S38" s="140">
        <f t="shared" si="17"/>
        <v>0</v>
      </c>
      <c r="T38" s="140">
        <f t="shared" si="17"/>
        <v>0</v>
      </c>
      <c r="U38" s="140">
        <f t="shared" si="17"/>
        <v>0</v>
      </c>
      <c r="V38" s="140">
        <f t="shared" si="17"/>
        <v>0</v>
      </c>
      <c r="W38" s="140">
        <f t="shared" si="17"/>
        <v>0</v>
      </c>
      <c r="X38" s="140">
        <f t="shared" si="17"/>
        <v>0</v>
      </c>
      <c r="Y38" s="140">
        <f t="shared" si="17"/>
        <v>1</v>
      </c>
      <c r="AA38" s="140">
        <f t="shared" ref="AA38:AX48" si="18">IF(B38=0,0,B38/AA5)</f>
        <v>0</v>
      </c>
      <c r="AB38" s="140">
        <f t="shared" si="18"/>
        <v>0</v>
      </c>
      <c r="AC38" s="140">
        <f t="shared" si="18"/>
        <v>0</v>
      </c>
      <c r="AD38" s="140">
        <f t="shared" si="18"/>
        <v>0</v>
      </c>
      <c r="AE38" s="140">
        <f t="shared" si="18"/>
        <v>0</v>
      </c>
      <c r="AF38" s="140">
        <f t="shared" si="18"/>
        <v>0</v>
      </c>
      <c r="AG38" s="140">
        <f t="shared" si="18"/>
        <v>0</v>
      </c>
      <c r="AH38" s="140">
        <f t="shared" si="18"/>
        <v>0</v>
      </c>
      <c r="AI38" s="140">
        <f t="shared" si="18"/>
        <v>0</v>
      </c>
      <c r="AJ38" s="140">
        <f t="shared" si="18"/>
        <v>0</v>
      </c>
      <c r="AK38" s="140">
        <f t="shared" si="18"/>
        <v>0</v>
      </c>
      <c r="AL38" s="140">
        <f t="shared" si="18"/>
        <v>0</v>
      </c>
      <c r="AM38" s="140">
        <f t="shared" si="18"/>
        <v>0</v>
      </c>
      <c r="AN38" s="140">
        <f t="shared" si="18"/>
        <v>0</v>
      </c>
      <c r="AO38" s="140">
        <f t="shared" si="18"/>
        <v>0</v>
      </c>
      <c r="AP38" s="140">
        <f t="shared" si="18"/>
        <v>0</v>
      </c>
      <c r="AQ38" s="140">
        <f t="shared" si="18"/>
        <v>0</v>
      </c>
      <c r="AR38" s="140">
        <f t="shared" si="18"/>
        <v>0</v>
      </c>
      <c r="AS38" s="140">
        <f t="shared" si="18"/>
        <v>0</v>
      </c>
      <c r="AT38" s="140">
        <f>IF(U38=0,0,U38/AT5)</f>
        <v>0</v>
      </c>
      <c r="AU38" s="140">
        <f t="shared" si="18"/>
        <v>0</v>
      </c>
      <c r="AV38" s="140">
        <f t="shared" si="18"/>
        <v>0</v>
      </c>
      <c r="AW38" s="140">
        <f t="shared" si="18"/>
        <v>0</v>
      </c>
      <c r="AX38" s="140">
        <f t="shared" si="18"/>
        <v>1</v>
      </c>
      <c r="AY38" s="140">
        <f t="shared" ref="AY38:AY68" si="19">SUM(AA38:AX38)</f>
        <v>1</v>
      </c>
      <c r="AZ38" s="22" t="s">
        <v>155</v>
      </c>
      <c r="BD38" s="161">
        <f>(100-SUM(BE38:BM38))</f>
        <v>49.397729905026637</v>
      </c>
      <c r="BE38" s="161">
        <f>(BE39/BN39)*100</f>
        <v>6.4975677553856848</v>
      </c>
      <c r="BF38" s="161">
        <f>(BF39/BN39)*100</f>
        <v>0</v>
      </c>
      <c r="BG38" s="161">
        <f>(BG39/BN39)*100</f>
        <v>0</v>
      </c>
      <c r="BH38" s="161">
        <f>(BH39/BN39)*100</f>
        <v>23.013666898309008</v>
      </c>
      <c r="BI38" s="161">
        <f>(BI39/BN39)*100</f>
        <v>4.1695621959694229</v>
      </c>
      <c r="BJ38" s="161">
        <f>(BJ39/BN39)*100</f>
        <v>0</v>
      </c>
      <c r="BK38" s="161">
        <f>(BK39/BN39)*100</f>
        <v>16.921473245309244</v>
      </c>
      <c r="BL38" s="146">
        <f>(BL39/BN39)*100</f>
        <v>0</v>
      </c>
      <c r="BM38" s="146">
        <f>(BM39/BN39)*100</f>
        <v>0</v>
      </c>
      <c r="BN38" s="144">
        <f>SUM(BD38:BM38)</f>
        <v>100</v>
      </c>
    </row>
    <row r="39" spans="1:66">
      <c r="A39" s="140" t="s">
        <v>168</v>
      </c>
      <c r="B39" s="140">
        <f t="shared" si="17"/>
        <v>0</v>
      </c>
      <c r="C39" s="140">
        <f t="shared" si="17"/>
        <v>0</v>
      </c>
      <c r="D39" s="140">
        <f t="shared" si="17"/>
        <v>0</v>
      </c>
      <c r="E39" s="140">
        <f t="shared" si="17"/>
        <v>0</v>
      </c>
      <c r="F39" s="140">
        <f t="shared" si="17"/>
        <v>0</v>
      </c>
      <c r="G39" s="140">
        <f t="shared" si="17"/>
        <v>0</v>
      </c>
      <c r="H39" s="140">
        <f t="shared" si="17"/>
        <v>0</v>
      </c>
      <c r="I39" s="140">
        <f t="shared" si="17"/>
        <v>0</v>
      </c>
      <c r="J39" s="140">
        <f t="shared" si="17"/>
        <v>0</v>
      </c>
      <c r="K39" s="140">
        <f t="shared" si="17"/>
        <v>0</v>
      </c>
      <c r="L39" s="140">
        <f t="shared" si="17"/>
        <v>0</v>
      </c>
      <c r="M39" s="140">
        <f t="shared" si="17"/>
        <v>0</v>
      </c>
      <c r="N39" s="140">
        <f t="shared" si="17"/>
        <v>0</v>
      </c>
      <c r="O39" s="140">
        <f t="shared" si="17"/>
        <v>0</v>
      </c>
      <c r="P39" s="140">
        <f t="shared" si="17"/>
        <v>0</v>
      </c>
      <c r="Q39" s="140">
        <f t="shared" si="17"/>
        <v>0</v>
      </c>
      <c r="R39" s="140">
        <f t="shared" si="17"/>
        <v>0</v>
      </c>
      <c r="S39" s="140">
        <f t="shared" si="17"/>
        <v>0</v>
      </c>
      <c r="T39" s="140">
        <f t="shared" si="17"/>
        <v>0</v>
      </c>
      <c r="U39" s="140">
        <f t="shared" si="17"/>
        <v>0</v>
      </c>
      <c r="V39" s="140">
        <f t="shared" si="17"/>
        <v>0</v>
      </c>
      <c r="W39" s="140">
        <f t="shared" si="17"/>
        <v>0</v>
      </c>
      <c r="X39" s="140">
        <f t="shared" si="17"/>
        <v>0</v>
      </c>
      <c r="Y39" s="140">
        <f t="shared" si="17"/>
        <v>0</v>
      </c>
      <c r="AA39" s="140">
        <f t="shared" si="18"/>
        <v>0</v>
      </c>
      <c r="AB39" s="140">
        <f t="shared" si="18"/>
        <v>0</v>
      </c>
      <c r="AC39" s="140">
        <f t="shared" si="18"/>
        <v>0</v>
      </c>
      <c r="AD39" s="140">
        <f t="shared" si="18"/>
        <v>0</v>
      </c>
      <c r="AE39" s="140">
        <f t="shared" si="18"/>
        <v>0</v>
      </c>
      <c r="AF39" s="140">
        <f t="shared" si="18"/>
        <v>0</v>
      </c>
      <c r="AG39" s="140">
        <f t="shared" si="18"/>
        <v>0</v>
      </c>
      <c r="AH39" s="140">
        <f t="shared" si="18"/>
        <v>0</v>
      </c>
      <c r="AI39" s="140">
        <f t="shared" si="18"/>
        <v>0</v>
      </c>
      <c r="AJ39" s="140">
        <f t="shared" si="18"/>
        <v>0</v>
      </c>
      <c r="AK39" s="140">
        <f t="shared" si="18"/>
        <v>0</v>
      </c>
      <c r="AL39" s="140">
        <f t="shared" si="18"/>
        <v>0</v>
      </c>
      <c r="AM39" s="140">
        <f t="shared" si="18"/>
        <v>0</v>
      </c>
      <c r="AN39" s="140">
        <f t="shared" si="18"/>
        <v>0</v>
      </c>
      <c r="AO39" s="140">
        <f t="shared" si="18"/>
        <v>0</v>
      </c>
      <c r="AP39" s="140">
        <f t="shared" si="18"/>
        <v>0</v>
      </c>
      <c r="AQ39" s="140">
        <f t="shared" si="18"/>
        <v>0</v>
      </c>
      <c r="AR39" s="140">
        <f t="shared" si="18"/>
        <v>0</v>
      </c>
      <c r="AS39" s="140">
        <f t="shared" si="18"/>
        <v>0</v>
      </c>
      <c r="AT39" s="140">
        <f t="shared" si="18"/>
        <v>0</v>
      </c>
      <c r="AU39" s="140">
        <f t="shared" si="18"/>
        <v>0</v>
      </c>
      <c r="AV39" s="140">
        <f t="shared" si="18"/>
        <v>0</v>
      </c>
      <c r="AW39" s="140">
        <f t="shared" si="18"/>
        <v>0</v>
      </c>
      <c r="AX39" s="140">
        <f t="shared" si="18"/>
        <v>0</v>
      </c>
      <c r="AY39" s="140">
        <f t="shared" si="19"/>
        <v>0</v>
      </c>
      <c r="AZ39" s="22" t="s">
        <v>155</v>
      </c>
      <c r="BD39" s="147">
        <f>SUM(BD6:BD36)</f>
        <v>355.41666666666663</v>
      </c>
      <c r="BE39" s="147">
        <f t="shared" ref="BE39:BM39" si="20">SUM(BE6:BE36)</f>
        <v>46.75</v>
      </c>
      <c r="BF39" s="147">
        <f t="shared" si="20"/>
        <v>0</v>
      </c>
      <c r="BG39" s="147">
        <f t="shared" si="20"/>
        <v>0</v>
      </c>
      <c r="BH39" s="147">
        <f t="shared" si="20"/>
        <v>165.58333333333331</v>
      </c>
      <c r="BI39" s="147">
        <f t="shared" si="20"/>
        <v>30</v>
      </c>
      <c r="BJ39" s="147">
        <f t="shared" si="20"/>
        <v>0</v>
      </c>
      <c r="BK39" s="147">
        <f t="shared" si="20"/>
        <v>121.75</v>
      </c>
      <c r="BL39" s="147">
        <f t="shared" si="20"/>
        <v>0</v>
      </c>
      <c r="BM39" s="147">
        <f t="shared" si="20"/>
        <v>0</v>
      </c>
      <c r="BN39" s="148">
        <f>SUM(BN6:BN36)</f>
        <v>719.5</v>
      </c>
    </row>
    <row r="40" spans="1:66">
      <c r="A40" s="140" t="s">
        <v>169</v>
      </c>
      <c r="B40" s="140">
        <f t="shared" si="17"/>
        <v>0</v>
      </c>
      <c r="C40" s="140">
        <f t="shared" si="17"/>
        <v>0</v>
      </c>
      <c r="D40" s="140">
        <f t="shared" si="17"/>
        <v>0</v>
      </c>
      <c r="E40" s="140">
        <f t="shared" si="17"/>
        <v>0</v>
      </c>
      <c r="F40" s="140">
        <f t="shared" si="17"/>
        <v>0</v>
      </c>
      <c r="G40" s="140">
        <f t="shared" si="17"/>
        <v>0</v>
      </c>
      <c r="H40" s="140">
        <f t="shared" si="17"/>
        <v>0</v>
      </c>
      <c r="I40" s="140">
        <f t="shared" si="17"/>
        <v>0</v>
      </c>
      <c r="J40" s="140">
        <f t="shared" si="17"/>
        <v>0</v>
      </c>
      <c r="K40" s="140">
        <f t="shared" si="17"/>
        <v>0</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0</v>
      </c>
      <c r="U40" s="140">
        <f t="shared" si="17"/>
        <v>0</v>
      </c>
      <c r="V40" s="140">
        <f t="shared" si="17"/>
        <v>0</v>
      </c>
      <c r="W40" s="140">
        <f t="shared" si="17"/>
        <v>0</v>
      </c>
      <c r="X40" s="140">
        <f t="shared" si="17"/>
        <v>0</v>
      </c>
      <c r="Y40" s="140">
        <f t="shared" si="17"/>
        <v>0</v>
      </c>
      <c r="AA40" s="140">
        <f t="shared" si="18"/>
        <v>0</v>
      </c>
      <c r="AB40" s="140">
        <f t="shared" si="18"/>
        <v>0</v>
      </c>
      <c r="AC40" s="140">
        <f t="shared" si="18"/>
        <v>0</v>
      </c>
      <c r="AD40" s="140">
        <f t="shared" si="18"/>
        <v>0</v>
      </c>
      <c r="AE40" s="140">
        <f t="shared" si="18"/>
        <v>0</v>
      </c>
      <c r="AF40" s="140">
        <f t="shared" si="18"/>
        <v>0</v>
      </c>
      <c r="AG40" s="140">
        <f t="shared" si="18"/>
        <v>0</v>
      </c>
      <c r="AH40" s="140">
        <f t="shared" si="18"/>
        <v>0</v>
      </c>
      <c r="AI40" s="140">
        <f t="shared" si="18"/>
        <v>0</v>
      </c>
      <c r="AJ40" s="140">
        <f t="shared" si="18"/>
        <v>0</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0</v>
      </c>
      <c r="AT40" s="140">
        <f t="shared" si="18"/>
        <v>0</v>
      </c>
      <c r="AU40" s="140">
        <f t="shared" si="18"/>
        <v>0</v>
      </c>
      <c r="AV40" s="140">
        <f t="shared" si="18"/>
        <v>0</v>
      </c>
      <c r="AW40" s="140">
        <f t="shared" si="18"/>
        <v>0</v>
      </c>
      <c r="AX40" s="140">
        <f t="shared" si="18"/>
        <v>0</v>
      </c>
      <c r="AY40" s="140">
        <f t="shared" si="19"/>
        <v>0</v>
      </c>
      <c r="AZ40" s="22" t="s">
        <v>155</v>
      </c>
      <c r="BD40" s="149"/>
      <c r="BE40" s="149"/>
      <c r="BF40" s="149"/>
      <c r="BG40" s="149"/>
      <c r="BH40" s="149"/>
      <c r="BI40" s="149"/>
      <c r="BJ40" s="149"/>
      <c r="BK40" s="149"/>
      <c r="BL40" s="149"/>
      <c r="BM40" s="149"/>
      <c r="BN40" s="150"/>
    </row>
    <row r="41" spans="1:66">
      <c r="A41" s="140" t="s">
        <v>170</v>
      </c>
      <c r="B41" s="140">
        <f t="shared" si="17"/>
        <v>0</v>
      </c>
      <c r="C41" s="140">
        <f t="shared" si="17"/>
        <v>0</v>
      </c>
      <c r="D41" s="140">
        <f t="shared" si="17"/>
        <v>0</v>
      </c>
      <c r="E41" s="140">
        <f t="shared" si="17"/>
        <v>0</v>
      </c>
      <c r="F41" s="140">
        <f t="shared" si="17"/>
        <v>0</v>
      </c>
      <c r="G41" s="140">
        <f t="shared" si="17"/>
        <v>0</v>
      </c>
      <c r="H41" s="140">
        <f t="shared" si="17"/>
        <v>0</v>
      </c>
      <c r="I41" s="140">
        <f t="shared" si="17"/>
        <v>1</v>
      </c>
      <c r="J41" s="140">
        <f t="shared" si="17"/>
        <v>0</v>
      </c>
      <c r="K41" s="140">
        <f t="shared" si="17"/>
        <v>0</v>
      </c>
      <c r="L41" s="140">
        <f t="shared" si="17"/>
        <v>0</v>
      </c>
      <c r="M41" s="140">
        <f t="shared" si="17"/>
        <v>0</v>
      </c>
      <c r="N41" s="140">
        <f t="shared" si="17"/>
        <v>0</v>
      </c>
      <c r="O41" s="140">
        <f t="shared" si="17"/>
        <v>0</v>
      </c>
      <c r="P41" s="140">
        <f t="shared" si="17"/>
        <v>0</v>
      </c>
      <c r="Q41" s="140">
        <f t="shared" si="17"/>
        <v>1</v>
      </c>
      <c r="R41" s="140">
        <f t="shared" si="17"/>
        <v>1</v>
      </c>
      <c r="S41" s="140">
        <f t="shared" si="17"/>
        <v>0</v>
      </c>
      <c r="T41" s="140">
        <f t="shared" si="17"/>
        <v>0</v>
      </c>
      <c r="U41" s="140">
        <f t="shared" si="17"/>
        <v>0</v>
      </c>
      <c r="V41" s="140">
        <f t="shared" si="17"/>
        <v>0</v>
      </c>
      <c r="W41" s="140">
        <f t="shared" si="17"/>
        <v>0</v>
      </c>
      <c r="X41" s="140">
        <f t="shared" si="17"/>
        <v>0</v>
      </c>
      <c r="Y41" s="140">
        <f t="shared" si="17"/>
        <v>0</v>
      </c>
      <c r="AA41" s="140">
        <f t="shared" si="18"/>
        <v>0</v>
      </c>
      <c r="AB41" s="140">
        <f t="shared" si="18"/>
        <v>0</v>
      </c>
      <c r="AC41" s="140">
        <f t="shared" si="18"/>
        <v>0</v>
      </c>
      <c r="AD41" s="140">
        <f t="shared" si="18"/>
        <v>0</v>
      </c>
      <c r="AE41" s="140">
        <f t="shared" si="18"/>
        <v>0</v>
      </c>
      <c r="AF41" s="140">
        <f t="shared" si="18"/>
        <v>0</v>
      </c>
      <c r="AG41" s="140">
        <f t="shared" si="18"/>
        <v>0</v>
      </c>
      <c r="AH41" s="140">
        <f t="shared" si="18"/>
        <v>1</v>
      </c>
      <c r="AI41" s="140">
        <f t="shared" si="18"/>
        <v>0</v>
      </c>
      <c r="AJ41" s="140">
        <f t="shared" si="18"/>
        <v>0</v>
      </c>
      <c r="AK41" s="140">
        <f t="shared" si="18"/>
        <v>0</v>
      </c>
      <c r="AL41" s="140">
        <f t="shared" si="18"/>
        <v>0</v>
      </c>
      <c r="AM41" s="140">
        <f t="shared" si="18"/>
        <v>0</v>
      </c>
      <c r="AN41" s="140">
        <f t="shared" si="18"/>
        <v>0</v>
      </c>
      <c r="AO41" s="140">
        <f t="shared" si="18"/>
        <v>0</v>
      </c>
      <c r="AP41" s="140">
        <f t="shared" si="18"/>
        <v>1</v>
      </c>
      <c r="AQ41" s="140">
        <f t="shared" si="18"/>
        <v>1</v>
      </c>
      <c r="AR41" s="140">
        <f t="shared" si="18"/>
        <v>0</v>
      </c>
      <c r="AS41" s="140">
        <f t="shared" si="18"/>
        <v>0</v>
      </c>
      <c r="AT41" s="140">
        <f t="shared" si="18"/>
        <v>0</v>
      </c>
      <c r="AU41" s="140">
        <f t="shared" si="18"/>
        <v>0</v>
      </c>
      <c r="AV41" s="140">
        <f t="shared" si="18"/>
        <v>0</v>
      </c>
      <c r="AW41" s="140">
        <f t="shared" si="18"/>
        <v>0</v>
      </c>
      <c r="AX41" s="140">
        <f t="shared" si="18"/>
        <v>0</v>
      </c>
      <c r="AY41" s="140">
        <f t="shared" si="19"/>
        <v>3</v>
      </c>
      <c r="AZ41" s="22" t="s">
        <v>155</v>
      </c>
    </row>
    <row r="42" spans="1:66">
      <c r="A42" s="140" t="s">
        <v>171</v>
      </c>
      <c r="B42" s="140">
        <f t="shared" si="17"/>
        <v>0</v>
      </c>
      <c r="C42" s="140">
        <f t="shared" si="17"/>
        <v>0</v>
      </c>
      <c r="D42" s="140">
        <f t="shared" si="17"/>
        <v>0</v>
      </c>
      <c r="E42" s="140">
        <f t="shared" si="17"/>
        <v>0</v>
      </c>
      <c r="F42" s="140">
        <f t="shared" si="17"/>
        <v>0</v>
      </c>
      <c r="G42" s="140">
        <f t="shared" si="17"/>
        <v>0</v>
      </c>
      <c r="H42" s="140">
        <f t="shared" si="17"/>
        <v>0</v>
      </c>
      <c r="I42" s="140">
        <f t="shared" si="17"/>
        <v>0</v>
      </c>
      <c r="J42" s="140">
        <f t="shared" si="17"/>
        <v>0</v>
      </c>
      <c r="K42" s="140">
        <f t="shared" si="17"/>
        <v>0</v>
      </c>
      <c r="L42" s="140">
        <f t="shared" si="17"/>
        <v>0</v>
      </c>
      <c r="M42" s="140">
        <f t="shared" si="17"/>
        <v>0</v>
      </c>
      <c r="N42" s="140">
        <f t="shared" si="17"/>
        <v>1</v>
      </c>
      <c r="O42" s="140">
        <f t="shared" si="17"/>
        <v>0</v>
      </c>
      <c r="P42" s="140">
        <f t="shared" si="17"/>
        <v>0</v>
      </c>
      <c r="Q42" s="140">
        <f t="shared" si="17"/>
        <v>0</v>
      </c>
      <c r="R42" s="140">
        <f t="shared" si="17"/>
        <v>0</v>
      </c>
      <c r="S42" s="140">
        <f t="shared" si="17"/>
        <v>0</v>
      </c>
      <c r="T42" s="140">
        <f t="shared" si="17"/>
        <v>0</v>
      </c>
      <c r="U42" s="140">
        <f t="shared" si="17"/>
        <v>0</v>
      </c>
      <c r="V42" s="140">
        <f t="shared" si="17"/>
        <v>1</v>
      </c>
      <c r="W42" s="140">
        <f t="shared" si="17"/>
        <v>1</v>
      </c>
      <c r="X42" s="140">
        <f t="shared" si="17"/>
        <v>0</v>
      </c>
      <c r="Y42" s="140">
        <f t="shared" si="17"/>
        <v>0</v>
      </c>
      <c r="AA42" s="140">
        <f t="shared" si="18"/>
        <v>0</v>
      </c>
      <c r="AB42" s="140">
        <f t="shared" si="18"/>
        <v>0</v>
      </c>
      <c r="AC42" s="140">
        <f t="shared" si="18"/>
        <v>0</v>
      </c>
      <c r="AD42" s="140">
        <f t="shared" si="18"/>
        <v>0</v>
      </c>
      <c r="AE42" s="140">
        <f t="shared" si="18"/>
        <v>0</v>
      </c>
      <c r="AF42" s="140">
        <f t="shared" si="18"/>
        <v>0</v>
      </c>
      <c r="AG42" s="140">
        <f t="shared" si="18"/>
        <v>0</v>
      </c>
      <c r="AH42" s="140">
        <f t="shared" si="18"/>
        <v>0</v>
      </c>
      <c r="AI42" s="140">
        <f t="shared" si="18"/>
        <v>0</v>
      </c>
      <c r="AJ42" s="140">
        <f t="shared" si="18"/>
        <v>0</v>
      </c>
      <c r="AK42" s="140">
        <f t="shared" si="18"/>
        <v>0</v>
      </c>
      <c r="AL42" s="140">
        <f t="shared" si="18"/>
        <v>0</v>
      </c>
      <c r="AM42" s="140">
        <f t="shared" si="18"/>
        <v>1</v>
      </c>
      <c r="AN42" s="140">
        <f t="shared" si="18"/>
        <v>0</v>
      </c>
      <c r="AO42" s="140">
        <f t="shared" si="18"/>
        <v>0</v>
      </c>
      <c r="AP42" s="140">
        <f t="shared" si="18"/>
        <v>0</v>
      </c>
      <c r="AQ42" s="140">
        <f t="shared" si="18"/>
        <v>0</v>
      </c>
      <c r="AR42" s="140">
        <f t="shared" si="18"/>
        <v>0</v>
      </c>
      <c r="AS42" s="140">
        <f t="shared" si="18"/>
        <v>0</v>
      </c>
      <c r="AT42" s="140">
        <f t="shared" si="18"/>
        <v>0</v>
      </c>
      <c r="AU42" s="140">
        <f t="shared" si="18"/>
        <v>1</v>
      </c>
      <c r="AV42" s="140">
        <f t="shared" si="18"/>
        <v>1</v>
      </c>
      <c r="AW42" s="140">
        <f t="shared" si="18"/>
        <v>0</v>
      </c>
      <c r="AX42" s="140">
        <f t="shared" si="18"/>
        <v>0</v>
      </c>
      <c r="AY42" s="140">
        <f t="shared" si="19"/>
        <v>3</v>
      </c>
      <c r="AZ42" s="22" t="s">
        <v>155</v>
      </c>
    </row>
    <row r="43" spans="1:66">
      <c r="A43" s="140" t="s">
        <v>172</v>
      </c>
      <c r="B43" s="140">
        <f t="shared" si="17"/>
        <v>0</v>
      </c>
      <c r="C43" s="140">
        <f t="shared" si="17"/>
        <v>0</v>
      </c>
      <c r="D43" s="140">
        <f t="shared" si="17"/>
        <v>0</v>
      </c>
      <c r="E43" s="140">
        <f t="shared" si="17"/>
        <v>0</v>
      </c>
      <c r="F43" s="140">
        <f t="shared" si="17"/>
        <v>0</v>
      </c>
      <c r="G43" s="140">
        <f t="shared" si="17"/>
        <v>0</v>
      </c>
      <c r="H43" s="140">
        <f t="shared" si="17"/>
        <v>0</v>
      </c>
      <c r="I43" s="140">
        <f t="shared" si="17"/>
        <v>0</v>
      </c>
      <c r="J43" s="140">
        <f t="shared" si="17"/>
        <v>0</v>
      </c>
      <c r="K43" s="140">
        <f t="shared" si="17"/>
        <v>0</v>
      </c>
      <c r="L43" s="140">
        <f t="shared" si="17"/>
        <v>0</v>
      </c>
      <c r="M43" s="140">
        <f t="shared" si="17"/>
        <v>0</v>
      </c>
      <c r="N43" s="140">
        <f t="shared" si="17"/>
        <v>0</v>
      </c>
      <c r="O43" s="140">
        <f t="shared" si="17"/>
        <v>0</v>
      </c>
      <c r="P43" s="140">
        <f t="shared" si="17"/>
        <v>0</v>
      </c>
      <c r="Q43" s="140">
        <f t="shared" si="17"/>
        <v>1</v>
      </c>
      <c r="R43" s="140">
        <f t="shared" si="17"/>
        <v>0</v>
      </c>
      <c r="S43" s="140">
        <f t="shared" si="17"/>
        <v>0</v>
      </c>
      <c r="T43" s="140">
        <f t="shared" si="17"/>
        <v>0</v>
      </c>
      <c r="U43" s="140">
        <f t="shared" si="17"/>
        <v>0</v>
      </c>
      <c r="V43" s="140">
        <f t="shared" si="17"/>
        <v>0</v>
      </c>
      <c r="W43" s="140">
        <f t="shared" si="17"/>
        <v>1</v>
      </c>
      <c r="X43" s="140">
        <f t="shared" si="17"/>
        <v>0</v>
      </c>
      <c r="Y43" s="140">
        <f t="shared" si="17"/>
        <v>0</v>
      </c>
      <c r="AA43" s="140">
        <f t="shared" si="18"/>
        <v>0</v>
      </c>
      <c r="AB43" s="140">
        <f t="shared" si="18"/>
        <v>0</v>
      </c>
      <c r="AC43" s="140">
        <f t="shared" si="18"/>
        <v>0</v>
      </c>
      <c r="AD43" s="140">
        <f t="shared" si="18"/>
        <v>0</v>
      </c>
      <c r="AE43" s="140">
        <f t="shared" si="18"/>
        <v>0</v>
      </c>
      <c r="AF43" s="140">
        <f t="shared" si="18"/>
        <v>0</v>
      </c>
      <c r="AG43" s="140">
        <f t="shared" si="18"/>
        <v>0</v>
      </c>
      <c r="AH43" s="140">
        <f t="shared" si="18"/>
        <v>0</v>
      </c>
      <c r="AI43" s="140">
        <f t="shared" si="18"/>
        <v>0</v>
      </c>
      <c r="AJ43" s="140">
        <f t="shared" si="18"/>
        <v>0</v>
      </c>
      <c r="AK43" s="140">
        <f t="shared" si="18"/>
        <v>0</v>
      </c>
      <c r="AL43" s="140">
        <f t="shared" si="18"/>
        <v>0</v>
      </c>
      <c r="AM43" s="140">
        <f t="shared" si="18"/>
        <v>0</v>
      </c>
      <c r="AN43" s="140">
        <f t="shared" si="18"/>
        <v>0</v>
      </c>
      <c r="AO43" s="140">
        <f t="shared" si="18"/>
        <v>0</v>
      </c>
      <c r="AP43" s="140">
        <f t="shared" si="18"/>
        <v>1</v>
      </c>
      <c r="AQ43" s="140">
        <f t="shared" si="18"/>
        <v>0</v>
      </c>
      <c r="AR43" s="140">
        <f t="shared" si="18"/>
        <v>0</v>
      </c>
      <c r="AS43" s="140">
        <f t="shared" si="18"/>
        <v>0</v>
      </c>
      <c r="AT43" s="140">
        <f t="shared" si="18"/>
        <v>0</v>
      </c>
      <c r="AU43" s="140">
        <f t="shared" si="18"/>
        <v>0</v>
      </c>
      <c r="AV43" s="140">
        <f t="shared" si="18"/>
        <v>1</v>
      </c>
      <c r="AW43" s="140">
        <f t="shared" si="18"/>
        <v>0</v>
      </c>
      <c r="AX43" s="140">
        <f t="shared" si="18"/>
        <v>0</v>
      </c>
      <c r="AY43" s="140">
        <f t="shared" si="19"/>
        <v>2</v>
      </c>
      <c r="AZ43" s="22" t="s">
        <v>155</v>
      </c>
    </row>
    <row r="44" spans="1:66">
      <c r="A44" s="140" t="s">
        <v>173</v>
      </c>
      <c r="B44" s="140">
        <f t="shared" si="17"/>
        <v>0</v>
      </c>
      <c r="C44" s="140">
        <f t="shared" si="17"/>
        <v>0</v>
      </c>
      <c r="D44" s="140">
        <f t="shared" si="17"/>
        <v>0</v>
      </c>
      <c r="E44" s="140">
        <f t="shared" ref="E44:Y44" si="21">IF(IFERROR(FIND($A$37,E11,1),0)=0,0,1)</f>
        <v>0</v>
      </c>
      <c r="F44" s="140">
        <f t="shared" si="21"/>
        <v>0</v>
      </c>
      <c r="G44" s="140">
        <f t="shared" si="21"/>
        <v>0</v>
      </c>
      <c r="H44" s="140">
        <f t="shared" si="21"/>
        <v>0</v>
      </c>
      <c r="I44" s="140">
        <f t="shared" si="21"/>
        <v>0</v>
      </c>
      <c r="J44" s="140">
        <f t="shared" si="21"/>
        <v>0</v>
      </c>
      <c r="K44" s="140">
        <f t="shared" si="21"/>
        <v>0</v>
      </c>
      <c r="L44" s="140">
        <f t="shared" si="21"/>
        <v>0</v>
      </c>
      <c r="M44" s="140">
        <f t="shared" si="21"/>
        <v>1</v>
      </c>
      <c r="N44" s="140">
        <f t="shared" si="21"/>
        <v>0</v>
      </c>
      <c r="O44" s="140">
        <f t="shared" si="21"/>
        <v>0</v>
      </c>
      <c r="P44" s="140">
        <f t="shared" si="21"/>
        <v>0</v>
      </c>
      <c r="Q44" s="140">
        <f t="shared" si="21"/>
        <v>0</v>
      </c>
      <c r="R44" s="140">
        <f t="shared" si="21"/>
        <v>0</v>
      </c>
      <c r="S44" s="140">
        <f t="shared" si="21"/>
        <v>0</v>
      </c>
      <c r="T44" s="140">
        <f t="shared" si="21"/>
        <v>0</v>
      </c>
      <c r="U44" s="140">
        <f t="shared" si="21"/>
        <v>1</v>
      </c>
      <c r="V44" s="140">
        <f t="shared" si="21"/>
        <v>0</v>
      </c>
      <c r="W44" s="140">
        <f t="shared" si="21"/>
        <v>0</v>
      </c>
      <c r="X44" s="140">
        <f t="shared" si="21"/>
        <v>1</v>
      </c>
      <c r="Y44" s="140">
        <f t="shared" si="21"/>
        <v>0</v>
      </c>
      <c r="AA44" s="140">
        <f t="shared" si="18"/>
        <v>0</v>
      </c>
      <c r="AB44" s="140">
        <f t="shared" si="18"/>
        <v>0</v>
      </c>
      <c r="AC44" s="140">
        <f t="shared" si="18"/>
        <v>0</v>
      </c>
      <c r="AD44" s="140">
        <f t="shared" si="18"/>
        <v>0</v>
      </c>
      <c r="AE44" s="140">
        <f t="shared" si="18"/>
        <v>0</v>
      </c>
      <c r="AF44" s="140">
        <f t="shared" si="18"/>
        <v>0</v>
      </c>
      <c r="AG44" s="140">
        <f t="shared" si="18"/>
        <v>0</v>
      </c>
      <c r="AH44" s="140">
        <f t="shared" si="18"/>
        <v>0</v>
      </c>
      <c r="AI44" s="140">
        <f t="shared" si="18"/>
        <v>0</v>
      </c>
      <c r="AJ44" s="140">
        <f t="shared" si="18"/>
        <v>0</v>
      </c>
      <c r="AK44" s="140">
        <f t="shared" si="18"/>
        <v>0</v>
      </c>
      <c r="AL44" s="140">
        <f t="shared" si="18"/>
        <v>1</v>
      </c>
      <c r="AM44" s="140">
        <f t="shared" si="18"/>
        <v>0</v>
      </c>
      <c r="AN44" s="140">
        <f t="shared" si="18"/>
        <v>0</v>
      </c>
      <c r="AO44" s="140">
        <f t="shared" si="18"/>
        <v>0</v>
      </c>
      <c r="AP44" s="140">
        <f t="shared" si="18"/>
        <v>0</v>
      </c>
      <c r="AQ44" s="140">
        <f t="shared" si="18"/>
        <v>0</v>
      </c>
      <c r="AR44" s="140">
        <f t="shared" si="18"/>
        <v>0</v>
      </c>
      <c r="AS44" s="140">
        <f t="shared" si="18"/>
        <v>0</v>
      </c>
      <c r="AT44" s="140">
        <f t="shared" si="18"/>
        <v>0.33333333333333331</v>
      </c>
      <c r="AU44" s="140">
        <f t="shared" si="18"/>
        <v>0</v>
      </c>
      <c r="AV44" s="140">
        <f t="shared" si="18"/>
        <v>0</v>
      </c>
      <c r="AW44" s="140">
        <f t="shared" si="18"/>
        <v>1</v>
      </c>
      <c r="AX44" s="140">
        <f t="shared" si="18"/>
        <v>0</v>
      </c>
      <c r="AY44" s="140">
        <f t="shared" si="19"/>
        <v>2.333333333333333</v>
      </c>
      <c r="AZ44" s="22" t="s">
        <v>155</v>
      </c>
    </row>
    <row r="45" spans="1:66">
      <c r="A45" s="140" t="s">
        <v>174</v>
      </c>
      <c r="B45" s="140">
        <f t="shared" si="17"/>
        <v>1</v>
      </c>
      <c r="C45" s="140">
        <f t="shared" si="17"/>
        <v>0</v>
      </c>
      <c r="D45" s="140">
        <f t="shared" si="17"/>
        <v>0</v>
      </c>
      <c r="E45" s="140">
        <f t="shared" si="17"/>
        <v>0</v>
      </c>
      <c r="F45" s="140">
        <f t="shared" si="17"/>
        <v>1</v>
      </c>
      <c r="G45" s="140">
        <f t="shared" si="17"/>
        <v>1</v>
      </c>
      <c r="H45" s="140">
        <f t="shared" si="17"/>
        <v>0</v>
      </c>
      <c r="I45" s="140">
        <f t="shared" si="17"/>
        <v>0</v>
      </c>
      <c r="J45" s="140">
        <f t="shared" si="17"/>
        <v>0</v>
      </c>
      <c r="K45" s="140">
        <f t="shared" si="17"/>
        <v>0</v>
      </c>
      <c r="L45" s="140">
        <f t="shared" si="17"/>
        <v>0</v>
      </c>
      <c r="M45" s="140">
        <f t="shared" si="17"/>
        <v>0</v>
      </c>
      <c r="N45" s="140">
        <f t="shared" si="17"/>
        <v>0</v>
      </c>
      <c r="O45" s="140">
        <f t="shared" si="17"/>
        <v>0</v>
      </c>
      <c r="P45" s="140">
        <f t="shared" si="17"/>
        <v>0</v>
      </c>
      <c r="Q45" s="140">
        <f t="shared" si="17"/>
        <v>0</v>
      </c>
      <c r="R45" s="140">
        <f t="shared" si="17"/>
        <v>0</v>
      </c>
      <c r="S45" s="140">
        <f t="shared" si="17"/>
        <v>0</v>
      </c>
      <c r="T45" s="140">
        <f t="shared" si="17"/>
        <v>0</v>
      </c>
      <c r="U45" s="140">
        <f t="shared" si="17"/>
        <v>0</v>
      </c>
      <c r="V45" s="140">
        <f t="shared" si="17"/>
        <v>0</v>
      </c>
      <c r="W45" s="140">
        <f t="shared" si="17"/>
        <v>0</v>
      </c>
      <c r="X45" s="140">
        <f t="shared" si="17"/>
        <v>0</v>
      </c>
      <c r="Y45" s="140">
        <f t="shared" si="17"/>
        <v>0</v>
      </c>
      <c r="AA45" s="140">
        <f t="shared" si="18"/>
        <v>1</v>
      </c>
      <c r="AB45" s="140">
        <f t="shared" si="18"/>
        <v>0</v>
      </c>
      <c r="AC45" s="140">
        <f t="shared" si="18"/>
        <v>0</v>
      </c>
      <c r="AD45" s="140">
        <f t="shared" si="18"/>
        <v>0</v>
      </c>
      <c r="AE45" s="140">
        <f t="shared" si="18"/>
        <v>1</v>
      </c>
      <c r="AF45" s="140">
        <f t="shared" si="18"/>
        <v>1</v>
      </c>
      <c r="AG45" s="140">
        <f t="shared" si="18"/>
        <v>0</v>
      </c>
      <c r="AH45" s="140">
        <f t="shared" si="18"/>
        <v>0</v>
      </c>
      <c r="AI45" s="140">
        <f t="shared" si="18"/>
        <v>0</v>
      </c>
      <c r="AJ45" s="140">
        <f t="shared" si="18"/>
        <v>0</v>
      </c>
      <c r="AK45" s="140">
        <f t="shared" si="18"/>
        <v>0</v>
      </c>
      <c r="AL45" s="140">
        <f t="shared" si="18"/>
        <v>0</v>
      </c>
      <c r="AM45" s="140">
        <f t="shared" si="18"/>
        <v>0</v>
      </c>
      <c r="AN45" s="140">
        <f t="shared" si="18"/>
        <v>0</v>
      </c>
      <c r="AO45" s="140">
        <f t="shared" si="18"/>
        <v>0</v>
      </c>
      <c r="AP45" s="140">
        <f t="shared" si="18"/>
        <v>0</v>
      </c>
      <c r="AQ45" s="140">
        <f t="shared" si="18"/>
        <v>0</v>
      </c>
      <c r="AR45" s="140">
        <f t="shared" si="18"/>
        <v>0</v>
      </c>
      <c r="AS45" s="140">
        <f t="shared" si="18"/>
        <v>0</v>
      </c>
      <c r="AT45" s="140">
        <f t="shared" si="18"/>
        <v>0</v>
      </c>
      <c r="AU45" s="140">
        <f t="shared" si="18"/>
        <v>0</v>
      </c>
      <c r="AV45" s="140">
        <f t="shared" si="18"/>
        <v>0</v>
      </c>
      <c r="AW45" s="140">
        <f t="shared" si="18"/>
        <v>0</v>
      </c>
      <c r="AX45" s="140">
        <f t="shared" si="18"/>
        <v>0</v>
      </c>
      <c r="AY45" s="140">
        <f t="shared" si="19"/>
        <v>3</v>
      </c>
      <c r="AZ45" s="22" t="s">
        <v>155</v>
      </c>
    </row>
    <row r="46" spans="1:66">
      <c r="A46" s="140" t="s">
        <v>175</v>
      </c>
      <c r="B46" s="140">
        <f t="shared" si="17"/>
        <v>0</v>
      </c>
      <c r="C46" s="140">
        <f t="shared" si="17"/>
        <v>0</v>
      </c>
      <c r="D46" s="140">
        <f t="shared" si="17"/>
        <v>0</v>
      </c>
      <c r="E46" s="140">
        <f t="shared" si="17"/>
        <v>0</v>
      </c>
      <c r="F46" s="140">
        <f t="shared" si="17"/>
        <v>0</v>
      </c>
      <c r="G46" s="140">
        <f t="shared" si="17"/>
        <v>0</v>
      </c>
      <c r="H46" s="140">
        <f t="shared" si="17"/>
        <v>0</v>
      </c>
      <c r="I46" s="140">
        <f t="shared" si="17"/>
        <v>0</v>
      </c>
      <c r="J46" s="140">
        <f>IF(IFERROR(FIND($A$37,K11,1),0)=0,0,1)</f>
        <v>0</v>
      </c>
      <c r="K46" s="140">
        <f t="shared" si="17"/>
        <v>0</v>
      </c>
      <c r="L46" s="140">
        <f t="shared" si="17"/>
        <v>0</v>
      </c>
      <c r="M46" s="140">
        <f t="shared" si="17"/>
        <v>0</v>
      </c>
      <c r="N46" s="140">
        <f t="shared" si="17"/>
        <v>0</v>
      </c>
      <c r="O46" s="140">
        <f t="shared" si="17"/>
        <v>0</v>
      </c>
      <c r="P46" s="140">
        <f t="shared" si="17"/>
        <v>0</v>
      </c>
      <c r="Q46" s="140">
        <f t="shared" si="17"/>
        <v>0</v>
      </c>
      <c r="R46" s="140">
        <f t="shared" si="17"/>
        <v>0</v>
      </c>
      <c r="S46" s="140">
        <f t="shared" si="17"/>
        <v>0</v>
      </c>
      <c r="T46" s="140">
        <f t="shared" si="17"/>
        <v>0</v>
      </c>
      <c r="U46" s="140">
        <f t="shared" si="17"/>
        <v>0</v>
      </c>
      <c r="V46" s="140">
        <f t="shared" si="17"/>
        <v>0</v>
      </c>
      <c r="W46" s="140">
        <f t="shared" si="17"/>
        <v>0</v>
      </c>
      <c r="X46" s="140">
        <f t="shared" si="17"/>
        <v>0</v>
      </c>
      <c r="Y46" s="140">
        <f t="shared" si="17"/>
        <v>0</v>
      </c>
      <c r="AA46" s="140">
        <f t="shared" si="18"/>
        <v>0</v>
      </c>
      <c r="AB46" s="140">
        <f t="shared" si="18"/>
        <v>0</v>
      </c>
      <c r="AC46" s="140">
        <f t="shared" si="18"/>
        <v>0</v>
      </c>
      <c r="AD46" s="140">
        <f t="shared" si="18"/>
        <v>0</v>
      </c>
      <c r="AE46" s="140">
        <f t="shared" si="18"/>
        <v>0</v>
      </c>
      <c r="AF46" s="140">
        <f t="shared" si="18"/>
        <v>0</v>
      </c>
      <c r="AG46" s="140">
        <f t="shared" si="18"/>
        <v>0</v>
      </c>
      <c r="AH46" s="140">
        <f t="shared" si="18"/>
        <v>0</v>
      </c>
      <c r="AI46" s="140">
        <f t="shared" si="18"/>
        <v>0</v>
      </c>
      <c r="AJ46" s="140">
        <f t="shared" si="18"/>
        <v>0</v>
      </c>
      <c r="AK46" s="140">
        <f t="shared" si="18"/>
        <v>0</v>
      </c>
      <c r="AL46" s="140">
        <f t="shared" si="18"/>
        <v>0</v>
      </c>
      <c r="AM46" s="140">
        <f t="shared" si="18"/>
        <v>0</v>
      </c>
      <c r="AN46" s="140">
        <f t="shared" si="18"/>
        <v>0</v>
      </c>
      <c r="AO46" s="140">
        <f t="shared" si="18"/>
        <v>0</v>
      </c>
      <c r="AP46" s="140">
        <f t="shared" si="18"/>
        <v>0</v>
      </c>
      <c r="AQ46" s="140">
        <f t="shared" si="18"/>
        <v>0</v>
      </c>
      <c r="AR46" s="140">
        <f t="shared" si="18"/>
        <v>0</v>
      </c>
      <c r="AS46" s="140">
        <f t="shared" si="18"/>
        <v>0</v>
      </c>
      <c r="AT46" s="140">
        <f t="shared" si="18"/>
        <v>0</v>
      </c>
      <c r="AU46" s="140">
        <f t="shared" si="18"/>
        <v>0</v>
      </c>
      <c r="AV46" s="140">
        <f t="shared" si="18"/>
        <v>0</v>
      </c>
      <c r="AW46" s="140">
        <f t="shared" si="18"/>
        <v>0</v>
      </c>
      <c r="AX46" s="140">
        <f t="shared" si="18"/>
        <v>0</v>
      </c>
      <c r="AY46" s="140">
        <f t="shared" si="19"/>
        <v>0</v>
      </c>
      <c r="AZ46" s="22" t="s">
        <v>155</v>
      </c>
    </row>
    <row r="47" spans="1:66">
      <c r="A47" s="140" t="s">
        <v>176</v>
      </c>
      <c r="B47" s="140">
        <f t="shared" si="17"/>
        <v>0</v>
      </c>
      <c r="C47" s="140">
        <f t="shared" si="17"/>
        <v>1</v>
      </c>
      <c r="D47" s="140">
        <f t="shared" si="17"/>
        <v>0</v>
      </c>
      <c r="E47" s="140">
        <f t="shared" si="17"/>
        <v>0</v>
      </c>
      <c r="F47" s="140">
        <f t="shared" si="17"/>
        <v>0</v>
      </c>
      <c r="G47" s="140">
        <f t="shared" si="17"/>
        <v>0</v>
      </c>
      <c r="H47" s="140">
        <f t="shared" si="17"/>
        <v>0</v>
      </c>
      <c r="I47" s="140">
        <f t="shared" si="17"/>
        <v>0</v>
      </c>
      <c r="J47" s="140">
        <f t="shared" si="17"/>
        <v>0</v>
      </c>
      <c r="K47" s="140">
        <f t="shared" si="17"/>
        <v>0</v>
      </c>
      <c r="L47" s="140">
        <f t="shared" si="17"/>
        <v>0</v>
      </c>
      <c r="M47" s="140">
        <f t="shared" si="17"/>
        <v>0</v>
      </c>
      <c r="N47" s="140">
        <f t="shared" si="17"/>
        <v>0</v>
      </c>
      <c r="O47" s="140">
        <f t="shared" si="17"/>
        <v>0</v>
      </c>
      <c r="P47" s="140">
        <f t="shared" si="17"/>
        <v>0</v>
      </c>
      <c r="Q47" s="140">
        <f t="shared" si="17"/>
        <v>0</v>
      </c>
      <c r="R47" s="140">
        <f t="shared" si="17"/>
        <v>1</v>
      </c>
      <c r="S47" s="140">
        <f t="shared" si="17"/>
        <v>0</v>
      </c>
      <c r="T47" s="140">
        <f t="shared" si="17"/>
        <v>0</v>
      </c>
      <c r="U47" s="140">
        <f t="shared" si="17"/>
        <v>0</v>
      </c>
      <c r="V47" s="140">
        <f t="shared" si="17"/>
        <v>0</v>
      </c>
      <c r="W47" s="140">
        <f t="shared" si="17"/>
        <v>0</v>
      </c>
      <c r="X47" s="140">
        <f t="shared" si="17"/>
        <v>0</v>
      </c>
      <c r="Y47" s="140">
        <f t="shared" si="17"/>
        <v>0</v>
      </c>
      <c r="AA47" s="140">
        <f t="shared" si="18"/>
        <v>0</v>
      </c>
      <c r="AB47" s="140">
        <f t="shared" si="18"/>
        <v>1</v>
      </c>
      <c r="AC47" s="140">
        <f t="shared" si="18"/>
        <v>0</v>
      </c>
      <c r="AD47" s="140">
        <f t="shared" si="18"/>
        <v>0</v>
      </c>
      <c r="AE47" s="140">
        <f t="shared" si="18"/>
        <v>0</v>
      </c>
      <c r="AF47" s="140">
        <f t="shared" si="18"/>
        <v>0</v>
      </c>
      <c r="AG47" s="140">
        <f t="shared" si="18"/>
        <v>0</v>
      </c>
      <c r="AH47" s="140">
        <f t="shared" si="18"/>
        <v>0</v>
      </c>
      <c r="AI47" s="140">
        <f t="shared" si="18"/>
        <v>0</v>
      </c>
      <c r="AJ47" s="140">
        <f t="shared" si="18"/>
        <v>0</v>
      </c>
      <c r="AK47" s="140">
        <f t="shared" si="18"/>
        <v>0</v>
      </c>
      <c r="AL47" s="140">
        <f t="shared" si="18"/>
        <v>0</v>
      </c>
      <c r="AM47" s="140">
        <f t="shared" si="18"/>
        <v>0</v>
      </c>
      <c r="AN47" s="140">
        <f t="shared" si="18"/>
        <v>0</v>
      </c>
      <c r="AO47" s="140">
        <f t="shared" si="18"/>
        <v>0</v>
      </c>
      <c r="AP47" s="140">
        <f t="shared" si="18"/>
        <v>0</v>
      </c>
      <c r="AQ47" s="140">
        <f t="shared" si="18"/>
        <v>1</v>
      </c>
      <c r="AR47" s="140">
        <f t="shared" si="18"/>
        <v>0</v>
      </c>
      <c r="AS47" s="140">
        <f t="shared" si="18"/>
        <v>0</v>
      </c>
      <c r="AT47" s="140">
        <f t="shared" si="18"/>
        <v>0</v>
      </c>
      <c r="AU47" s="140">
        <f t="shared" si="18"/>
        <v>0</v>
      </c>
      <c r="AV47" s="140">
        <f t="shared" si="18"/>
        <v>0</v>
      </c>
      <c r="AW47" s="140">
        <f t="shared" si="18"/>
        <v>0</v>
      </c>
      <c r="AX47" s="140">
        <f t="shared" si="18"/>
        <v>0</v>
      </c>
      <c r="AY47" s="140">
        <f t="shared" si="19"/>
        <v>2</v>
      </c>
      <c r="AZ47" s="22" t="s">
        <v>155</v>
      </c>
    </row>
    <row r="48" spans="1:66">
      <c r="A48" s="140" t="s">
        <v>177</v>
      </c>
      <c r="B48" s="140">
        <f t="shared" si="17"/>
        <v>0</v>
      </c>
      <c r="C48" s="140">
        <f t="shared" si="17"/>
        <v>0</v>
      </c>
      <c r="D48" s="140">
        <f t="shared" si="17"/>
        <v>0</v>
      </c>
      <c r="E48" s="140">
        <f t="shared" si="17"/>
        <v>0</v>
      </c>
      <c r="F48" s="140">
        <f t="shared" si="17"/>
        <v>0</v>
      </c>
      <c r="G48" s="140">
        <f t="shared" si="17"/>
        <v>0</v>
      </c>
      <c r="H48" s="140">
        <f t="shared" si="17"/>
        <v>0</v>
      </c>
      <c r="I48" s="140">
        <f t="shared" si="17"/>
        <v>0</v>
      </c>
      <c r="J48" s="140">
        <f t="shared" si="17"/>
        <v>0</v>
      </c>
      <c r="K48" s="140">
        <f t="shared" si="17"/>
        <v>0</v>
      </c>
      <c r="L48" s="140">
        <f t="shared" si="17"/>
        <v>0</v>
      </c>
      <c r="M48" s="140">
        <f t="shared" si="17"/>
        <v>0</v>
      </c>
      <c r="N48" s="140">
        <f t="shared" si="17"/>
        <v>0</v>
      </c>
      <c r="O48" s="140">
        <f t="shared" si="17"/>
        <v>0</v>
      </c>
      <c r="P48" s="140">
        <f t="shared" si="17"/>
        <v>0</v>
      </c>
      <c r="Q48" s="140">
        <f t="shared" si="17"/>
        <v>0</v>
      </c>
      <c r="R48" s="140">
        <f t="shared" ref="R48:Y48" si="22">IF(IFERROR(FIND($A$37,R15,1),0)=0,0,1)</f>
        <v>0</v>
      </c>
      <c r="S48" s="140">
        <f t="shared" si="22"/>
        <v>0</v>
      </c>
      <c r="T48" s="140">
        <f t="shared" si="22"/>
        <v>0</v>
      </c>
      <c r="U48" s="140">
        <f t="shared" si="22"/>
        <v>0</v>
      </c>
      <c r="V48" s="140">
        <f t="shared" si="22"/>
        <v>0</v>
      </c>
      <c r="W48" s="140">
        <f t="shared" si="22"/>
        <v>0</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0</v>
      </c>
      <c r="AI48" s="140">
        <f t="shared" si="18"/>
        <v>0</v>
      </c>
      <c r="AJ48" s="140">
        <f t="shared" si="18"/>
        <v>0</v>
      </c>
      <c r="AK48" s="140">
        <f t="shared" si="18"/>
        <v>0</v>
      </c>
      <c r="AL48" s="140">
        <f t="shared" si="18"/>
        <v>0</v>
      </c>
      <c r="AM48" s="140">
        <f t="shared" si="18"/>
        <v>0</v>
      </c>
      <c r="AN48" s="140">
        <f t="shared" si="18"/>
        <v>0</v>
      </c>
      <c r="AO48" s="140">
        <f t="shared" si="18"/>
        <v>0</v>
      </c>
      <c r="AP48" s="140">
        <f t="shared" si="18"/>
        <v>0</v>
      </c>
      <c r="AQ48" s="140">
        <f t="shared" ref="AP48:AX63" si="23">IF(R48=0,0,R48/AQ15)</f>
        <v>0</v>
      </c>
      <c r="AR48" s="140">
        <f t="shared" si="23"/>
        <v>0</v>
      </c>
      <c r="AS48" s="140">
        <f t="shared" si="23"/>
        <v>0</v>
      </c>
      <c r="AT48" s="140">
        <f t="shared" si="23"/>
        <v>0</v>
      </c>
      <c r="AU48" s="140">
        <f t="shared" si="23"/>
        <v>0</v>
      </c>
      <c r="AV48" s="140">
        <f t="shared" si="23"/>
        <v>0</v>
      </c>
      <c r="AW48" s="140">
        <f t="shared" si="23"/>
        <v>0</v>
      </c>
      <c r="AX48" s="140">
        <f t="shared" si="23"/>
        <v>0</v>
      </c>
      <c r="AY48" s="140">
        <f t="shared" si="19"/>
        <v>0</v>
      </c>
      <c r="AZ48" s="22" t="s">
        <v>155</v>
      </c>
    </row>
    <row r="49" spans="1:52">
      <c r="A49" s="140" t="s">
        <v>178</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0</v>
      </c>
      <c r="K49" s="140">
        <f t="shared" si="24"/>
        <v>0</v>
      </c>
      <c r="L49" s="140">
        <f t="shared" si="24"/>
        <v>0</v>
      </c>
      <c r="M49" s="140">
        <f t="shared" si="24"/>
        <v>0</v>
      </c>
      <c r="N49" s="140">
        <f t="shared" si="24"/>
        <v>0</v>
      </c>
      <c r="O49" s="140">
        <f t="shared" si="24"/>
        <v>0</v>
      </c>
      <c r="P49" s="140">
        <f t="shared" si="24"/>
        <v>0</v>
      </c>
      <c r="Q49" s="140">
        <f t="shared" si="24"/>
        <v>0</v>
      </c>
      <c r="R49" s="140">
        <f t="shared" si="24"/>
        <v>0</v>
      </c>
      <c r="S49" s="140">
        <f t="shared" si="24"/>
        <v>0</v>
      </c>
      <c r="T49" s="140">
        <f t="shared" si="24"/>
        <v>0</v>
      </c>
      <c r="U49" s="140">
        <f t="shared" si="24"/>
        <v>0</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0</v>
      </c>
      <c r="AJ49" s="140">
        <f t="shared" si="25"/>
        <v>0</v>
      </c>
      <c r="AK49" s="140">
        <f t="shared" si="25"/>
        <v>0</v>
      </c>
      <c r="AL49" s="140">
        <f t="shared" si="25"/>
        <v>0</v>
      </c>
      <c r="AM49" s="140">
        <f t="shared" si="25"/>
        <v>0</v>
      </c>
      <c r="AN49" s="140">
        <f t="shared" si="25"/>
        <v>0</v>
      </c>
      <c r="AO49" s="140">
        <f t="shared" si="25"/>
        <v>0</v>
      </c>
      <c r="AP49" s="140">
        <f t="shared" si="23"/>
        <v>0</v>
      </c>
      <c r="AQ49" s="140">
        <f t="shared" si="23"/>
        <v>0</v>
      </c>
      <c r="AR49" s="140">
        <f t="shared" si="23"/>
        <v>0</v>
      </c>
      <c r="AS49" s="140">
        <f t="shared" si="23"/>
        <v>0</v>
      </c>
      <c r="AT49" s="140">
        <f t="shared" si="23"/>
        <v>0</v>
      </c>
      <c r="AU49" s="140">
        <f t="shared" si="23"/>
        <v>0</v>
      </c>
      <c r="AV49" s="140">
        <f t="shared" si="23"/>
        <v>0</v>
      </c>
      <c r="AW49" s="140">
        <f t="shared" si="23"/>
        <v>0</v>
      </c>
      <c r="AX49" s="140">
        <f t="shared" si="23"/>
        <v>0</v>
      </c>
      <c r="AY49" s="140">
        <f t="shared" si="19"/>
        <v>0</v>
      </c>
      <c r="AZ49" s="22" t="s">
        <v>155</v>
      </c>
    </row>
    <row r="50" spans="1:52">
      <c r="A50" s="140" t="s">
        <v>179</v>
      </c>
      <c r="B50" s="140">
        <f t="shared" si="24"/>
        <v>0</v>
      </c>
      <c r="C50" s="140">
        <f t="shared" si="24"/>
        <v>0</v>
      </c>
      <c r="D50" s="140">
        <f t="shared" si="24"/>
        <v>0</v>
      </c>
      <c r="E50" s="140">
        <f t="shared" si="24"/>
        <v>0</v>
      </c>
      <c r="F50" s="140">
        <f t="shared" si="24"/>
        <v>0</v>
      </c>
      <c r="G50" s="140">
        <f t="shared" si="24"/>
        <v>0</v>
      </c>
      <c r="H50" s="140">
        <f t="shared" si="24"/>
        <v>0</v>
      </c>
      <c r="I50" s="140">
        <f t="shared" si="24"/>
        <v>0</v>
      </c>
      <c r="J50" s="140">
        <f t="shared" si="24"/>
        <v>0</v>
      </c>
      <c r="K50" s="140">
        <f t="shared" si="24"/>
        <v>0</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0</v>
      </c>
      <c r="W50" s="140">
        <f t="shared" si="24"/>
        <v>0</v>
      </c>
      <c r="X50" s="140">
        <f t="shared" si="24"/>
        <v>0</v>
      </c>
      <c r="Y50" s="140">
        <f t="shared" si="24"/>
        <v>1</v>
      </c>
      <c r="AA50" s="140">
        <f t="shared" si="25"/>
        <v>0</v>
      </c>
      <c r="AB50" s="140">
        <f t="shared" si="25"/>
        <v>0</v>
      </c>
      <c r="AC50" s="140">
        <f t="shared" si="25"/>
        <v>0</v>
      </c>
      <c r="AD50" s="140">
        <f t="shared" si="25"/>
        <v>0</v>
      </c>
      <c r="AE50" s="140">
        <f t="shared" si="25"/>
        <v>0</v>
      </c>
      <c r="AF50" s="140">
        <f t="shared" si="25"/>
        <v>0</v>
      </c>
      <c r="AG50" s="140">
        <f t="shared" si="25"/>
        <v>0</v>
      </c>
      <c r="AH50" s="140">
        <f t="shared" si="25"/>
        <v>0</v>
      </c>
      <c r="AI50" s="140">
        <f t="shared" si="25"/>
        <v>0</v>
      </c>
      <c r="AJ50" s="140">
        <f t="shared" si="25"/>
        <v>0</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0</v>
      </c>
      <c r="AV50" s="140">
        <f t="shared" si="23"/>
        <v>0</v>
      </c>
      <c r="AW50" s="140">
        <f t="shared" si="23"/>
        <v>0</v>
      </c>
      <c r="AX50" s="140">
        <f t="shared" si="23"/>
        <v>1</v>
      </c>
      <c r="AY50" s="140">
        <f t="shared" si="19"/>
        <v>1</v>
      </c>
      <c r="AZ50" s="22" t="s">
        <v>155</v>
      </c>
    </row>
    <row r="51" spans="1:52">
      <c r="A51" s="140" t="s">
        <v>180</v>
      </c>
      <c r="B51" s="140">
        <f t="shared" si="24"/>
        <v>0</v>
      </c>
      <c r="C51" s="140">
        <f t="shared" si="24"/>
        <v>0</v>
      </c>
      <c r="D51" s="140">
        <f t="shared" si="24"/>
        <v>0</v>
      </c>
      <c r="E51" s="140">
        <f t="shared" si="24"/>
        <v>0</v>
      </c>
      <c r="F51" s="140">
        <f t="shared" si="24"/>
        <v>0</v>
      </c>
      <c r="G51" s="140">
        <f t="shared" si="24"/>
        <v>0</v>
      </c>
      <c r="H51" s="140">
        <f t="shared" si="24"/>
        <v>0</v>
      </c>
      <c r="I51" s="140">
        <f t="shared" si="24"/>
        <v>0</v>
      </c>
      <c r="J51" s="140">
        <f t="shared" si="24"/>
        <v>0</v>
      </c>
      <c r="K51" s="140">
        <f t="shared" si="24"/>
        <v>0</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1</v>
      </c>
      <c r="V51" s="140">
        <f t="shared" si="24"/>
        <v>1</v>
      </c>
      <c r="W51" s="140">
        <f t="shared" si="24"/>
        <v>0</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0</v>
      </c>
      <c r="AI51" s="140">
        <f t="shared" si="25"/>
        <v>0</v>
      </c>
      <c r="AJ51" s="140">
        <f t="shared" si="25"/>
        <v>0</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1</v>
      </c>
      <c r="AU51" s="140">
        <f t="shared" si="23"/>
        <v>1</v>
      </c>
      <c r="AV51" s="140">
        <f t="shared" si="23"/>
        <v>0</v>
      </c>
      <c r="AW51" s="140">
        <f t="shared" si="23"/>
        <v>0</v>
      </c>
      <c r="AX51" s="140">
        <f t="shared" si="23"/>
        <v>0</v>
      </c>
      <c r="AY51" s="140">
        <f t="shared" si="19"/>
        <v>2</v>
      </c>
      <c r="AZ51" s="22" t="s">
        <v>155</v>
      </c>
    </row>
    <row r="52" spans="1:52">
      <c r="A52" s="140" t="s">
        <v>181</v>
      </c>
      <c r="B52" s="140">
        <f t="shared" si="24"/>
        <v>0</v>
      </c>
      <c r="C52" s="140">
        <f t="shared" si="24"/>
        <v>0</v>
      </c>
      <c r="D52" s="140">
        <f t="shared" si="24"/>
        <v>0</v>
      </c>
      <c r="E52" s="140">
        <f t="shared" si="24"/>
        <v>0</v>
      </c>
      <c r="F52" s="140">
        <f t="shared" si="24"/>
        <v>0</v>
      </c>
      <c r="G52" s="140">
        <f t="shared" si="24"/>
        <v>0</v>
      </c>
      <c r="H52" s="140">
        <f t="shared" si="24"/>
        <v>0</v>
      </c>
      <c r="I52" s="140">
        <f t="shared" si="24"/>
        <v>0</v>
      </c>
      <c r="J52" s="140">
        <f t="shared" si="24"/>
        <v>0</v>
      </c>
      <c r="K52" s="140">
        <f t="shared" si="24"/>
        <v>0</v>
      </c>
      <c r="L52" s="140">
        <f t="shared" si="24"/>
        <v>0</v>
      </c>
      <c r="M52" s="140">
        <f t="shared" si="24"/>
        <v>0</v>
      </c>
      <c r="N52" s="140">
        <f t="shared" si="24"/>
        <v>0</v>
      </c>
      <c r="O52" s="140">
        <f t="shared" si="24"/>
        <v>1</v>
      </c>
      <c r="P52" s="140">
        <f t="shared" si="24"/>
        <v>0</v>
      </c>
      <c r="Q52" s="140">
        <f t="shared" si="24"/>
        <v>0</v>
      </c>
      <c r="R52" s="140">
        <f t="shared" si="24"/>
        <v>0</v>
      </c>
      <c r="S52" s="140">
        <f t="shared" si="24"/>
        <v>0</v>
      </c>
      <c r="T52" s="140">
        <f t="shared" si="24"/>
        <v>1</v>
      </c>
      <c r="U52" s="140">
        <f t="shared" si="24"/>
        <v>0</v>
      </c>
      <c r="V52" s="140">
        <f t="shared" si="24"/>
        <v>0</v>
      </c>
      <c r="W52" s="140">
        <f t="shared" si="24"/>
        <v>0</v>
      </c>
      <c r="X52" s="140">
        <f t="shared" si="24"/>
        <v>0</v>
      </c>
      <c r="Y52" s="140">
        <f t="shared" si="24"/>
        <v>0</v>
      </c>
      <c r="AA52" s="140">
        <f t="shared" si="25"/>
        <v>0</v>
      </c>
      <c r="AB52" s="140">
        <f t="shared" si="25"/>
        <v>0</v>
      </c>
      <c r="AC52" s="140">
        <f t="shared" si="25"/>
        <v>0</v>
      </c>
      <c r="AD52" s="140">
        <f t="shared" si="25"/>
        <v>0</v>
      </c>
      <c r="AE52" s="140">
        <f t="shared" si="25"/>
        <v>0</v>
      </c>
      <c r="AF52" s="140">
        <f t="shared" si="25"/>
        <v>0</v>
      </c>
      <c r="AG52" s="140">
        <f t="shared" si="25"/>
        <v>0</v>
      </c>
      <c r="AH52" s="140">
        <f t="shared" si="25"/>
        <v>0</v>
      </c>
      <c r="AI52" s="140">
        <f t="shared" si="25"/>
        <v>0</v>
      </c>
      <c r="AJ52" s="140">
        <f t="shared" si="25"/>
        <v>0</v>
      </c>
      <c r="AK52" s="140">
        <f t="shared" si="25"/>
        <v>0</v>
      </c>
      <c r="AL52" s="140">
        <f t="shared" si="25"/>
        <v>0</v>
      </c>
      <c r="AM52" s="140">
        <f t="shared" si="25"/>
        <v>0</v>
      </c>
      <c r="AN52" s="140">
        <f t="shared" si="25"/>
        <v>1</v>
      </c>
      <c r="AO52" s="140">
        <f t="shared" si="25"/>
        <v>0</v>
      </c>
      <c r="AP52" s="140">
        <f t="shared" si="23"/>
        <v>0</v>
      </c>
      <c r="AQ52" s="140">
        <f t="shared" si="23"/>
        <v>0</v>
      </c>
      <c r="AR52" s="140">
        <f t="shared" si="23"/>
        <v>0</v>
      </c>
      <c r="AS52" s="140">
        <f t="shared" si="23"/>
        <v>1</v>
      </c>
      <c r="AT52" s="140">
        <f t="shared" si="23"/>
        <v>0</v>
      </c>
      <c r="AU52" s="140">
        <f t="shared" si="23"/>
        <v>0</v>
      </c>
      <c r="AV52" s="140">
        <f t="shared" si="23"/>
        <v>0</v>
      </c>
      <c r="AW52" s="140">
        <f t="shared" si="23"/>
        <v>0</v>
      </c>
      <c r="AX52" s="140">
        <f t="shared" si="23"/>
        <v>0</v>
      </c>
      <c r="AY52" s="140">
        <f t="shared" si="19"/>
        <v>2</v>
      </c>
      <c r="AZ52" s="22" t="s">
        <v>155</v>
      </c>
    </row>
    <row r="53" spans="1:52">
      <c r="A53" s="140" t="s">
        <v>182</v>
      </c>
      <c r="B53" s="140">
        <f t="shared" si="24"/>
        <v>0</v>
      </c>
      <c r="C53" s="140">
        <f t="shared" si="24"/>
        <v>0</v>
      </c>
      <c r="D53" s="140">
        <f t="shared" si="24"/>
        <v>0</v>
      </c>
      <c r="E53" s="140">
        <f t="shared" si="24"/>
        <v>0</v>
      </c>
      <c r="F53" s="140">
        <f t="shared" si="24"/>
        <v>0</v>
      </c>
      <c r="G53" s="140">
        <f t="shared" si="24"/>
        <v>0</v>
      </c>
      <c r="H53" s="140">
        <f t="shared" si="24"/>
        <v>0</v>
      </c>
      <c r="I53" s="140">
        <f t="shared" si="24"/>
        <v>0</v>
      </c>
      <c r="J53" s="140">
        <f t="shared" si="24"/>
        <v>0</v>
      </c>
      <c r="K53" s="140">
        <f t="shared" si="24"/>
        <v>0</v>
      </c>
      <c r="L53" s="140">
        <f t="shared" si="24"/>
        <v>0</v>
      </c>
      <c r="M53" s="140">
        <f t="shared" si="24"/>
        <v>0</v>
      </c>
      <c r="N53" s="140">
        <f t="shared" si="24"/>
        <v>0</v>
      </c>
      <c r="O53" s="140">
        <f t="shared" si="24"/>
        <v>0</v>
      </c>
      <c r="P53" s="140">
        <f t="shared" si="24"/>
        <v>0</v>
      </c>
      <c r="Q53" s="140">
        <f t="shared" si="24"/>
        <v>0</v>
      </c>
      <c r="R53" s="140">
        <f t="shared" si="24"/>
        <v>0</v>
      </c>
      <c r="S53" s="140">
        <f t="shared" si="24"/>
        <v>0</v>
      </c>
      <c r="T53" s="140">
        <f t="shared" si="24"/>
        <v>0</v>
      </c>
      <c r="U53" s="140">
        <f t="shared" si="24"/>
        <v>1</v>
      </c>
      <c r="V53" s="140">
        <f t="shared" si="24"/>
        <v>0</v>
      </c>
      <c r="W53" s="140">
        <f t="shared" si="24"/>
        <v>0</v>
      </c>
      <c r="X53" s="140">
        <f t="shared" si="24"/>
        <v>0</v>
      </c>
      <c r="Y53" s="140">
        <f t="shared" si="24"/>
        <v>0</v>
      </c>
      <c r="AA53" s="140">
        <f t="shared" si="25"/>
        <v>0</v>
      </c>
      <c r="AB53" s="140">
        <f t="shared" si="25"/>
        <v>0</v>
      </c>
      <c r="AC53" s="140">
        <f t="shared" si="25"/>
        <v>0</v>
      </c>
      <c r="AD53" s="140">
        <f t="shared" si="25"/>
        <v>0</v>
      </c>
      <c r="AE53" s="140">
        <f t="shared" si="25"/>
        <v>0</v>
      </c>
      <c r="AF53" s="140">
        <f t="shared" si="25"/>
        <v>0</v>
      </c>
      <c r="AG53" s="140">
        <f t="shared" si="25"/>
        <v>0</v>
      </c>
      <c r="AH53" s="140">
        <f t="shared" si="25"/>
        <v>0</v>
      </c>
      <c r="AI53" s="140">
        <f t="shared" si="25"/>
        <v>0</v>
      </c>
      <c r="AJ53" s="140">
        <f t="shared" si="25"/>
        <v>0</v>
      </c>
      <c r="AK53" s="140">
        <f t="shared" si="25"/>
        <v>0</v>
      </c>
      <c r="AL53" s="140">
        <f t="shared" si="25"/>
        <v>0</v>
      </c>
      <c r="AM53" s="140">
        <f t="shared" si="25"/>
        <v>0</v>
      </c>
      <c r="AN53" s="140">
        <f t="shared" si="25"/>
        <v>0</v>
      </c>
      <c r="AO53" s="140">
        <f t="shared" si="25"/>
        <v>0</v>
      </c>
      <c r="AP53" s="140">
        <f t="shared" si="23"/>
        <v>0</v>
      </c>
      <c r="AQ53" s="140">
        <f t="shared" si="23"/>
        <v>0</v>
      </c>
      <c r="AR53" s="140">
        <f t="shared" si="23"/>
        <v>0</v>
      </c>
      <c r="AS53" s="140">
        <f t="shared" si="23"/>
        <v>0</v>
      </c>
      <c r="AT53" s="140">
        <f t="shared" si="23"/>
        <v>1</v>
      </c>
      <c r="AU53" s="140">
        <f t="shared" si="23"/>
        <v>0</v>
      </c>
      <c r="AV53" s="140">
        <f t="shared" si="23"/>
        <v>0</v>
      </c>
      <c r="AW53" s="140">
        <f t="shared" si="23"/>
        <v>0</v>
      </c>
      <c r="AX53" s="140">
        <f t="shared" si="23"/>
        <v>0</v>
      </c>
      <c r="AY53" s="140">
        <f t="shared" si="19"/>
        <v>1</v>
      </c>
      <c r="AZ53" s="22" t="s">
        <v>155</v>
      </c>
    </row>
    <row r="54" spans="1:52">
      <c r="A54" s="140" t="s">
        <v>183</v>
      </c>
      <c r="B54" s="140">
        <f t="shared" si="24"/>
        <v>0</v>
      </c>
      <c r="C54" s="140">
        <f t="shared" si="24"/>
        <v>0</v>
      </c>
      <c r="D54" s="140">
        <f t="shared" si="24"/>
        <v>0</v>
      </c>
      <c r="E54" s="140">
        <f t="shared" si="24"/>
        <v>0</v>
      </c>
      <c r="F54" s="140">
        <f t="shared" si="24"/>
        <v>0</v>
      </c>
      <c r="G54" s="140">
        <f t="shared" si="24"/>
        <v>0</v>
      </c>
      <c r="H54" s="140">
        <f t="shared" si="24"/>
        <v>0</v>
      </c>
      <c r="I54" s="140">
        <f t="shared" si="24"/>
        <v>1</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1</v>
      </c>
      <c r="U54" s="140">
        <f t="shared" si="24"/>
        <v>0</v>
      </c>
      <c r="V54" s="140">
        <f t="shared" si="24"/>
        <v>1</v>
      </c>
      <c r="W54" s="140">
        <f t="shared" si="24"/>
        <v>0</v>
      </c>
      <c r="X54" s="140">
        <f t="shared" si="24"/>
        <v>0</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1</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0.5</v>
      </c>
      <c r="AT54" s="140">
        <f t="shared" si="23"/>
        <v>0</v>
      </c>
      <c r="AU54" s="140">
        <f t="shared" si="23"/>
        <v>1</v>
      </c>
      <c r="AV54" s="140">
        <f t="shared" si="23"/>
        <v>0</v>
      </c>
      <c r="AW54" s="140">
        <f t="shared" si="23"/>
        <v>0</v>
      </c>
      <c r="AX54" s="140">
        <f t="shared" si="23"/>
        <v>0</v>
      </c>
      <c r="AY54" s="140">
        <f t="shared" si="19"/>
        <v>2.5</v>
      </c>
      <c r="AZ54" s="22" t="s">
        <v>155</v>
      </c>
    </row>
    <row r="55" spans="1:52">
      <c r="A55" s="140" t="s">
        <v>184</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0</v>
      </c>
      <c r="L55" s="140">
        <f t="shared" si="24"/>
        <v>0</v>
      </c>
      <c r="M55" s="140">
        <f t="shared" si="24"/>
        <v>0</v>
      </c>
      <c r="N55" s="140">
        <f t="shared" si="24"/>
        <v>0</v>
      </c>
      <c r="O55" s="140">
        <f t="shared" si="24"/>
        <v>0</v>
      </c>
      <c r="P55" s="140">
        <f t="shared" si="24"/>
        <v>0</v>
      </c>
      <c r="Q55" s="140">
        <f t="shared" si="24"/>
        <v>0</v>
      </c>
      <c r="R55" s="140">
        <f t="shared" si="24"/>
        <v>0</v>
      </c>
      <c r="S55" s="140">
        <f t="shared" si="24"/>
        <v>0</v>
      </c>
      <c r="T55" s="140">
        <f t="shared" si="24"/>
        <v>0</v>
      </c>
      <c r="U55" s="140">
        <f t="shared" si="24"/>
        <v>1</v>
      </c>
      <c r="V55" s="140">
        <f t="shared" si="24"/>
        <v>0</v>
      </c>
      <c r="W55" s="140">
        <f t="shared" si="24"/>
        <v>0</v>
      </c>
      <c r="X55" s="140">
        <f t="shared" si="24"/>
        <v>0</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0</v>
      </c>
      <c r="AK55" s="140">
        <f t="shared" si="25"/>
        <v>0</v>
      </c>
      <c r="AL55" s="140">
        <f t="shared" si="25"/>
        <v>0</v>
      </c>
      <c r="AM55" s="140">
        <f t="shared" si="25"/>
        <v>0</v>
      </c>
      <c r="AN55" s="140">
        <f t="shared" si="25"/>
        <v>0</v>
      </c>
      <c r="AO55" s="140">
        <f t="shared" si="25"/>
        <v>0</v>
      </c>
      <c r="AP55" s="140">
        <f t="shared" si="23"/>
        <v>0</v>
      </c>
      <c r="AQ55" s="140">
        <f t="shared" si="23"/>
        <v>0</v>
      </c>
      <c r="AR55" s="140">
        <f t="shared" si="23"/>
        <v>0</v>
      </c>
      <c r="AS55" s="140">
        <f t="shared" si="23"/>
        <v>0</v>
      </c>
      <c r="AT55" s="140">
        <f t="shared" si="23"/>
        <v>1</v>
      </c>
      <c r="AU55" s="140">
        <f t="shared" si="23"/>
        <v>0</v>
      </c>
      <c r="AV55" s="140">
        <f t="shared" si="23"/>
        <v>0</v>
      </c>
      <c r="AW55" s="140">
        <f t="shared" si="23"/>
        <v>0</v>
      </c>
      <c r="AX55" s="140">
        <f t="shared" si="23"/>
        <v>0</v>
      </c>
      <c r="AY55" s="140">
        <f t="shared" si="19"/>
        <v>1</v>
      </c>
      <c r="AZ55" s="22" t="s">
        <v>155</v>
      </c>
    </row>
    <row r="56" spans="1:52">
      <c r="A56" s="140" t="s">
        <v>185</v>
      </c>
      <c r="B56" s="140">
        <f t="shared" si="24"/>
        <v>0</v>
      </c>
      <c r="C56" s="140">
        <f t="shared" si="24"/>
        <v>0</v>
      </c>
      <c r="D56" s="140">
        <f t="shared" si="24"/>
        <v>0</v>
      </c>
      <c r="E56" s="140">
        <f t="shared" si="24"/>
        <v>0</v>
      </c>
      <c r="F56" s="140">
        <f t="shared" si="24"/>
        <v>0</v>
      </c>
      <c r="G56" s="140">
        <f t="shared" si="24"/>
        <v>0</v>
      </c>
      <c r="H56" s="140">
        <f t="shared" si="24"/>
        <v>0</v>
      </c>
      <c r="I56" s="140">
        <f t="shared" si="24"/>
        <v>0</v>
      </c>
      <c r="J56" s="140">
        <f t="shared" si="24"/>
        <v>0</v>
      </c>
      <c r="K56" s="140">
        <f t="shared" si="24"/>
        <v>0</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1</v>
      </c>
      <c r="V56" s="140">
        <f t="shared" si="24"/>
        <v>1</v>
      </c>
      <c r="W56" s="140">
        <f t="shared" si="24"/>
        <v>0</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0</v>
      </c>
      <c r="AI56" s="140">
        <f t="shared" si="25"/>
        <v>0</v>
      </c>
      <c r="AJ56" s="140">
        <f t="shared" si="25"/>
        <v>0</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1</v>
      </c>
      <c r="AU56" s="140">
        <f t="shared" si="23"/>
        <v>1</v>
      </c>
      <c r="AV56" s="140">
        <f t="shared" si="23"/>
        <v>0</v>
      </c>
      <c r="AW56" s="140">
        <f t="shared" si="23"/>
        <v>0</v>
      </c>
      <c r="AX56" s="140">
        <f t="shared" si="23"/>
        <v>0</v>
      </c>
      <c r="AY56" s="140">
        <f t="shared" si="19"/>
        <v>2</v>
      </c>
      <c r="AZ56" s="22" t="s">
        <v>155</v>
      </c>
    </row>
    <row r="57" spans="1:52">
      <c r="A57" s="140" t="s">
        <v>186</v>
      </c>
      <c r="B57" s="140">
        <f t="shared" si="24"/>
        <v>0</v>
      </c>
      <c r="C57" s="140">
        <f t="shared" si="24"/>
        <v>0</v>
      </c>
      <c r="D57" s="140">
        <f t="shared" si="24"/>
        <v>0</v>
      </c>
      <c r="E57" s="140">
        <f t="shared" si="24"/>
        <v>0</v>
      </c>
      <c r="F57" s="140">
        <f t="shared" si="24"/>
        <v>0</v>
      </c>
      <c r="G57" s="140">
        <f t="shared" si="24"/>
        <v>0</v>
      </c>
      <c r="H57" s="140">
        <f t="shared" si="24"/>
        <v>0</v>
      </c>
      <c r="I57" s="140">
        <f t="shared" si="24"/>
        <v>0</v>
      </c>
      <c r="J57" s="140">
        <f t="shared" si="24"/>
        <v>0</v>
      </c>
      <c r="K57" s="140">
        <f t="shared" si="24"/>
        <v>0</v>
      </c>
      <c r="L57" s="140">
        <f t="shared" si="24"/>
        <v>0</v>
      </c>
      <c r="M57" s="140">
        <f t="shared" si="24"/>
        <v>0</v>
      </c>
      <c r="N57" s="140">
        <f t="shared" si="24"/>
        <v>0</v>
      </c>
      <c r="O57" s="140">
        <f t="shared" si="24"/>
        <v>0</v>
      </c>
      <c r="P57" s="140">
        <f t="shared" si="24"/>
        <v>0</v>
      </c>
      <c r="Q57" s="140">
        <f t="shared" si="24"/>
        <v>0</v>
      </c>
      <c r="R57" s="140">
        <f t="shared" si="24"/>
        <v>0</v>
      </c>
      <c r="S57" s="140">
        <f t="shared" si="24"/>
        <v>0</v>
      </c>
      <c r="T57" s="140">
        <f t="shared" si="24"/>
        <v>0</v>
      </c>
      <c r="U57" s="140">
        <f t="shared" si="24"/>
        <v>0</v>
      </c>
      <c r="V57" s="140">
        <f t="shared" si="24"/>
        <v>0</v>
      </c>
      <c r="W57" s="140">
        <f t="shared" si="24"/>
        <v>0</v>
      </c>
      <c r="X57" s="140">
        <f t="shared" si="24"/>
        <v>0</v>
      </c>
      <c r="Y57" s="140">
        <f t="shared" si="24"/>
        <v>0</v>
      </c>
      <c r="AA57" s="140">
        <f t="shared" si="25"/>
        <v>0</v>
      </c>
      <c r="AB57" s="140">
        <f t="shared" si="25"/>
        <v>0</v>
      </c>
      <c r="AC57" s="140">
        <f t="shared" si="25"/>
        <v>0</v>
      </c>
      <c r="AD57" s="140">
        <f t="shared" si="25"/>
        <v>0</v>
      </c>
      <c r="AE57" s="140">
        <f t="shared" si="25"/>
        <v>0</v>
      </c>
      <c r="AF57" s="140">
        <f t="shared" si="25"/>
        <v>0</v>
      </c>
      <c r="AG57" s="140">
        <f t="shared" si="25"/>
        <v>0</v>
      </c>
      <c r="AH57" s="140">
        <f t="shared" si="25"/>
        <v>0</v>
      </c>
      <c r="AI57" s="140">
        <f t="shared" si="25"/>
        <v>0</v>
      </c>
      <c r="AJ57" s="140">
        <f t="shared" si="25"/>
        <v>0</v>
      </c>
      <c r="AK57" s="140">
        <f t="shared" si="25"/>
        <v>0</v>
      </c>
      <c r="AL57" s="140">
        <f t="shared" si="25"/>
        <v>0</v>
      </c>
      <c r="AM57" s="140">
        <f t="shared" si="25"/>
        <v>0</v>
      </c>
      <c r="AN57" s="140">
        <f t="shared" si="25"/>
        <v>0</v>
      </c>
      <c r="AO57" s="140">
        <f t="shared" si="25"/>
        <v>0</v>
      </c>
      <c r="AP57" s="140">
        <f t="shared" si="23"/>
        <v>0</v>
      </c>
      <c r="AQ57" s="140">
        <f t="shared" si="23"/>
        <v>0</v>
      </c>
      <c r="AR57" s="140">
        <f t="shared" si="23"/>
        <v>0</v>
      </c>
      <c r="AS57" s="140">
        <f t="shared" si="23"/>
        <v>0</v>
      </c>
      <c r="AT57" s="140">
        <f t="shared" si="23"/>
        <v>0</v>
      </c>
      <c r="AU57" s="140">
        <f t="shared" si="23"/>
        <v>0</v>
      </c>
      <c r="AV57" s="140">
        <f t="shared" si="23"/>
        <v>0</v>
      </c>
      <c r="AW57" s="140">
        <f t="shared" si="23"/>
        <v>0</v>
      </c>
      <c r="AX57" s="140">
        <f t="shared" si="23"/>
        <v>0</v>
      </c>
      <c r="AY57" s="140">
        <f t="shared" si="19"/>
        <v>0</v>
      </c>
      <c r="AZ57" s="22" t="s">
        <v>155</v>
      </c>
    </row>
    <row r="58" spans="1:52">
      <c r="A58" s="140" t="s">
        <v>187</v>
      </c>
      <c r="B58" s="140">
        <f t="shared" si="24"/>
        <v>1</v>
      </c>
      <c r="C58" s="140">
        <f t="shared" si="24"/>
        <v>0</v>
      </c>
      <c r="D58" s="140">
        <f t="shared" si="24"/>
        <v>0</v>
      </c>
      <c r="E58" s="140">
        <f t="shared" si="24"/>
        <v>0</v>
      </c>
      <c r="F58" s="140">
        <f t="shared" si="24"/>
        <v>0</v>
      </c>
      <c r="G58" s="140">
        <f t="shared" si="24"/>
        <v>0</v>
      </c>
      <c r="H58" s="140">
        <f t="shared" si="24"/>
        <v>0</v>
      </c>
      <c r="I58" s="140">
        <f t="shared" si="24"/>
        <v>0</v>
      </c>
      <c r="J58" s="140">
        <f t="shared" si="24"/>
        <v>0</v>
      </c>
      <c r="K58" s="140">
        <f t="shared" si="24"/>
        <v>0</v>
      </c>
      <c r="L58" s="140">
        <f t="shared" si="24"/>
        <v>0</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0</v>
      </c>
      <c r="W58" s="140">
        <f t="shared" si="24"/>
        <v>0</v>
      </c>
      <c r="X58" s="140">
        <f t="shared" si="24"/>
        <v>0</v>
      </c>
      <c r="Y58" s="140">
        <f t="shared" si="24"/>
        <v>0</v>
      </c>
      <c r="AA58" s="140">
        <f t="shared" si="25"/>
        <v>0.33333333333333331</v>
      </c>
      <c r="AB58" s="140">
        <f t="shared" si="25"/>
        <v>0</v>
      </c>
      <c r="AC58" s="140">
        <f t="shared" si="25"/>
        <v>0</v>
      </c>
      <c r="AD58" s="140">
        <f t="shared" si="25"/>
        <v>0</v>
      </c>
      <c r="AE58" s="140">
        <f t="shared" si="25"/>
        <v>0</v>
      </c>
      <c r="AF58" s="140">
        <f t="shared" si="25"/>
        <v>0</v>
      </c>
      <c r="AG58" s="140">
        <f t="shared" si="25"/>
        <v>0</v>
      </c>
      <c r="AH58" s="140">
        <f t="shared" si="25"/>
        <v>0</v>
      </c>
      <c r="AI58" s="140">
        <f t="shared" si="25"/>
        <v>0</v>
      </c>
      <c r="AJ58" s="140">
        <f t="shared" si="25"/>
        <v>0</v>
      </c>
      <c r="AK58" s="140">
        <f t="shared" si="25"/>
        <v>0</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0</v>
      </c>
      <c r="AV58" s="140">
        <f t="shared" si="23"/>
        <v>0</v>
      </c>
      <c r="AW58" s="140">
        <f t="shared" si="23"/>
        <v>0</v>
      </c>
      <c r="AX58" s="140">
        <f t="shared" si="23"/>
        <v>0</v>
      </c>
      <c r="AY58" s="140">
        <f t="shared" si="19"/>
        <v>0.33333333333333331</v>
      </c>
      <c r="AZ58" s="22" t="s">
        <v>155</v>
      </c>
    </row>
    <row r="59" spans="1:52">
      <c r="A59" s="140" t="s">
        <v>188</v>
      </c>
      <c r="B59" s="140">
        <f t="shared" si="24"/>
        <v>0</v>
      </c>
      <c r="C59" s="140">
        <f t="shared" si="24"/>
        <v>0</v>
      </c>
      <c r="D59" s="140">
        <f t="shared" si="24"/>
        <v>0</v>
      </c>
      <c r="E59" s="140">
        <f t="shared" si="24"/>
        <v>0</v>
      </c>
      <c r="F59" s="140">
        <f t="shared" si="24"/>
        <v>0</v>
      </c>
      <c r="G59" s="140">
        <f t="shared" si="24"/>
        <v>0</v>
      </c>
      <c r="H59" s="140">
        <f t="shared" si="24"/>
        <v>0</v>
      </c>
      <c r="I59" s="140">
        <f t="shared" si="24"/>
        <v>0</v>
      </c>
      <c r="J59" s="140">
        <f t="shared" si="24"/>
        <v>0</v>
      </c>
      <c r="K59" s="140">
        <f t="shared" si="24"/>
        <v>0</v>
      </c>
      <c r="L59" s="140">
        <f t="shared" si="24"/>
        <v>0</v>
      </c>
      <c r="M59" s="140">
        <f t="shared" si="24"/>
        <v>0</v>
      </c>
      <c r="N59" s="140">
        <f t="shared" si="24"/>
        <v>0</v>
      </c>
      <c r="O59" s="140">
        <f t="shared" si="24"/>
        <v>0</v>
      </c>
      <c r="P59" s="140">
        <f t="shared" si="24"/>
        <v>0</v>
      </c>
      <c r="Q59" s="140">
        <f t="shared" ref="Q59:Y59" si="26">IF(IFERROR(FIND($A$37,Q26,1),0)=0,0,1)</f>
        <v>0</v>
      </c>
      <c r="R59" s="140">
        <f t="shared" si="26"/>
        <v>0</v>
      </c>
      <c r="S59" s="140">
        <f t="shared" si="26"/>
        <v>0</v>
      </c>
      <c r="T59" s="140">
        <f t="shared" si="26"/>
        <v>0</v>
      </c>
      <c r="U59" s="140">
        <f t="shared" si="26"/>
        <v>1</v>
      </c>
      <c r="V59" s="140">
        <f t="shared" si="26"/>
        <v>0</v>
      </c>
      <c r="W59" s="140">
        <f t="shared" si="26"/>
        <v>0</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v>
      </c>
      <c r="AH59" s="140">
        <f t="shared" si="25"/>
        <v>0</v>
      </c>
      <c r="AI59" s="140">
        <f t="shared" si="25"/>
        <v>0</v>
      </c>
      <c r="AJ59" s="140">
        <f t="shared" si="25"/>
        <v>0</v>
      </c>
      <c r="AK59" s="140">
        <f t="shared" si="25"/>
        <v>0</v>
      </c>
      <c r="AL59" s="140">
        <f t="shared" si="25"/>
        <v>0</v>
      </c>
      <c r="AM59" s="140">
        <f t="shared" si="25"/>
        <v>0</v>
      </c>
      <c r="AN59" s="140">
        <f t="shared" si="25"/>
        <v>0</v>
      </c>
      <c r="AO59" s="140">
        <f t="shared" si="25"/>
        <v>0</v>
      </c>
      <c r="AP59" s="140">
        <f t="shared" si="23"/>
        <v>0</v>
      </c>
      <c r="AQ59" s="140">
        <f t="shared" si="23"/>
        <v>0</v>
      </c>
      <c r="AR59" s="140">
        <f t="shared" si="23"/>
        <v>0</v>
      </c>
      <c r="AS59" s="140">
        <f t="shared" si="23"/>
        <v>0</v>
      </c>
      <c r="AT59" s="140">
        <f t="shared" si="23"/>
        <v>0.5</v>
      </c>
      <c r="AU59" s="140">
        <f t="shared" si="23"/>
        <v>0</v>
      </c>
      <c r="AV59" s="140">
        <f t="shared" si="23"/>
        <v>0</v>
      </c>
      <c r="AW59" s="140">
        <f t="shared" si="23"/>
        <v>0</v>
      </c>
      <c r="AX59" s="140">
        <f t="shared" si="23"/>
        <v>0</v>
      </c>
      <c r="AY59" s="140">
        <f t="shared" si="19"/>
        <v>0.5</v>
      </c>
      <c r="AZ59" s="22" t="s">
        <v>155</v>
      </c>
    </row>
    <row r="60" spans="1:52">
      <c r="A60" s="140" t="s">
        <v>189</v>
      </c>
      <c r="B60" s="140">
        <f t="shared" ref="B60:Y68" si="27">IF(IFERROR(FIND($A$37,B27,1),0)=0,0,1)</f>
        <v>0</v>
      </c>
      <c r="C60" s="140">
        <f t="shared" si="27"/>
        <v>0</v>
      </c>
      <c r="D60" s="140">
        <f t="shared" si="27"/>
        <v>0</v>
      </c>
      <c r="E60" s="140">
        <f t="shared" si="27"/>
        <v>0</v>
      </c>
      <c r="F60" s="140">
        <f t="shared" si="27"/>
        <v>0</v>
      </c>
      <c r="G60" s="140">
        <f t="shared" si="27"/>
        <v>0</v>
      </c>
      <c r="H60" s="140">
        <f t="shared" si="27"/>
        <v>0</v>
      </c>
      <c r="I60" s="140">
        <f t="shared" si="27"/>
        <v>0</v>
      </c>
      <c r="J60" s="140">
        <f t="shared" si="27"/>
        <v>0</v>
      </c>
      <c r="K60" s="140">
        <f t="shared" si="27"/>
        <v>0</v>
      </c>
      <c r="L60" s="140">
        <f t="shared" si="27"/>
        <v>0</v>
      </c>
      <c r="M60" s="140">
        <f t="shared" si="27"/>
        <v>0</v>
      </c>
      <c r="N60" s="140">
        <f t="shared" si="27"/>
        <v>0</v>
      </c>
      <c r="O60" s="140">
        <f t="shared" si="27"/>
        <v>0</v>
      </c>
      <c r="P60" s="140">
        <f t="shared" si="27"/>
        <v>0</v>
      </c>
      <c r="Q60" s="140">
        <f t="shared" si="27"/>
        <v>0</v>
      </c>
      <c r="R60" s="140">
        <f t="shared" si="27"/>
        <v>0</v>
      </c>
      <c r="S60" s="140">
        <f t="shared" si="27"/>
        <v>0</v>
      </c>
      <c r="T60" s="140">
        <f t="shared" si="27"/>
        <v>0</v>
      </c>
      <c r="U60" s="140">
        <f t="shared" si="27"/>
        <v>0</v>
      </c>
      <c r="V60" s="140">
        <f t="shared" si="27"/>
        <v>1</v>
      </c>
      <c r="W60" s="140">
        <f t="shared" si="27"/>
        <v>0</v>
      </c>
      <c r="X60" s="140">
        <f t="shared" si="27"/>
        <v>0</v>
      </c>
      <c r="Y60" s="140">
        <f t="shared" si="27"/>
        <v>0</v>
      </c>
      <c r="AA60" s="140">
        <f t="shared" si="25"/>
        <v>0</v>
      </c>
      <c r="AB60" s="140">
        <f t="shared" si="25"/>
        <v>0</v>
      </c>
      <c r="AC60" s="140">
        <f t="shared" si="25"/>
        <v>0</v>
      </c>
      <c r="AD60" s="140">
        <f t="shared" si="25"/>
        <v>0</v>
      </c>
      <c r="AE60" s="140">
        <f t="shared" si="25"/>
        <v>0</v>
      </c>
      <c r="AF60" s="140">
        <f t="shared" si="25"/>
        <v>0</v>
      </c>
      <c r="AG60" s="140">
        <f t="shared" si="25"/>
        <v>0</v>
      </c>
      <c r="AH60" s="140">
        <f t="shared" si="25"/>
        <v>0</v>
      </c>
      <c r="AI60" s="140">
        <f t="shared" si="25"/>
        <v>0</v>
      </c>
      <c r="AJ60" s="140">
        <f t="shared" si="25"/>
        <v>0</v>
      </c>
      <c r="AK60" s="140">
        <f t="shared" si="25"/>
        <v>0</v>
      </c>
      <c r="AL60" s="140">
        <f t="shared" si="25"/>
        <v>0</v>
      </c>
      <c r="AM60" s="140">
        <f t="shared" si="25"/>
        <v>0</v>
      </c>
      <c r="AN60" s="140">
        <f t="shared" si="25"/>
        <v>0</v>
      </c>
      <c r="AO60" s="140">
        <f t="shared" si="25"/>
        <v>0</v>
      </c>
      <c r="AP60" s="140">
        <f t="shared" si="23"/>
        <v>0</v>
      </c>
      <c r="AQ60" s="140">
        <f t="shared" si="23"/>
        <v>0</v>
      </c>
      <c r="AR60" s="140">
        <f t="shared" si="23"/>
        <v>0</v>
      </c>
      <c r="AS60" s="140">
        <f t="shared" si="23"/>
        <v>0</v>
      </c>
      <c r="AT60" s="140">
        <f t="shared" si="23"/>
        <v>0</v>
      </c>
      <c r="AU60" s="140">
        <f t="shared" si="23"/>
        <v>1</v>
      </c>
      <c r="AV60" s="140">
        <f t="shared" si="23"/>
        <v>0</v>
      </c>
      <c r="AW60" s="140">
        <f t="shared" si="23"/>
        <v>0</v>
      </c>
      <c r="AX60" s="140">
        <f t="shared" si="23"/>
        <v>0</v>
      </c>
      <c r="AY60" s="140">
        <f t="shared" si="19"/>
        <v>1</v>
      </c>
      <c r="AZ60" s="22" t="s">
        <v>155</v>
      </c>
    </row>
    <row r="61" spans="1:52">
      <c r="A61" s="140" t="s">
        <v>190</v>
      </c>
      <c r="B61" s="140">
        <f t="shared" si="27"/>
        <v>0</v>
      </c>
      <c r="C61" s="140">
        <f t="shared" si="27"/>
        <v>0</v>
      </c>
      <c r="D61" s="140">
        <f t="shared" si="27"/>
        <v>0</v>
      </c>
      <c r="E61" s="140">
        <f t="shared" si="27"/>
        <v>0</v>
      </c>
      <c r="F61" s="140">
        <f t="shared" si="27"/>
        <v>0</v>
      </c>
      <c r="G61" s="140">
        <f t="shared" si="27"/>
        <v>0</v>
      </c>
      <c r="H61" s="140">
        <f t="shared" si="27"/>
        <v>0</v>
      </c>
      <c r="I61" s="140">
        <f t="shared" si="27"/>
        <v>1</v>
      </c>
      <c r="J61" s="140">
        <f t="shared" si="27"/>
        <v>0</v>
      </c>
      <c r="K61" s="140">
        <f t="shared" si="27"/>
        <v>0</v>
      </c>
      <c r="L61" s="140">
        <f t="shared" si="27"/>
        <v>1</v>
      </c>
      <c r="M61" s="140">
        <f t="shared" si="27"/>
        <v>0</v>
      </c>
      <c r="N61" s="140">
        <f t="shared" si="27"/>
        <v>1</v>
      </c>
      <c r="O61" s="140">
        <f t="shared" si="27"/>
        <v>1</v>
      </c>
      <c r="P61" s="140">
        <f t="shared" si="27"/>
        <v>0</v>
      </c>
      <c r="Q61" s="140">
        <f t="shared" si="27"/>
        <v>0</v>
      </c>
      <c r="R61" s="140">
        <f t="shared" si="27"/>
        <v>0</v>
      </c>
      <c r="S61" s="140">
        <f t="shared" si="27"/>
        <v>1</v>
      </c>
      <c r="T61" s="140">
        <f t="shared" si="27"/>
        <v>1</v>
      </c>
      <c r="U61" s="140">
        <f t="shared" si="27"/>
        <v>0</v>
      </c>
      <c r="V61" s="140">
        <f t="shared" si="27"/>
        <v>1</v>
      </c>
      <c r="W61" s="140">
        <f t="shared" si="27"/>
        <v>1</v>
      </c>
      <c r="X61" s="140">
        <f t="shared" si="27"/>
        <v>0</v>
      </c>
      <c r="Y61" s="140">
        <f t="shared" si="27"/>
        <v>0</v>
      </c>
      <c r="AA61" s="140">
        <f t="shared" si="25"/>
        <v>0</v>
      </c>
      <c r="AB61" s="140">
        <f t="shared" si="25"/>
        <v>0</v>
      </c>
      <c r="AC61" s="140">
        <f t="shared" si="25"/>
        <v>0</v>
      </c>
      <c r="AD61" s="140">
        <f t="shared" si="25"/>
        <v>0</v>
      </c>
      <c r="AE61" s="140">
        <f t="shared" si="25"/>
        <v>0</v>
      </c>
      <c r="AF61" s="140">
        <f t="shared" si="25"/>
        <v>0</v>
      </c>
      <c r="AG61" s="140">
        <f t="shared" si="25"/>
        <v>0</v>
      </c>
      <c r="AH61" s="140">
        <f t="shared" si="25"/>
        <v>1</v>
      </c>
      <c r="AI61" s="140">
        <f t="shared" si="25"/>
        <v>0</v>
      </c>
      <c r="AJ61" s="140">
        <f t="shared" si="25"/>
        <v>0</v>
      </c>
      <c r="AK61" s="140">
        <f t="shared" si="25"/>
        <v>1</v>
      </c>
      <c r="AL61" s="140">
        <f t="shared" si="25"/>
        <v>0</v>
      </c>
      <c r="AM61" s="140">
        <f t="shared" si="25"/>
        <v>1</v>
      </c>
      <c r="AN61" s="140">
        <f t="shared" si="25"/>
        <v>1</v>
      </c>
      <c r="AO61" s="140">
        <f t="shared" si="25"/>
        <v>0</v>
      </c>
      <c r="AP61" s="140">
        <f t="shared" si="23"/>
        <v>0</v>
      </c>
      <c r="AQ61" s="140">
        <f t="shared" si="23"/>
        <v>0</v>
      </c>
      <c r="AR61" s="140">
        <f t="shared" si="23"/>
        <v>0.25</v>
      </c>
      <c r="AS61" s="140">
        <f t="shared" si="23"/>
        <v>0.5</v>
      </c>
      <c r="AT61" s="140">
        <f t="shared" si="23"/>
        <v>0</v>
      </c>
      <c r="AU61" s="140">
        <f t="shared" si="23"/>
        <v>1</v>
      </c>
      <c r="AV61" s="140">
        <f t="shared" si="23"/>
        <v>0.33333333333333331</v>
      </c>
      <c r="AW61" s="140">
        <f t="shared" si="23"/>
        <v>0</v>
      </c>
      <c r="AX61" s="140">
        <f t="shared" si="23"/>
        <v>0</v>
      </c>
      <c r="AY61" s="140">
        <f t="shared" si="19"/>
        <v>6.083333333333333</v>
      </c>
      <c r="AZ61" s="22" t="s">
        <v>155</v>
      </c>
    </row>
    <row r="62" spans="1:52">
      <c r="A62" s="140" t="s">
        <v>191</v>
      </c>
      <c r="B62" s="140">
        <f t="shared" si="27"/>
        <v>0</v>
      </c>
      <c r="C62" s="140">
        <f t="shared" si="27"/>
        <v>0</v>
      </c>
      <c r="D62" s="140">
        <f t="shared" si="27"/>
        <v>0</v>
      </c>
      <c r="E62" s="140">
        <f t="shared" si="27"/>
        <v>0</v>
      </c>
      <c r="F62" s="140">
        <f t="shared" si="27"/>
        <v>0</v>
      </c>
      <c r="G62" s="140">
        <f t="shared" si="27"/>
        <v>0</v>
      </c>
      <c r="H62" s="140">
        <f t="shared" si="27"/>
        <v>0</v>
      </c>
      <c r="I62" s="140">
        <f t="shared" si="27"/>
        <v>0</v>
      </c>
      <c r="J62" s="140">
        <f t="shared" si="27"/>
        <v>0</v>
      </c>
      <c r="K62" s="140">
        <f t="shared" si="27"/>
        <v>0</v>
      </c>
      <c r="L62" s="140">
        <f t="shared" si="27"/>
        <v>0</v>
      </c>
      <c r="M62" s="140">
        <f t="shared" si="27"/>
        <v>0</v>
      </c>
      <c r="N62" s="140">
        <f t="shared" si="27"/>
        <v>0</v>
      </c>
      <c r="O62" s="140">
        <f t="shared" si="27"/>
        <v>0</v>
      </c>
      <c r="P62" s="140">
        <f t="shared" si="27"/>
        <v>0</v>
      </c>
      <c r="Q62" s="140">
        <f t="shared" si="27"/>
        <v>0</v>
      </c>
      <c r="R62" s="140">
        <f t="shared" si="27"/>
        <v>0</v>
      </c>
      <c r="S62" s="140">
        <f t="shared" si="27"/>
        <v>1</v>
      </c>
      <c r="T62" s="140">
        <f t="shared" si="27"/>
        <v>0</v>
      </c>
      <c r="U62" s="140">
        <f t="shared" si="27"/>
        <v>0</v>
      </c>
      <c r="V62" s="140">
        <f t="shared" si="27"/>
        <v>0</v>
      </c>
      <c r="W62" s="140">
        <f t="shared" si="27"/>
        <v>0</v>
      </c>
      <c r="X62" s="140">
        <f t="shared" si="27"/>
        <v>0</v>
      </c>
      <c r="Y62" s="140">
        <f t="shared" si="27"/>
        <v>0</v>
      </c>
      <c r="AA62" s="140">
        <f t="shared" si="25"/>
        <v>0</v>
      </c>
      <c r="AB62" s="140">
        <f t="shared" si="25"/>
        <v>0</v>
      </c>
      <c r="AC62" s="140">
        <f t="shared" si="25"/>
        <v>0</v>
      </c>
      <c r="AD62" s="140">
        <f t="shared" si="25"/>
        <v>0</v>
      </c>
      <c r="AE62" s="140">
        <f t="shared" si="25"/>
        <v>0</v>
      </c>
      <c r="AF62" s="140">
        <f t="shared" si="25"/>
        <v>0</v>
      </c>
      <c r="AG62" s="140">
        <f t="shared" si="25"/>
        <v>0</v>
      </c>
      <c r="AH62" s="140">
        <f t="shared" si="25"/>
        <v>0</v>
      </c>
      <c r="AI62" s="140">
        <f t="shared" si="25"/>
        <v>0</v>
      </c>
      <c r="AJ62" s="140">
        <f t="shared" si="25"/>
        <v>0</v>
      </c>
      <c r="AK62" s="140">
        <f t="shared" si="25"/>
        <v>0</v>
      </c>
      <c r="AL62" s="140">
        <f t="shared" si="25"/>
        <v>0</v>
      </c>
      <c r="AM62" s="140">
        <f t="shared" si="25"/>
        <v>0</v>
      </c>
      <c r="AN62" s="140">
        <f t="shared" si="25"/>
        <v>0</v>
      </c>
      <c r="AO62" s="140">
        <f t="shared" si="25"/>
        <v>0</v>
      </c>
      <c r="AP62" s="140">
        <f t="shared" si="23"/>
        <v>0</v>
      </c>
      <c r="AQ62" s="140">
        <f t="shared" si="23"/>
        <v>0</v>
      </c>
      <c r="AR62" s="140">
        <f t="shared" si="23"/>
        <v>1</v>
      </c>
      <c r="AS62" s="140">
        <f t="shared" si="23"/>
        <v>0</v>
      </c>
      <c r="AT62" s="140">
        <f t="shared" si="23"/>
        <v>0</v>
      </c>
      <c r="AU62" s="140">
        <f t="shared" si="23"/>
        <v>0</v>
      </c>
      <c r="AV62" s="140">
        <f t="shared" si="23"/>
        <v>0</v>
      </c>
      <c r="AW62" s="140">
        <f t="shared" si="23"/>
        <v>0</v>
      </c>
      <c r="AX62" s="140">
        <f t="shared" si="23"/>
        <v>0</v>
      </c>
      <c r="AY62" s="140">
        <f t="shared" si="19"/>
        <v>1</v>
      </c>
      <c r="AZ62" s="22" t="s">
        <v>155</v>
      </c>
    </row>
    <row r="63" spans="1:52">
      <c r="A63" s="140" t="s">
        <v>192</v>
      </c>
      <c r="B63" s="140">
        <f t="shared" si="27"/>
        <v>0</v>
      </c>
      <c r="C63" s="140">
        <f t="shared" si="27"/>
        <v>0</v>
      </c>
      <c r="D63" s="140">
        <f t="shared" si="27"/>
        <v>0</v>
      </c>
      <c r="E63" s="140">
        <f t="shared" si="27"/>
        <v>0</v>
      </c>
      <c r="F63" s="140">
        <f t="shared" si="27"/>
        <v>0</v>
      </c>
      <c r="G63" s="140">
        <f t="shared" si="27"/>
        <v>0</v>
      </c>
      <c r="H63" s="140">
        <f t="shared" si="27"/>
        <v>0</v>
      </c>
      <c r="I63" s="140">
        <f t="shared" si="27"/>
        <v>0</v>
      </c>
      <c r="J63" s="140">
        <f t="shared" si="27"/>
        <v>0</v>
      </c>
      <c r="K63" s="140">
        <f t="shared" si="27"/>
        <v>0</v>
      </c>
      <c r="L63" s="140">
        <f t="shared" si="27"/>
        <v>0</v>
      </c>
      <c r="M63" s="140">
        <f t="shared" si="27"/>
        <v>0</v>
      </c>
      <c r="N63" s="140">
        <f t="shared" si="27"/>
        <v>1</v>
      </c>
      <c r="O63" s="140">
        <f t="shared" si="27"/>
        <v>0</v>
      </c>
      <c r="P63" s="140">
        <f t="shared" si="27"/>
        <v>0</v>
      </c>
      <c r="Q63" s="140">
        <f t="shared" si="27"/>
        <v>0</v>
      </c>
      <c r="R63" s="140">
        <f t="shared" si="27"/>
        <v>1</v>
      </c>
      <c r="S63" s="140">
        <f t="shared" si="27"/>
        <v>1</v>
      </c>
      <c r="T63" s="140">
        <f t="shared" si="27"/>
        <v>0</v>
      </c>
      <c r="U63" s="140">
        <f t="shared" si="27"/>
        <v>0</v>
      </c>
      <c r="V63" s="140">
        <f t="shared" si="27"/>
        <v>0</v>
      </c>
      <c r="W63" s="140">
        <f t="shared" si="27"/>
        <v>0</v>
      </c>
      <c r="X63" s="140">
        <f t="shared" si="27"/>
        <v>0</v>
      </c>
      <c r="Y63" s="140">
        <f t="shared" si="27"/>
        <v>0</v>
      </c>
      <c r="AA63" s="140">
        <f t="shared" si="25"/>
        <v>0</v>
      </c>
      <c r="AB63" s="140">
        <f t="shared" si="25"/>
        <v>0</v>
      </c>
      <c r="AC63" s="140">
        <f t="shared" si="25"/>
        <v>0</v>
      </c>
      <c r="AD63" s="140">
        <f t="shared" si="25"/>
        <v>0</v>
      </c>
      <c r="AE63" s="140">
        <f t="shared" si="25"/>
        <v>0</v>
      </c>
      <c r="AF63" s="140">
        <f t="shared" si="25"/>
        <v>0</v>
      </c>
      <c r="AG63" s="140">
        <f t="shared" si="25"/>
        <v>0</v>
      </c>
      <c r="AH63" s="140">
        <f t="shared" si="25"/>
        <v>0</v>
      </c>
      <c r="AI63" s="140">
        <f t="shared" si="25"/>
        <v>0</v>
      </c>
      <c r="AJ63" s="140">
        <f t="shared" si="25"/>
        <v>0</v>
      </c>
      <c r="AK63" s="140">
        <f t="shared" si="25"/>
        <v>0</v>
      </c>
      <c r="AL63" s="140">
        <f t="shared" si="25"/>
        <v>0</v>
      </c>
      <c r="AM63" s="140">
        <f t="shared" si="25"/>
        <v>1</v>
      </c>
      <c r="AN63" s="140">
        <f t="shared" si="25"/>
        <v>0</v>
      </c>
      <c r="AO63" s="140">
        <f t="shared" si="25"/>
        <v>0</v>
      </c>
      <c r="AP63" s="140">
        <f t="shared" si="23"/>
        <v>0</v>
      </c>
      <c r="AQ63" s="140">
        <f t="shared" si="23"/>
        <v>1</v>
      </c>
      <c r="AR63" s="140">
        <f t="shared" si="23"/>
        <v>1</v>
      </c>
      <c r="AS63" s="140">
        <f t="shared" si="23"/>
        <v>0</v>
      </c>
      <c r="AT63" s="140">
        <f t="shared" si="23"/>
        <v>0</v>
      </c>
      <c r="AU63" s="140">
        <f t="shared" si="23"/>
        <v>0</v>
      </c>
      <c r="AV63" s="140">
        <f t="shared" si="23"/>
        <v>0</v>
      </c>
      <c r="AW63" s="140">
        <f t="shared" si="23"/>
        <v>0</v>
      </c>
      <c r="AX63" s="140">
        <f t="shared" si="23"/>
        <v>0</v>
      </c>
      <c r="AY63" s="140">
        <f t="shared" si="19"/>
        <v>3</v>
      </c>
      <c r="AZ63" s="22" t="s">
        <v>155</v>
      </c>
    </row>
    <row r="64" spans="1:52">
      <c r="A64" s="140" t="s">
        <v>193</v>
      </c>
      <c r="B64" s="140">
        <f t="shared" si="27"/>
        <v>0</v>
      </c>
      <c r="C64" s="140">
        <f t="shared" si="27"/>
        <v>0</v>
      </c>
      <c r="D64" s="140">
        <f t="shared" si="27"/>
        <v>0</v>
      </c>
      <c r="E64" s="140">
        <f t="shared" si="27"/>
        <v>0</v>
      </c>
      <c r="F64" s="140">
        <f t="shared" si="27"/>
        <v>0</v>
      </c>
      <c r="G64" s="140">
        <f t="shared" si="27"/>
        <v>0</v>
      </c>
      <c r="H64" s="140">
        <f t="shared" si="27"/>
        <v>0</v>
      </c>
      <c r="I64" s="140">
        <f t="shared" si="27"/>
        <v>0</v>
      </c>
      <c r="J64" s="140">
        <f t="shared" si="27"/>
        <v>0</v>
      </c>
      <c r="K64" s="140">
        <f t="shared" si="27"/>
        <v>0</v>
      </c>
      <c r="L64" s="140">
        <f t="shared" si="27"/>
        <v>0</v>
      </c>
      <c r="M64" s="140">
        <f t="shared" si="27"/>
        <v>0</v>
      </c>
      <c r="N64" s="140">
        <f t="shared" si="27"/>
        <v>0</v>
      </c>
      <c r="O64" s="140">
        <f t="shared" si="27"/>
        <v>0</v>
      </c>
      <c r="P64" s="140">
        <f t="shared" si="27"/>
        <v>0</v>
      </c>
      <c r="Q64" s="140">
        <f t="shared" si="27"/>
        <v>0</v>
      </c>
      <c r="R64" s="140">
        <f t="shared" si="27"/>
        <v>0</v>
      </c>
      <c r="S64" s="140">
        <f t="shared" si="27"/>
        <v>0</v>
      </c>
      <c r="T64" s="140">
        <f t="shared" si="27"/>
        <v>0</v>
      </c>
      <c r="U64" s="140">
        <f t="shared" si="27"/>
        <v>0</v>
      </c>
      <c r="V64" s="140">
        <f t="shared" si="27"/>
        <v>1</v>
      </c>
      <c r="W64" s="140">
        <f t="shared" si="27"/>
        <v>0</v>
      </c>
      <c r="X64" s="140">
        <f t="shared" si="27"/>
        <v>0</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0</v>
      </c>
      <c r="AI64" s="140">
        <f t="shared" si="25"/>
        <v>0</v>
      </c>
      <c r="AJ64" s="140">
        <f t="shared" si="25"/>
        <v>0</v>
      </c>
      <c r="AK64" s="140">
        <f t="shared" si="25"/>
        <v>0</v>
      </c>
      <c r="AL64" s="140">
        <f t="shared" si="25"/>
        <v>0</v>
      </c>
      <c r="AM64" s="140">
        <f t="shared" si="25"/>
        <v>0</v>
      </c>
      <c r="AN64" s="140">
        <f t="shared" si="25"/>
        <v>0</v>
      </c>
      <c r="AO64" s="140">
        <f t="shared" si="25"/>
        <v>0</v>
      </c>
      <c r="AP64" s="140">
        <f t="shared" si="25"/>
        <v>0</v>
      </c>
      <c r="AQ64" s="140">
        <f t="shared" ref="AQ64:AX68" si="28">IF(R64=0,0,R64/AQ31)</f>
        <v>0</v>
      </c>
      <c r="AR64" s="140">
        <f t="shared" si="28"/>
        <v>0</v>
      </c>
      <c r="AS64" s="140">
        <f t="shared" si="28"/>
        <v>0</v>
      </c>
      <c r="AT64" s="140">
        <f t="shared" si="28"/>
        <v>0</v>
      </c>
      <c r="AU64" s="140">
        <f t="shared" si="28"/>
        <v>1</v>
      </c>
      <c r="AV64" s="140">
        <f t="shared" si="28"/>
        <v>0</v>
      </c>
      <c r="AW64" s="140">
        <f t="shared" si="28"/>
        <v>0</v>
      </c>
      <c r="AX64" s="140">
        <f t="shared" si="28"/>
        <v>0</v>
      </c>
      <c r="AY64" s="140">
        <f t="shared" si="19"/>
        <v>1</v>
      </c>
      <c r="AZ64" s="22" t="s">
        <v>155</v>
      </c>
    </row>
    <row r="65" spans="1:52">
      <c r="A65" s="140" t="s">
        <v>194</v>
      </c>
      <c r="B65" s="140">
        <f t="shared" si="27"/>
        <v>0</v>
      </c>
      <c r="C65" s="140">
        <f t="shared" si="27"/>
        <v>0</v>
      </c>
      <c r="D65" s="140">
        <f t="shared" si="27"/>
        <v>0</v>
      </c>
      <c r="E65" s="140">
        <f t="shared" si="27"/>
        <v>0</v>
      </c>
      <c r="F65" s="140">
        <f t="shared" si="27"/>
        <v>0</v>
      </c>
      <c r="G65" s="140">
        <f t="shared" si="27"/>
        <v>0</v>
      </c>
      <c r="H65" s="140">
        <f t="shared" si="27"/>
        <v>0</v>
      </c>
      <c r="I65" s="140">
        <f t="shared" si="27"/>
        <v>0</v>
      </c>
      <c r="J65" s="140">
        <f t="shared" si="27"/>
        <v>0</v>
      </c>
      <c r="K65" s="140">
        <f t="shared" si="27"/>
        <v>0</v>
      </c>
      <c r="L65" s="140">
        <f t="shared" si="27"/>
        <v>0</v>
      </c>
      <c r="M65" s="140">
        <f t="shared" si="27"/>
        <v>0</v>
      </c>
      <c r="N65" s="140">
        <f t="shared" si="27"/>
        <v>0</v>
      </c>
      <c r="O65" s="140">
        <f t="shared" si="27"/>
        <v>0</v>
      </c>
      <c r="P65" s="140">
        <f t="shared" si="27"/>
        <v>0</v>
      </c>
      <c r="Q65" s="140">
        <f t="shared" si="27"/>
        <v>0</v>
      </c>
      <c r="R65" s="140">
        <f t="shared" si="27"/>
        <v>0</v>
      </c>
      <c r="S65" s="140">
        <f t="shared" si="27"/>
        <v>0</v>
      </c>
      <c r="T65" s="140">
        <f t="shared" si="27"/>
        <v>0</v>
      </c>
      <c r="U65" s="140">
        <f t="shared" si="27"/>
        <v>0</v>
      </c>
      <c r="V65" s="140">
        <f t="shared" si="27"/>
        <v>1</v>
      </c>
      <c r="W65" s="140">
        <f t="shared" si="27"/>
        <v>0</v>
      </c>
      <c r="X65" s="140">
        <f t="shared" si="27"/>
        <v>0</v>
      </c>
      <c r="Y65" s="140">
        <f t="shared" si="27"/>
        <v>0</v>
      </c>
      <c r="AA65" s="140">
        <f t="shared" ref="AA65:AP68" si="29">IF(B65=0,0,B65/AA32)</f>
        <v>0</v>
      </c>
      <c r="AB65" s="140">
        <f t="shared" si="29"/>
        <v>0</v>
      </c>
      <c r="AC65" s="140">
        <f t="shared" si="29"/>
        <v>0</v>
      </c>
      <c r="AD65" s="140">
        <f t="shared" si="29"/>
        <v>0</v>
      </c>
      <c r="AE65" s="140">
        <f t="shared" si="29"/>
        <v>0</v>
      </c>
      <c r="AF65" s="140">
        <f t="shared" si="29"/>
        <v>0</v>
      </c>
      <c r="AG65" s="140">
        <f t="shared" si="29"/>
        <v>0</v>
      </c>
      <c r="AH65" s="140">
        <f t="shared" si="29"/>
        <v>0</v>
      </c>
      <c r="AI65" s="140">
        <f t="shared" si="29"/>
        <v>0</v>
      </c>
      <c r="AJ65" s="140">
        <f t="shared" si="29"/>
        <v>0</v>
      </c>
      <c r="AK65" s="140">
        <f t="shared" si="29"/>
        <v>0</v>
      </c>
      <c r="AL65" s="140">
        <f t="shared" si="29"/>
        <v>0</v>
      </c>
      <c r="AM65" s="140">
        <f t="shared" si="29"/>
        <v>0</v>
      </c>
      <c r="AN65" s="140">
        <f t="shared" si="29"/>
        <v>0</v>
      </c>
      <c r="AO65" s="140">
        <f t="shared" si="29"/>
        <v>0</v>
      </c>
      <c r="AP65" s="140">
        <f t="shared" si="29"/>
        <v>0</v>
      </c>
      <c r="AQ65" s="140">
        <f t="shared" si="28"/>
        <v>0</v>
      </c>
      <c r="AR65" s="140">
        <f t="shared" si="28"/>
        <v>0</v>
      </c>
      <c r="AS65" s="140">
        <f t="shared" si="28"/>
        <v>0</v>
      </c>
      <c r="AT65" s="140">
        <f t="shared" si="28"/>
        <v>0</v>
      </c>
      <c r="AU65" s="140">
        <f t="shared" si="28"/>
        <v>1</v>
      </c>
      <c r="AV65" s="140">
        <f t="shared" si="28"/>
        <v>0</v>
      </c>
      <c r="AW65" s="140">
        <f t="shared" si="28"/>
        <v>0</v>
      </c>
      <c r="AX65" s="140">
        <f t="shared" si="28"/>
        <v>0</v>
      </c>
      <c r="AY65" s="140">
        <f t="shared" si="19"/>
        <v>1</v>
      </c>
      <c r="AZ65" s="22" t="s">
        <v>155</v>
      </c>
    </row>
    <row r="66" spans="1:52">
      <c r="A66" s="140" t="s">
        <v>195</v>
      </c>
      <c r="B66" s="140">
        <f t="shared" si="27"/>
        <v>0</v>
      </c>
      <c r="C66" s="140">
        <f t="shared" si="27"/>
        <v>0</v>
      </c>
      <c r="D66" s="140">
        <f t="shared" si="27"/>
        <v>0</v>
      </c>
      <c r="E66" s="140">
        <f t="shared" si="27"/>
        <v>0</v>
      </c>
      <c r="F66" s="140">
        <f t="shared" si="27"/>
        <v>0</v>
      </c>
      <c r="G66" s="140">
        <f t="shared" si="27"/>
        <v>0</v>
      </c>
      <c r="H66" s="140">
        <f t="shared" si="27"/>
        <v>0</v>
      </c>
      <c r="I66" s="140">
        <f t="shared" si="27"/>
        <v>0</v>
      </c>
      <c r="J66" s="140">
        <f t="shared" si="27"/>
        <v>0</v>
      </c>
      <c r="K66" s="140">
        <f t="shared" si="27"/>
        <v>0</v>
      </c>
      <c r="L66" s="140">
        <f t="shared" si="27"/>
        <v>0</v>
      </c>
      <c r="M66" s="140">
        <f t="shared" si="27"/>
        <v>0</v>
      </c>
      <c r="N66" s="140">
        <f t="shared" si="27"/>
        <v>0</v>
      </c>
      <c r="O66" s="140">
        <f t="shared" si="27"/>
        <v>0</v>
      </c>
      <c r="P66" s="140">
        <f t="shared" si="27"/>
        <v>0</v>
      </c>
      <c r="Q66" s="140">
        <f t="shared" si="27"/>
        <v>0</v>
      </c>
      <c r="R66" s="140">
        <f t="shared" si="27"/>
        <v>0</v>
      </c>
      <c r="S66" s="140">
        <f t="shared" si="27"/>
        <v>0</v>
      </c>
      <c r="T66" s="140">
        <f t="shared" si="27"/>
        <v>0</v>
      </c>
      <c r="U66" s="140">
        <f t="shared" si="27"/>
        <v>0</v>
      </c>
      <c r="V66" s="140">
        <f t="shared" si="27"/>
        <v>1</v>
      </c>
      <c r="W66" s="140">
        <f t="shared" si="27"/>
        <v>1</v>
      </c>
      <c r="X66" s="140">
        <f t="shared" si="27"/>
        <v>0</v>
      </c>
      <c r="Y66" s="140">
        <f t="shared" si="27"/>
        <v>0</v>
      </c>
      <c r="AA66" s="140">
        <f t="shared" si="29"/>
        <v>0</v>
      </c>
      <c r="AB66" s="140">
        <f t="shared" si="29"/>
        <v>0</v>
      </c>
      <c r="AC66" s="140">
        <f t="shared" si="29"/>
        <v>0</v>
      </c>
      <c r="AD66" s="140">
        <f t="shared" si="29"/>
        <v>0</v>
      </c>
      <c r="AE66" s="140">
        <f t="shared" si="29"/>
        <v>0</v>
      </c>
      <c r="AF66" s="140">
        <f t="shared" si="29"/>
        <v>0</v>
      </c>
      <c r="AG66" s="140">
        <f t="shared" si="29"/>
        <v>0</v>
      </c>
      <c r="AH66" s="140">
        <f t="shared" si="29"/>
        <v>0</v>
      </c>
      <c r="AI66" s="140">
        <f t="shared" si="29"/>
        <v>0</v>
      </c>
      <c r="AJ66" s="140">
        <f t="shared" si="29"/>
        <v>0</v>
      </c>
      <c r="AK66" s="140">
        <f t="shared" si="29"/>
        <v>0</v>
      </c>
      <c r="AL66" s="140">
        <f t="shared" si="29"/>
        <v>0</v>
      </c>
      <c r="AM66" s="140">
        <f t="shared" si="29"/>
        <v>0</v>
      </c>
      <c r="AN66" s="140">
        <f t="shared" si="29"/>
        <v>0</v>
      </c>
      <c r="AO66" s="140">
        <f t="shared" si="29"/>
        <v>0</v>
      </c>
      <c r="AP66" s="140">
        <f t="shared" si="29"/>
        <v>0</v>
      </c>
      <c r="AQ66" s="140">
        <f t="shared" si="28"/>
        <v>0</v>
      </c>
      <c r="AR66" s="140">
        <f t="shared" si="28"/>
        <v>0</v>
      </c>
      <c r="AS66" s="140">
        <f t="shared" si="28"/>
        <v>0</v>
      </c>
      <c r="AT66" s="140">
        <f t="shared" si="28"/>
        <v>0</v>
      </c>
      <c r="AU66" s="140">
        <f t="shared" si="28"/>
        <v>1</v>
      </c>
      <c r="AV66" s="140">
        <f t="shared" si="28"/>
        <v>1</v>
      </c>
      <c r="AW66" s="140">
        <f t="shared" si="28"/>
        <v>0</v>
      </c>
      <c r="AX66" s="140">
        <f t="shared" si="28"/>
        <v>0</v>
      </c>
      <c r="AY66" s="140">
        <f t="shared" si="19"/>
        <v>2</v>
      </c>
      <c r="AZ66" s="22" t="s">
        <v>155</v>
      </c>
    </row>
    <row r="67" spans="1:52">
      <c r="A67" s="140" t="s">
        <v>196</v>
      </c>
      <c r="B67" s="140">
        <f t="shared" si="27"/>
        <v>0</v>
      </c>
      <c r="C67" s="140">
        <f t="shared" si="27"/>
        <v>0</v>
      </c>
      <c r="D67" s="140">
        <f t="shared" si="27"/>
        <v>0</v>
      </c>
      <c r="E67" s="140">
        <f t="shared" si="27"/>
        <v>0</v>
      </c>
      <c r="F67" s="140">
        <f t="shared" si="27"/>
        <v>0</v>
      </c>
      <c r="G67" s="140">
        <f t="shared" si="27"/>
        <v>0</v>
      </c>
      <c r="H67" s="140">
        <f t="shared" si="27"/>
        <v>0</v>
      </c>
      <c r="I67" s="140">
        <f t="shared" si="27"/>
        <v>0</v>
      </c>
      <c r="J67" s="140">
        <f t="shared" si="27"/>
        <v>0</v>
      </c>
      <c r="K67" s="140">
        <f t="shared" si="27"/>
        <v>0</v>
      </c>
      <c r="L67" s="140">
        <f t="shared" si="27"/>
        <v>0</v>
      </c>
      <c r="M67" s="140">
        <f t="shared" si="27"/>
        <v>0</v>
      </c>
      <c r="N67" s="140">
        <f t="shared" si="27"/>
        <v>0</v>
      </c>
      <c r="O67" s="140">
        <f t="shared" si="27"/>
        <v>0</v>
      </c>
      <c r="P67" s="140">
        <f t="shared" si="27"/>
        <v>0</v>
      </c>
      <c r="Q67" s="140">
        <f t="shared" si="27"/>
        <v>0</v>
      </c>
      <c r="R67" s="140">
        <f t="shared" si="27"/>
        <v>0</v>
      </c>
      <c r="S67" s="140">
        <f t="shared" si="27"/>
        <v>1</v>
      </c>
      <c r="T67" s="140">
        <f t="shared" si="27"/>
        <v>0</v>
      </c>
      <c r="U67" s="140">
        <f t="shared" si="27"/>
        <v>1</v>
      </c>
      <c r="V67" s="140">
        <f t="shared" si="27"/>
        <v>0</v>
      </c>
      <c r="W67" s="140">
        <f t="shared" si="27"/>
        <v>0</v>
      </c>
      <c r="X67" s="140">
        <f t="shared" si="27"/>
        <v>1</v>
      </c>
      <c r="Y67" s="140">
        <f t="shared" si="27"/>
        <v>0</v>
      </c>
      <c r="AA67" s="140">
        <f t="shared" si="29"/>
        <v>0</v>
      </c>
      <c r="AB67" s="140">
        <f t="shared" si="29"/>
        <v>0</v>
      </c>
      <c r="AC67" s="140">
        <f t="shared" si="29"/>
        <v>0</v>
      </c>
      <c r="AD67" s="140">
        <f t="shared" si="29"/>
        <v>0</v>
      </c>
      <c r="AE67" s="140">
        <f t="shared" si="29"/>
        <v>0</v>
      </c>
      <c r="AF67" s="140">
        <f t="shared" si="29"/>
        <v>0</v>
      </c>
      <c r="AG67" s="140">
        <f t="shared" si="29"/>
        <v>0</v>
      </c>
      <c r="AH67" s="140">
        <f t="shared" si="29"/>
        <v>0</v>
      </c>
      <c r="AI67" s="140">
        <f t="shared" si="29"/>
        <v>0</v>
      </c>
      <c r="AJ67" s="140">
        <f t="shared" si="29"/>
        <v>0</v>
      </c>
      <c r="AK67" s="140">
        <f t="shared" si="29"/>
        <v>0</v>
      </c>
      <c r="AL67" s="140">
        <f t="shared" si="29"/>
        <v>0</v>
      </c>
      <c r="AM67" s="140">
        <f t="shared" si="29"/>
        <v>0</v>
      </c>
      <c r="AN67" s="140">
        <f t="shared" si="29"/>
        <v>0</v>
      </c>
      <c r="AO67" s="140">
        <f t="shared" si="29"/>
        <v>0</v>
      </c>
      <c r="AP67" s="140">
        <f t="shared" si="29"/>
        <v>0</v>
      </c>
      <c r="AQ67" s="140">
        <f t="shared" si="28"/>
        <v>0</v>
      </c>
      <c r="AR67" s="140">
        <f t="shared" si="28"/>
        <v>1</v>
      </c>
      <c r="AS67" s="140">
        <f t="shared" si="28"/>
        <v>0</v>
      </c>
      <c r="AT67" s="140">
        <f t="shared" si="28"/>
        <v>1</v>
      </c>
      <c r="AU67" s="140">
        <f t="shared" si="28"/>
        <v>0</v>
      </c>
      <c r="AV67" s="140">
        <f t="shared" si="28"/>
        <v>0</v>
      </c>
      <c r="AW67" s="140">
        <f t="shared" si="28"/>
        <v>1</v>
      </c>
      <c r="AX67" s="140">
        <f t="shared" si="28"/>
        <v>0</v>
      </c>
      <c r="AY67" s="140">
        <f t="shared" si="19"/>
        <v>3</v>
      </c>
      <c r="AZ67" s="22" t="s">
        <v>155</v>
      </c>
    </row>
    <row r="68" spans="1:52">
      <c r="A68" s="140" t="s">
        <v>197</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1</v>
      </c>
      <c r="V68" s="140">
        <f t="shared" si="27"/>
        <v>0</v>
      </c>
      <c r="W68" s="140">
        <f t="shared" si="27"/>
        <v>0</v>
      </c>
      <c r="X68" s="140">
        <f t="shared" si="27"/>
        <v>0</v>
      </c>
      <c r="Y68" s="140">
        <f t="shared" si="27"/>
        <v>0</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0.33333333333333331</v>
      </c>
      <c r="AU68" s="140">
        <f t="shared" si="28"/>
        <v>0</v>
      </c>
      <c r="AV68" s="140">
        <f t="shared" si="28"/>
        <v>0</v>
      </c>
      <c r="AW68" s="140">
        <f t="shared" si="28"/>
        <v>0</v>
      </c>
      <c r="AX68" s="140">
        <f t="shared" si="28"/>
        <v>0</v>
      </c>
      <c r="AY68" s="140">
        <f t="shared" si="19"/>
        <v>0.33333333333333331</v>
      </c>
      <c r="AZ68" s="22" t="s">
        <v>155</v>
      </c>
    </row>
    <row r="70" spans="1:52">
      <c r="A70" s="157" t="s">
        <v>156</v>
      </c>
    </row>
    <row r="71" spans="1:52">
      <c r="A71" s="140" t="s">
        <v>167</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156</v>
      </c>
    </row>
    <row r="72" spans="1:52">
      <c r="A72" s="140" t="s">
        <v>168</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156</v>
      </c>
    </row>
    <row r="73" spans="1:52">
      <c r="A73" s="140" t="s">
        <v>169</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156</v>
      </c>
    </row>
    <row r="74" spans="1:52">
      <c r="A74" s="140" t="s">
        <v>170</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156</v>
      </c>
    </row>
    <row r="75" spans="1:52">
      <c r="A75" s="140" t="s">
        <v>171</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156</v>
      </c>
    </row>
    <row r="76" spans="1:52">
      <c r="A76" s="140" t="s">
        <v>172</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156</v>
      </c>
    </row>
    <row r="77" spans="1:52">
      <c r="A77" s="140" t="s">
        <v>173</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156</v>
      </c>
    </row>
    <row r="78" spans="1:52">
      <c r="A78" s="140" t="s">
        <v>174</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156</v>
      </c>
    </row>
    <row r="79" spans="1:52">
      <c r="A79" s="140" t="s">
        <v>175</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156</v>
      </c>
    </row>
    <row r="80" spans="1:52">
      <c r="A80" s="140" t="s">
        <v>176</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156</v>
      </c>
    </row>
    <row r="81" spans="1:52">
      <c r="A81" s="140" t="s">
        <v>177</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156</v>
      </c>
    </row>
    <row r="82" spans="1:52">
      <c r="A82" s="140" t="s">
        <v>178</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156</v>
      </c>
    </row>
    <row r="83" spans="1:52">
      <c r="A83" s="140" t="s">
        <v>179</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156</v>
      </c>
    </row>
    <row r="84" spans="1:52">
      <c r="A84" s="140" t="s">
        <v>180</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156</v>
      </c>
    </row>
    <row r="85" spans="1:52">
      <c r="A85" s="140" t="s">
        <v>181</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156</v>
      </c>
    </row>
    <row r="86" spans="1:52">
      <c r="A86" s="140" t="s">
        <v>182</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156</v>
      </c>
    </row>
    <row r="87" spans="1:52">
      <c r="A87" s="140" t="s">
        <v>183</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156</v>
      </c>
    </row>
    <row r="88" spans="1:52">
      <c r="A88" s="140" t="s">
        <v>184</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156</v>
      </c>
    </row>
    <row r="89" spans="1:52">
      <c r="A89" s="140" t="s">
        <v>185</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156</v>
      </c>
    </row>
    <row r="90" spans="1:52">
      <c r="A90" s="140" t="s">
        <v>186</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156</v>
      </c>
    </row>
    <row r="91" spans="1:52">
      <c r="A91" s="140" t="s">
        <v>187</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156</v>
      </c>
    </row>
    <row r="92" spans="1:52">
      <c r="A92" s="140" t="s">
        <v>188</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156</v>
      </c>
    </row>
    <row r="93" spans="1:52">
      <c r="A93" s="140" t="s">
        <v>189</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156</v>
      </c>
    </row>
    <row r="94" spans="1:52">
      <c r="A94" s="140" t="s">
        <v>190</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156</v>
      </c>
    </row>
    <row r="95" spans="1:52">
      <c r="A95" s="140" t="s">
        <v>191</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156</v>
      </c>
    </row>
    <row r="96" spans="1:52">
      <c r="A96" s="140" t="s">
        <v>192</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156</v>
      </c>
    </row>
    <row r="97" spans="1:52">
      <c r="A97" s="140" t="s">
        <v>193</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156</v>
      </c>
    </row>
    <row r="98" spans="1:52">
      <c r="A98" s="140" t="s">
        <v>194</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156</v>
      </c>
    </row>
    <row r="99" spans="1:52">
      <c r="A99" s="140" t="s">
        <v>195</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156</v>
      </c>
    </row>
    <row r="100" spans="1:52">
      <c r="A100" s="140" t="s">
        <v>196</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156</v>
      </c>
    </row>
    <row r="101" spans="1:52">
      <c r="A101" s="140" t="s">
        <v>197</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156</v>
      </c>
    </row>
    <row r="103" spans="1:52">
      <c r="A103" s="157" t="s">
        <v>157</v>
      </c>
    </row>
    <row r="104" spans="1:52">
      <c r="A104" s="140" t="s">
        <v>167</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157</v>
      </c>
    </row>
    <row r="105" spans="1:52">
      <c r="A105" s="140" t="s">
        <v>168</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157</v>
      </c>
    </row>
    <row r="106" spans="1:52">
      <c r="A106" s="140" t="s">
        <v>169</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157</v>
      </c>
    </row>
    <row r="107" spans="1:52">
      <c r="A107" s="140" t="s">
        <v>170</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157</v>
      </c>
    </row>
    <row r="108" spans="1:52">
      <c r="A108" s="140" t="s">
        <v>171</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157</v>
      </c>
    </row>
    <row r="109" spans="1:52">
      <c r="A109" s="140" t="s">
        <v>172</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157</v>
      </c>
    </row>
    <row r="110" spans="1:52">
      <c r="A110" s="140" t="s">
        <v>173</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157</v>
      </c>
    </row>
    <row r="111" spans="1:52">
      <c r="A111" s="140" t="s">
        <v>174</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157</v>
      </c>
    </row>
    <row r="112" spans="1:52">
      <c r="A112" s="140" t="s">
        <v>175</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157</v>
      </c>
    </row>
    <row r="113" spans="1:52">
      <c r="A113" s="140" t="s">
        <v>176</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157</v>
      </c>
    </row>
    <row r="114" spans="1:52">
      <c r="A114" s="140" t="s">
        <v>177</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157</v>
      </c>
    </row>
    <row r="115" spans="1:52">
      <c r="A115" s="140" t="s">
        <v>178</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157</v>
      </c>
    </row>
    <row r="116" spans="1:52">
      <c r="A116" s="140" t="s">
        <v>179</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157</v>
      </c>
    </row>
    <row r="117" spans="1:52">
      <c r="A117" s="140" t="s">
        <v>180</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157</v>
      </c>
    </row>
    <row r="118" spans="1:52">
      <c r="A118" s="140" t="s">
        <v>181</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157</v>
      </c>
    </row>
    <row r="119" spans="1:52">
      <c r="A119" s="140" t="s">
        <v>182</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157</v>
      </c>
    </row>
    <row r="120" spans="1:52">
      <c r="A120" s="140" t="s">
        <v>183</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157</v>
      </c>
    </row>
    <row r="121" spans="1:52">
      <c r="A121" s="140" t="s">
        <v>184</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157</v>
      </c>
    </row>
    <row r="122" spans="1:52">
      <c r="A122" s="140" t="s">
        <v>185</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157</v>
      </c>
    </row>
    <row r="123" spans="1:52">
      <c r="A123" s="140" t="s">
        <v>186</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157</v>
      </c>
    </row>
    <row r="124" spans="1:52">
      <c r="A124" s="140" t="s">
        <v>187</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157</v>
      </c>
    </row>
    <row r="125" spans="1:52">
      <c r="A125" s="140" t="s">
        <v>188</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157</v>
      </c>
    </row>
    <row r="126" spans="1:52">
      <c r="A126" s="140" t="s">
        <v>189</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157</v>
      </c>
    </row>
    <row r="127" spans="1:52">
      <c r="A127" s="140" t="s">
        <v>190</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157</v>
      </c>
    </row>
    <row r="128" spans="1:52">
      <c r="A128" s="140" t="s">
        <v>191</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157</v>
      </c>
    </row>
    <row r="129" spans="1:52">
      <c r="A129" s="140" t="s">
        <v>192</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157</v>
      </c>
    </row>
    <row r="130" spans="1:52">
      <c r="A130" s="140" t="s">
        <v>193</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157</v>
      </c>
    </row>
    <row r="131" spans="1:52">
      <c r="A131" s="140" t="s">
        <v>194</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157</v>
      </c>
    </row>
    <row r="132" spans="1:52">
      <c r="A132" s="140" t="s">
        <v>195</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157</v>
      </c>
    </row>
    <row r="133" spans="1:52">
      <c r="A133" s="140" t="s">
        <v>196</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157</v>
      </c>
    </row>
    <row r="134" spans="1:52">
      <c r="A134" s="140" t="s">
        <v>197</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157</v>
      </c>
    </row>
    <row r="136" spans="1:52">
      <c r="A136" s="157" t="s">
        <v>158</v>
      </c>
    </row>
    <row r="137" spans="1:52">
      <c r="A137" s="140" t="s">
        <v>167</v>
      </c>
      <c r="B137" s="140">
        <f t="shared" ref="B137:Y147" si="53">IF(IFERROR(FIND($A$136,B5,1),0)=0,0,1)</f>
        <v>1</v>
      </c>
      <c r="C137" s="140">
        <f t="shared" si="53"/>
        <v>1</v>
      </c>
      <c r="D137" s="140">
        <f t="shared" si="53"/>
        <v>0</v>
      </c>
      <c r="E137" s="140">
        <f t="shared" si="53"/>
        <v>0</v>
      </c>
      <c r="F137" s="140">
        <f t="shared" si="53"/>
        <v>0</v>
      </c>
      <c r="G137" s="140">
        <f t="shared" si="53"/>
        <v>0</v>
      </c>
      <c r="H137" s="140">
        <f t="shared" si="53"/>
        <v>0</v>
      </c>
      <c r="I137" s="140">
        <f t="shared" si="53"/>
        <v>0</v>
      </c>
      <c r="J137" s="140">
        <f t="shared" si="53"/>
        <v>0</v>
      </c>
      <c r="K137" s="140">
        <f t="shared" si="53"/>
        <v>0</v>
      </c>
      <c r="L137" s="140">
        <f t="shared" si="53"/>
        <v>0</v>
      </c>
      <c r="M137" s="140">
        <f t="shared" si="53"/>
        <v>0</v>
      </c>
      <c r="N137" s="140">
        <f t="shared" si="53"/>
        <v>0</v>
      </c>
      <c r="O137" s="140">
        <f t="shared" si="53"/>
        <v>0</v>
      </c>
      <c r="P137" s="140">
        <f t="shared" si="53"/>
        <v>0</v>
      </c>
      <c r="Q137" s="140">
        <f t="shared" si="53"/>
        <v>1</v>
      </c>
      <c r="R137" s="140">
        <f t="shared" si="53"/>
        <v>1</v>
      </c>
      <c r="S137" s="140">
        <f t="shared" si="53"/>
        <v>0</v>
      </c>
      <c r="T137" s="140">
        <f t="shared" si="53"/>
        <v>0</v>
      </c>
      <c r="U137" s="140">
        <f t="shared" si="53"/>
        <v>1</v>
      </c>
      <c r="V137" s="140">
        <f t="shared" si="53"/>
        <v>1</v>
      </c>
      <c r="W137" s="140">
        <f t="shared" si="53"/>
        <v>1</v>
      </c>
      <c r="X137" s="140">
        <f t="shared" si="53"/>
        <v>1</v>
      </c>
      <c r="Y137" s="140">
        <f t="shared" si="53"/>
        <v>0</v>
      </c>
      <c r="AA137" s="140">
        <f t="shared" ref="AA137:AX147" si="54">IF(B137=0,0,B137/AA5)</f>
        <v>1</v>
      </c>
      <c r="AB137" s="140">
        <f t="shared" si="54"/>
        <v>1</v>
      </c>
      <c r="AC137" s="140">
        <f t="shared" si="54"/>
        <v>0</v>
      </c>
      <c r="AD137" s="140">
        <f t="shared" si="54"/>
        <v>0</v>
      </c>
      <c r="AE137" s="140">
        <f t="shared" si="54"/>
        <v>0</v>
      </c>
      <c r="AF137" s="140">
        <f t="shared" si="54"/>
        <v>0</v>
      </c>
      <c r="AG137" s="140">
        <f t="shared" si="54"/>
        <v>0</v>
      </c>
      <c r="AH137" s="140">
        <f t="shared" si="54"/>
        <v>0</v>
      </c>
      <c r="AI137" s="140">
        <f t="shared" si="54"/>
        <v>0</v>
      </c>
      <c r="AJ137" s="140">
        <f t="shared" si="54"/>
        <v>0</v>
      </c>
      <c r="AK137" s="140">
        <f t="shared" si="54"/>
        <v>0</v>
      </c>
      <c r="AL137" s="140">
        <f t="shared" si="54"/>
        <v>0</v>
      </c>
      <c r="AM137" s="140">
        <f t="shared" si="54"/>
        <v>0</v>
      </c>
      <c r="AN137" s="140">
        <f t="shared" si="54"/>
        <v>0</v>
      </c>
      <c r="AO137" s="140">
        <f t="shared" si="54"/>
        <v>0</v>
      </c>
      <c r="AP137" s="140">
        <f t="shared" si="54"/>
        <v>1</v>
      </c>
      <c r="AQ137" s="140">
        <f t="shared" si="54"/>
        <v>1</v>
      </c>
      <c r="AR137" s="140">
        <f t="shared" si="54"/>
        <v>0</v>
      </c>
      <c r="AS137" s="140">
        <f t="shared" si="54"/>
        <v>0</v>
      </c>
      <c r="AT137" s="140">
        <f t="shared" si="54"/>
        <v>1</v>
      </c>
      <c r="AU137" s="140">
        <f t="shared" si="54"/>
        <v>1</v>
      </c>
      <c r="AV137" s="140">
        <f t="shared" si="54"/>
        <v>1</v>
      </c>
      <c r="AW137" s="140">
        <f t="shared" si="54"/>
        <v>1</v>
      </c>
      <c r="AX137" s="140">
        <f t="shared" si="54"/>
        <v>0</v>
      </c>
      <c r="AY137" s="140">
        <f t="shared" ref="AY137:AY167" si="55">SUM(AA137:AX137)</f>
        <v>8</v>
      </c>
      <c r="AZ137" s="22" t="s">
        <v>158</v>
      </c>
    </row>
    <row r="138" spans="1:52">
      <c r="A138" s="140" t="s">
        <v>168</v>
      </c>
      <c r="B138" s="140">
        <f t="shared" si="53"/>
        <v>0</v>
      </c>
      <c r="C138" s="140">
        <f t="shared" si="53"/>
        <v>0</v>
      </c>
      <c r="D138" s="140">
        <f t="shared" si="53"/>
        <v>1</v>
      </c>
      <c r="E138" s="140">
        <f t="shared" si="53"/>
        <v>0</v>
      </c>
      <c r="F138" s="140">
        <f t="shared" si="53"/>
        <v>0</v>
      </c>
      <c r="G138" s="140">
        <f t="shared" si="53"/>
        <v>1</v>
      </c>
      <c r="H138" s="140">
        <f t="shared" si="53"/>
        <v>0</v>
      </c>
      <c r="I138" s="140">
        <f t="shared" si="53"/>
        <v>0</v>
      </c>
      <c r="J138" s="140">
        <f t="shared" si="53"/>
        <v>0</v>
      </c>
      <c r="K138" s="140">
        <f t="shared" si="53"/>
        <v>0</v>
      </c>
      <c r="L138" s="140">
        <f t="shared" si="53"/>
        <v>0</v>
      </c>
      <c r="M138" s="140">
        <f t="shared" si="53"/>
        <v>0</v>
      </c>
      <c r="N138" s="140">
        <f t="shared" si="53"/>
        <v>0</v>
      </c>
      <c r="O138" s="140">
        <f t="shared" si="53"/>
        <v>1</v>
      </c>
      <c r="P138" s="140">
        <f t="shared" si="53"/>
        <v>0</v>
      </c>
      <c r="Q138" s="140">
        <f t="shared" si="53"/>
        <v>0</v>
      </c>
      <c r="R138" s="140">
        <f t="shared" si="53"/>
        <v>0</v>
      </c>
      <c r="S138" s="140">
        <f t="shared" si="53"/>
        <v>0</v>
      </c>
      <c r="T138" s="140">
        <f t="shared" si="53"/>
        <v>1</v>
      </c>
      <c r="U138" s="140">
        <f t="shared" si="53"/>
        <v>0</v>
      </c>
      <c r="V138" s="140">
        <f t="shared" si="53"/>
        <v>1</v>
      </c>
      <c r="W138" s="140">
        <f t="shared" si="53"/>
        <v>1</v>
      </c>
      <c r="X138" s="140">
        <f t="shared" si="53"/>
        <v>0</v>
      </c>
      <c r="Y138" s="140">
        <f t="shared" si="53"/>
        <v>0</v>
      </c>
      <c r="AA138" s="140">
        <f t="shared" si="54"/>
        <v>0</v>
      </c>
      <c r="AB138" s="140">
        <f t="shared" si="54"/>
        <v>0</v>
      </c>
      <c r="AC138" s="140">
        <f t="shared" si="54"/>
        <v>1</v>
      </c>
      <c r="AD138" s="140">
        <f t="shared" si="54"/>
        <v>0</v>
      </c>
      <c r="AE138" s="140">
        <f t="shared" si="54"/>
        <v>0</v>
      </c>
      <c r="AF138" s="140">
        <f t="shared" si="54"/>
        <v>1</v>
      </c>
      <c r="AG138" s="140">
        <f t="shared" si="54"/>
        <v>0</v>
      </c>
      <c r="AH138" s="140">
        <f t="shared" si="54"/>
        <v>0</v>
      </c>
      <c r="AI138" s="140">
        <f t="shared" si="54"/>
        <v>0</v>
      </c>
      <c r="AJ138" s="140">
        <f t="shared" si="54"/>
        <v>0</v>
      </c>
      <c r="AK138" s="140">
        <f t="shared" si="54"/>
        <v>0</v>
      </c>
      <c r="AL138" s="140">
        <f t="shared" si="54"/>
        <v>0</v>
      </c>
      <c r="AM138" s="140">
        <f t="shared" si="54"/>
        <v>0</v>
      </c>
      <c r="AN138" s="140">
        <f t="shared" si="54"/>
        <v>1</v>
      </c>
      <c r="AO138" s="140">
        <f t="shared" si="54"/>
        <v>0</v>
      </c>
      <c r="AP138" s="140">
        <f t="shared" si="54"/>
        <v>0</v>
      </c>
      <c r="AQ138" s="140">
        <f t="shared" si="54"/>
        <v>0</v>
      </c>
      <c r="AR138" s="140">
        <f t="shared" si="54"/>
        <v>0</v>
      </c>
      <c r="AS138" s="140">
        <f t="shared" si="54"/>
        <v>1</v>
      </c>
      <c r="AT138" s="140">
        <f t="shared" si="54"/>
        <v>0</v>
      </c>
      <c r="AU138" s="140">
        <f t="shared" si="54"/>
        <v>1</v>
      </c>
      <c r="AV138" s="140">
        <f t="shared" si="54"/>
        <v>1</v>
      </c>
      <c r="AW138" s="140">
        <f t="shared" si="54"/>
        <v>0</v>
      </c>
      <c r="AX138" s="140">
        <f t="shared" si="54"/>
        <v>0</v>
      </c>
      <c r="AY138" s="140">
        <f t="shared" si="55"/>
        <v>6</v>
      </c>
      <c r="AZ138" s="22" t="s">
        <v>158</v>
      </c>
    </row>
    <row r="139" spans="1:52">
      <c r="A139" s="140" t="s">
        <v>169</v>
      </c>
      <c r="B139" s="140">
        <f t="shared" si="53"/>
        <v>1</v>
      </c>
      <c r="C139" s="140">
        <f t="shared" si="53"/>
        <v>1</v>
      </c>
      <c r="D139" s="140">
        <f t="shared" si="53"/>
        <v>0</v>
      </c>
      <c r="E139" s="140">
        <f t="shared" si="53"/>
        <v>1</v>
      </c>
      <c r="F139" s="140">
        <f t="shared" si="53"/>
        <v>0</v>
      </c>
      <c r="G139" s="140">
        <f t="shared" si="53"/>
        <v>1</v>
      </c>
      <c r="H139" s="140">
        <f t="shared" si="53"/>
        <v>1</v>
      </c>
      <c r="I139" s="140">
        <f t="shared" si="53"/>
        <v>1</v>
      </c>
      <c r="J139" s="140">
        <f t="shared" si="53"/>
        <v>1</v>
      </c>
      <c r="K139" s="140">
        <f t="shared" si="53"/>
        <v>1</v>
      </c>
      <c r="L139" s="140">
        <f t="shared" si="53"/>
        <v>1</v>
      </c>
      <c r="M139" s="140">
        <f t="shared" si="53"/>
        <v>0</v>
      </c>
      <c r="N139" s="140">
        <f t="shared" si="53"/>
        <v>1</v>
      </c>
      <c r="O139" s="140">
        <f t="shared" si="53"/>
        <v>0</v>
      </c>
      <c r="P139" s="140">
        <f t="shared" si="53"/>
        <v>0</v>
      </c>
      <c r="Q139" s="140">
        <f t="shared" si="53"/>
        <v>0</v>
      </c>
      <c r="R139" s="140">
        <f t="shared" si="53"/>
        <v>0</v>
      </c>
      <c r="S139" s="140">
        <f t="shared" si="53"/>
        <v>1</v>
      </c>
      <c r="T139" s="140">
        <f t="shared" si="53"/>
        <v>0</v>
      </c>
      <c r="U139" s="140">
        <f t="shared" si="53"/>
        <v>0</v>
      </c>
      <c r="V139" s="140">
        <f t="shared" si="53"/>
        <v>1</v>
      </c>
      <c r="W139" s="140">
        <f t="shared" si="53"/>
        <v>0</v>
      </c>
      <c r="X139" s="140">
        <f t="shared" si="53"/>
        <v>1</v>
      </c>
      <c r="Y139" s="140">
        <f t="shared" si="53"/>
        <v>0</v>
      </c>
      <c r="AA139" s="140">
        <f t="shared" si="54"/>
        <v>1</v>
      </c>
      <c r="AB139" s="140">
        <f t="shared" si="54"/>
        <v>1</v>
      </c>
      <c r="AC139" s="140">
        <f t="shared" si="54"/>
        <v>0</v>
      </c>
      <c r="AD139" s="140">
        <f t="shared" si="54"/>
        <v>1</v>
      </c>
      <c r="AE139" s="140">
        <f t="shared" si="54"/>
        <v>0</v>
      </c>
      <c r="AF139" s="140">
        <f t="shared" si="54"/>
        <v>1</v>
      </c>
      <c r="AG139" s="140">
        <f t="shared" si="54"/>
        <v>1</v>
      </c>
      <c r="AH139" s="140">
        <f t="shared" si="54"/>
        <v>1</v>
      </c>
      <c r="AI139" s="140">
        <f t="shared" si="54"/>
        <v>1</v>
      </c>
      <c r="AJ139" s="140">
        <f t="shared" si="54"/>
        <v>1</v>
      </c>
      <c r="AK139" s="140">
        <f t="shared" si="54"/>
        <v>1</v>
      </c>
      <c r="AL139" s="140">
        <f t="shared" si="54"/>
        <v>0</v>
      </c>
      <c r="AM139" s="140">
        <f t="shared" si="54"/>
        <v>1</v>
      </c>
      <c r="AN139" s="140">
        <f t="shared" si="54"/>
        <v>0</v>
      </c>
      <c r="AO139" s="140">
        <f t="shared" si="54"/>
        <v>0</v>
      </c>
      <c r="AP139" s="140">
        <f t="shared" si="54"/>
        <v>0</v>
      </c>
      <c r="AQ139" s="140">
        <f t="shared" si="54"/>
        <v>0</v>
      </c>
      <c r="AR139" s="140">
        <f t="shared" si="54"/>
        <v>1</v>
      </c>
      <c r="AS139" s="140">
        <f t="shared" si="54"/>
        <v>0</v>
      </c>
      <c r="AT139" s="140">
        <f t="shared" si="54"/>
        <v>0</v>
      </c>
      <c r="AU139" s="140">
        <f t="shared" si="54"/>
        <v>1</v>
      </c>
      <c r="AV139" s="140">
        <f t="shared" si="54"/>
        <v>0</v>
      </c>
      <c r="AW139" s="140">
        <f t="shared" si="54"/>
        <v>1</v>
      </c>
      <c r="AX139" s="140">
        <f t="shared" si="54"/>
        <v>0</v>
      </c>
      <c r="AY139" s="140">
        <f t="shared" si="55"/>
        <v>13</v>
      </c>
      <c r="AZ139" s="22" t="s">
        <v>158</v>
      </c>
    </row>
    <row r="140" spans="1:52">
      <c r="A140" s="140" t="s">
        <v>170</v>
      </c>
      <c r="B140" s="140">
        <f t="shared" si="53"/>
        <v>1</v>
      </c>
      <c r="C140" s="140">
        <f t="shared" si="53"/>
        <v>1</v>
      </c>
      <c r="D140" s="140">
        <f t="shared" si="53"/>
        <v>1</v>
      </c>
      <c r="E140" s="140">
        <f t="shared" si="53"/>
        <v>0</v>
      </c>
      <c r="F140" s="140">
        <f t="shared" si="53"/>
        <v>0</v>
      </c>
      <c r="G140" s="140">
        <f t="shared" si="53"/>
        <v>1</v>
      </c>
      <c r="H140" s="140">
        <f t="shared" si="53"/>
        <v>1</v>
      </c>
      <c r="I140" s="140">
        <f t="shared" si="53"/>
        <v>0</v>
      </c>
      <c r="J140" s="140">
        <f t="shared" si="53"/>
        <v>0</v>
      </c>
      <c r="K140" s="140">
        <f t="shared" si="53"/>
        <v>1</v>
      </c>
      <c r="L140" s="140">
        <f t="shared" si="53"/>
        <v>1</v>
      </c>
      <c r="M140" s="140">
        <f t="shared" si="53"/>
        <v>0</v>
      </c>
      <c r="N140" s="140">
        <f t="shared" si="53"/>
        <v>0</v>
      </c>
      <c r="O140" s="140">
        <f t="shared" si="53"/>
        <v>0</v>
      </c>
      <c r="P140" s="140">
        <f t="shared" si="53"/>
        <v>0</v>
      </c>
      <c r="Q140" s="140">
        <f t="shared" si="53"/>
        <v>0</v>
      </c>
      <c r="R140" s="140">
        <f t="shared" si="53"/>
        <v>0</v>
      </c>
      <c r="S140" s="140">
        <f t="shared" si="53"/>
        <v>1</v>
      </c>
      <c r="T140" s="140">
        <f t="shared" si="53"/>
        <v>1</v>
      </c>
      <c r="U140" s="140">
        <f t="shared" si="53"/>
        <v>0</v>
      </c>
      <c r="V140" s="140">
        <f t="shared" si="53"/>
        <v>1</v>
      </c>
      <c r="W140" s="140">
        <f t="shared" si="53"/>
        <v>1</v>
      </c>
      <c r="X140" s="140">
        <f t="shared" si="53"/>
        <v>0</v>
      </c>
      <c r="Y140" s="140">
        <f t="shared" si="53"/>
        <v>0</v>
      </c>
      <c r="AA140" s="140">
        <f t="shared" si="54"/>
        <v>1</v>
      </c>
      <c r="AB140" s="140">
        <f t="shared" si="54"/>
        <v>1</v>
      </c>
      <c r="AC140" s="140">
        <f t="shared" si="54"/>
        <v>1</v>
      </c>
      <c r="AD140" s="140">
        <f t="shared" si="54"/>
        <v>0</v>
      </c>
      <c r="AE140" s="140">
        <f t="shared" si="54"/>
        <v>0</v>
      </c>
      <c r="AF140" s="140">
        <f t="shared" si="54"/>
        <v>1</v>
      </c>
      <c r="AG140" s="140">
        <f t="shared" si="54"/>
        <v>1</v>
      </c>
      <c r="AH140" s="140">
        <f t="shared" si="54"/>
        <v>0</v>
      </c>
      <c r="AI140" s="140">
        <f t="shared" si="54"/>
        <v>0</v>
      </c>
      <c r="AJ140" s="140">
        <f t="shared" si="54"/>
        <v>0.5</v>
      </c>
      <c r="AK140" s="140">
        <f t="shared" si="54"/>
        <v>1</v>
      </c>
      <c r="AL140" s="140">
        <f t="shared" si="54"/>
        <v>0</v>
      </c>
      <c r="AM140" s="140">
        <f t="shared" si="54"/>
        <v>0</v>
      </c>
      <c r="AN140" s="140">
        <f t="shared" si="54"/>
        <v>0</v>
      </c>
      <c r="AO140" s="140">
        <f t="shared" si="54"/>
        <v>0</v>
      </c>
      <c r="AP140" s="140">
        <f t="shared" si="54"/>
        <v>0</v>
      </c>
      <c r="AQ140" s="140">
        <f t="shared" si="54"/>
        <v>0</v>
      </c>
      <c r="AR140" s="140">
        <f t="shared" si="54"/>
        <v>1</v>
      </c>
      <c r="AS140" s="140">
        <f t="shared" si="54"/>
        <v>1</v>
      </c>
      <c r="AT140" s="140">
        <f t="shared" si="54"/>
        <v>0</v>
      </c>
      <c r="AU140" s="140">
        <f t="shared" si="54"/>
        <v>1</v>
      </c>
      <c r="AV140" s="140">
        <f t="shared" si="54"/>
        <v>1</v>
      </c>
      <c r="AW140" s="140">
        <f t="shared" si="54"/>
        <v>0</v>
      </c>
      <c r="AX140" s="140">
        <f t="shared" si="54"/>
        <v>0</v>
      </c>
      <c r="AY140" s="140">
        <f t="shared" si="55"/>
        <v>10.5</v>
      </c>
      <c r="AZ140" s="22" t="s">
        <v>158</v>
      </c>
    </row>
    <row r="141" spans="1:52">
      <c r="A141" s="140" t="s">
        <v>171</v>
      </c>
      <c r="B141" s="140">
        <f t="shared" si="53"/>
        <v>1</v>
      </c>
      <c r="C141" s="140">
        <f t="shared" si="53"/>
        <v>0</v>
      </c>
      <c r="D141" s="140">
        <f t="shared" si="53"/>
        <v>0</v>
      </c>
      <c r="E141" s="140">
        <f t="shared" si="53"/>
        <v>0</v>
      </c>
      <c r="F141" s="140">
        <f t="shared" si="53"/>
        <v>1</v>
      </c>
      <c r="G141" s="140">
        <f t="shared" si="53"/>
        <v>1</v>
      </c>
      <c r="H141" s="140">
        <f t="shared" si="53"/>
        <v>1</v>
      </c>
      <c r="I141" s="140">
        <f t="shared" si="53"/>
        <v>1</v>
      </c>
      <c r="J141" s="140">
        <f t="shared" si="53"/>
        <v>0</v>
      </c>
      <c r="K141" s="140">
        <f t="shared" si="53"/>
        <v>1</v>
      </c>
      <c r="L141" s="140">
        <f t="shared" si="53"/>
        <v>1</v>
      </c>
      <c r="M141" s="140">
        <f t="shared" si="53"/>
        <v>1</v>
      </c>
      <c r="N141" s="140">
        <f t="shared" si="53"/>
        <v>0</v>
      </c>
      <c r="O141" s="140">
        <f t="shared" si="53"/>
        <v>1</v>
      </c>
      <c r="P141" s="140">
        <f t="shared" si="53"/>
        <v>1</v>
      </c>
      <c r="Q141" s="140">
        <f t="shared" si="53"/>
        <v>1</v>
      </c>
      <c r="R141" s="140">
        <f t="shared" si="53"/>
        <v>1</v>
      </c>
      <c r="S141" s="140">
        <f t="shared" si="53"/>
        <v>0</v>
      </c>
      <c r="T141" s="140">
        <f t="shared" si="53"/>
        <v>0</v>
      </c>
      <c r="U141" s="140">
        <f t="shared" si="53"/>
        <v>0</v>
      </c>
      <c r="V141" s="140">
        <f t="shared" si="53"/>
        <v>0</v>
      </c>
      <c r="W141" s="140">
        <f t="shared" si="53"/>
        <v>0</v>
      </c>
      <c r="X141" s="140">
        <f t="shared" si="53"/>
        <v>1</v>
      </c>
      <c r="Y141" s="140">
        <f t="shared" si="53"/>
        <v>1</v>
      </c>
      <c r="AA141" s="140">
        <f t="shared" si="54"/>
        <v>1</v>
      </c>
      <c r="AB141" s="140">
        <f t="shared" si="54"/>
        <v>0</v>
      </c>
      <c r="AC141" s="140">
        <f t="shared" si="54"/>
        <v>0</v>
      </c>
      <c r="AD141" s="140">
        <f t="shared" si="54"/>
        <v>0</v>
      </c>
      <c r="AE141" s="140">
        <f t="shared" si="54"/>
        <v>1</v>
      </c>
      <c r="AF141" s="140">
        <f t="shared" si="54"/>
        <v>1</v>
      </c>
      <c r="AG141" s="140">
        <f t="shared" si="54"/>
        <v>1</v>
      </c>
      <c r="AH141" s="140">
        <f t="shared" si="54"/>
        <v>1</v>
      </c>
      <c r="AI141" s="140">
        <f t="shared" si="54"/>
        <v>0</v>
      </c>
      <c r="AJ141" s="140">
        <f t="shared" si="54"/>
        <v>1</v>
      </c>
      <c r="AK141" s="140">
        <f t="shared" si="54"/>
        <v>1</v>
      </c>
      <c r="AL141" s="140">
        <f t="shared" si="54"/>
        <v>1</v>
      </c>
      <c r="AM141" s="140">
        <f t="shared" si="54"/>
        <v>0</v>
      </c>
      <c r="AN141" s="140">
        <f t="shared" si="54"/>
        <v>1</v>
      </c>
      <c r="AO141" s="140">
        <f t="shared" si="54"/>
        <v>1</v>
      </c>
      <c r="AP141" s="140">
        <f t="shared" si="54"/>
        <v>0.5</v>
      </c>
      <c r="AQ141" s="140">
        <f t="shared" si="54"/>
        <v>1</v>
      </c>
      <c r="AR141" s="140">
        <f t="shared" si="54"/>
        <v>0</v>
      </c>
      <c r="AS141" s="140">
        <f t="shared" si="54"/>
        <v>0</v>
      </c>
      <c r="AT141" s="140">
        <f t="shared" si="54"/>
        <v>0</v>
      </c>
      <c r="AU141" s="140">
        <f t="shared" si="54"/>
        <v>0</v>
      </c>
      <c r="AV141" s="140">
        <f t="shared" si="54"/>
        <v>0</v>
      </c>
      <c r="AW141" s="140">
        <f t="shared" si="54"/>
        <v>1</v>
      </c>
      <c r="AX141" s="140">
        <f t="shared" si="54"/>
        <v>0.5</v>
      </c>
      <c r="AY141" s="140">
        <f t="shared" si="55"/>
        <v>13</v>
      </c>
      <c r="AZ141" s="22" t="s">
        <v>158</v>
      </c>
    </row>
    <row r="142" spans="1:52">
      <c r="A142" s="140" t="s">
        <v>172</v>
      </c>
      <c r="B142" s="140">
        <f t="shared" si="53"/>
        <v>1</v>
      </c>
      <c r="C142" s="140">
        <f t="shared" si="53"/>
        <v>0</v>
      </c>
      <c r="D142" s="140">
        <f t="shared" si="53"/>
        <v>0</v>
      </c>
      <c r="E142" s="140">
        <f t="shared" si="53"/>
        <v>1</v>
      </c>
      <c r="F142" s="140">
        <f t="shared" si="53"/>
        <v>1</v>
      </c>
      <c r="G142" s="140">
        <f t="shared" si="53"/>
        <v>0</v>
      </c>
      <c r="H142" s="140">
        <f t="shared" si="53"/>
        <v>0</v>
      </c>
      <c r="I142" s="140">
        <f t="shared" si="53"/>
        <v>1</v>
      </c>
      <c r="J142" s="140">
        <f t="shared" si="53"/>
        <v>1</v>
      </c>
      <c r="K142" s="140">
        <f t="shared" si="53"/>
        <v>1</v>
      </c>
      <c r="L142" s="140">
        <f t="shared" si="53"/>
        <v>0</v>
      </c>
      <c r="M142" s="140">
        <f t="shared" si="53"/>
        <v>1</v>
      </c>
      <c r="N142" s="140">
        <f t="shared" si="53"/>
        <v>1</v>
      </c>
      <c r="O142" s="140">
        <f t="shared" si="53"/>
        <v>1</v>
      </c>
      <c r="P142" s="140">
        <f t="shared" si="53"/>
        <v>1</v>
      </c>
      <c r="Q142" s="140">
        <f t="shared" si="53"/>
        <v>0</v>
      </c>
      <c r="R142" s="140">
        <f t="shared" si="53"/>
        <v>1</v>
      </c>
      <c r="S142" s="140">
        <f t="shared" si="53"/>
        <v>0</v>
      </c>
      <c r="T142" s="140">
        <f t="shared" si="53"/>
        <v>1</v>
      </c>
      <c r="U142" s="140">
        <f t="shared" si="53"/>
        <v>0</v>
      </c>
      <c r="V142" s="140">
        <f t="shared" si="53"/>
        <v>1</v>
      </c>
      <c r="W142" s="140">
        <f t="shared" si="53"/>
        <v>0</v>
      </c>
      <c r="X142" s="140">
        <f t="shared" si="53"/>
        <v>1</v>
      </c>
      <c r="Y142" s="140">
        <f t="shared" si="53"/>
        <v>1</v>
      </c>
      <c r="AA142" s="140">
        <f t="shared" si="54"/>
        <v>0.5</v>
      </c>
      <c r="AB142" s="140">
        <f t="shared" si="54"/>
        <v>0</v>
      </c>
      <c r="AC142" s="140">
        <f t="shared" si="54"/>
        <v>0</v>
      </c>
      <c r="AD142" s="140">
        <f t="shared" si="54"/>
        <v>1</v>
      </c>
      <c r="AE142" s="140">
        <f t="shared" si="54"/>
        <v>1</v>
      </c>
      <c r="AF142" s="140">
        <f t="shared" si="54"/>
        <v>0</v>
      </c>
      <c r="AG142" s="140">
        <f t="shared" si="54"/>
        <v>0</v>
      </c>
      <c r="AH142" s="140">
        <f t="shared" si="54"/>
        <v>1</v>
      </c>
      <c r="AI142" s="140">
        <f t="shared" si="54"/>
        <v>1</v>
      </c>
      <c r="AJ142" s="140">
        <f t="shared" si="54"/>
        <v>1</v>
      </c>
      <c r="AK142" s="140">
        <f t="shared" si="54"/>
        <v>0</v>
      </c>
      <c r="AL142" s="140">
        <f t="shared" si="54"/>
        <v>1</v>
      </c>
      <c r="AM142" s="140">
        <f t="shared" si="54"/>
        <v>1</v>
      </c>
      <c r="AN142" s="140">
        <f t="shared" si="54"/>
        <v>1</v>
      </c>
      <c r="AO142" s="140">
        <f t="shared" si="54"/>
        <v>1</v>
      </c>
      <c r="AP142" s="140">
        <f t="shared" si="54"/>
        <v>0</v>
      </c>
      <c r="AQ142" s="140">
        <f t="shared" si="54"/>
        <v>1</v>
      </c>
      <c r="AR142" s="140">
        <f t="shared" si="54"/>
        <v>0</v>
      </c>
      <c r="AS142" s="140">
        <f t="shared" si="54"/>
        <v>1</v>
      </c>
      <c r="AT142" s="140">
        <f t="shared" si="54"/>
        <v>0</v>
      </c>
      <c r="AU142" s="140">
        <f t="shared" si="54"/>
        <v>1</v>
      </c>
      <c r="AV142" s="140">
        <f t="shared" si="54"/>
        <v>0</v>
      </c>
      <c r="AW142" s="140">
        <f t="shared" si="54"/>
        <v>1</v>
      </c>
      <c r="AX142" s="140">
        <f t="shared" si="54"/>
        <v>1</v>
      </c>
      <c r="AY142" s="140">
        <f t="shared" si="55"/>
        <v>14.5</v>
      </c>
      <c r="AZ142" s="22" t="s">
        <v>158</v>
      </c>
    </row>
    <row r="143" spans="1:52">
      <c r="A143" s="140" t="s">
        <v>173</v>
      </c>
      <c r="B143" s="140">
        <f t="shared" si="53"/>
        <v>1</v>
      </c>
      <c r="C143" s="140">
        <f t="shared" si="53"/>
        <v>0</v>
      </c>
      <c r="D143" s="140">
        <f t="shared" si="53"/>
        <v>0</v>
      </c>
      <c r="E143" s="140">
        <f t="shared" ref="E143:Y143" si="56">IF(IFERROR(FIND($A$136,E11,1),0)=0,0,1)</f>
        <v>1</v>
      </c>
      <c r="F143" s="140">
        <f t="shared" si="56"/>
        <v>0</v>
      </c>
      <c r="G143" s="140">
        <f t="shared" si="56"/>
        <v>1</v>
      </c>
      <c r="H143" s="140">
        <f t="shared" si="56"/>
        <v>1</v>
      </c>
      <c r="I143" s="140">
        <f t="shared" si="56"/>
        <v>1</v>
      </c>
      <c r="J143" s="140">
        <f t="shared" si="56"/>
        <v>1</v>
      </c>
      <c r="K143" s="140">
        <f t="shared" si="56"/>
        <v>1</v>
      </c>
      <c r="L143" s="140">
        <f t="shared" si="56"/>
        <v>0</v>
      </c>
      <c r="M143" s="140">
        <f t="shared" si="56"/>
        <v>0</v>
      </c>
      <c r="N143" s="140">
        <f t="shared" si="56"/>
        <v>1</v>
      </c>
      <c r="O143" s="140">
        <f t="shared" si="56"/>
        <v>0</v>
      </c>
      <c r="P143" s="140">
        <f t="shared" si="56"/>
        <v>1</v>
      </c>
      <c r="Q143" s="140">
        <f t="shared" si="56"/>
        <v>1</v>
      </c>
      <c r="R143" s="140">
        <f t="shared" si="56"/>
        <v>1</v>
      </c>
      <c r="S143" s="140">
        <f t="shared" si="56"/>
        <v>1</v>
      </c>
      <c r="T143" s="140">
        <f t="shared" si="56"/>
        <v>1</v>
      </c>
      <c r="U143" s="140">
        <f t="shared" si="56"/>
        <v>1</v>
      </c>
      <c r="V143" s="140">
        <f t="shared" si="56"/>
        <v>1</v>
      </c>
      <c r="W143" s="140">
        <f t="shared" si="56"/>
        <v>1</v>
      </c>
      <c r="X143" s="140">
        <f t="shared" si="56"/>
        <v>0</v>
      </c>
      <c r="Y143" s="140">
        <f t="shared" si="56"/>
        <v>0</v>
      </c>
      <c r="AA143" s="140">
        <f t="shared" si="54"/>
        <v>1</v>
      </c>
      <c r="AB143" s="140">
        <f t="shared" si="54"/>
        <v>0</v>
      </c>
      <c r="AC143" s="140">
        <f t="shared" si="54"/>
        <v>0</v>
      </c>
      <c r="AD143" s="140">
        <f t="shared" si="54"/>
        <v>1</v>
      </c>
      <c r="AE143" s="140">
        <f t="shared" si="54"/>
        <v>0</v>
      </c>
      <c r="AF143" s="140">
        <f t="shared" si="54"/>
        <v>1</v>
      </c>
      <c r="AG143" s="140">
        <f t="shared" si="54"/>
        <v>1</v>
      </c>
      <c r="AH143" s="140">
        <f t="shared" si="54"/>
        <v>1</v>
      </c>
      <c r="AI143" s="140">
        <f t="shared" si="54"/>
        <v>1</v>
      </c>
      <c r="AJ143" s="140">
        <f t="shared" si="54"/>
        <v>0.5</v>
      </c>
      <c r="AK143" s="140">
        <f t="shared" si="54"/>
        <v>0</v>
      </c>
      <c r="AL143" s="140">
        <f t="shared" si="54"/>
        <v>0</v>
      </c>
      <c r="AM143" s="140">
        <f t="shared" si="54"/>
        <v>1</v>
      </c>
      <c r="AN143" s="140">
        <f t="shared" si="54"/>
        <v>0</v>
      </c>
      <c r="AO143" s="140">
        <f t="shared" si="54"/>
        <v>1</v>
      </c>
      <c r="AP143" s="140">
        <f t="shared" si="54"/>
        <v>1</v>
      </c>
      <c r="AQ143" s="140">
        <f t="shared" si="54"/>
        <v>1</v>
      </c>
      <c r="AR143" s="140">
        <f t="shared" si="54"/>
        <v>1</v>
      </c>
      <c r="AS143" s="140">
        <f t="shared" si="54"/>
        <v>1</v>
      </c>
      <c r="AT143" s="140">
        <f t="shared" si="54"/>
        <v>0.33333333333333331</v>
      </c>
      <c r="AU143" s="140">
        <f t="shared" si="54"/>
        <v>1</v>
      </c>
      <c r="AV143" s="140">
        <f t="shared" si="54"/>
        <v>1</v>
      </c>
      <c r="AW143" s="140">
        <f t="shared" si="54"/>
        <v>0</v>
      </c>
      <c r="AX143" s="140">
        <f t="shared" si="54"/>
        <v>0</v>
      </c>
      <c r="AY143" s="140">
        <f t="shared" si="55"/>
        <v>14.833333333333334</v>
      </c>
      <c r="AZ143" s="22" t="s">
        <v>158</v>
      </c>
    </row>
    <row r="144" spans="1:52">
      <c r="A144" s="140" t="s">
        <v>174</v>
      </c>
      <c r="B144" s="140">
        <f t="shared" si="53"/>
        <v>0</v>
      </c>
      <c r="C144" s="140">
        <f t="shared" si="53"/>
        <v>1</v>
      </c>
      <c r="D144" s="140">
        <f t="shared" si="53"/>
        <v>1</v>
      </c>
      <c r="E144" s="140">
        <f t="shared" si="53"/>
        <v>1</v>
      </c>
      <c r="F144" s="140">
        <f t="shared" si="53"/>
        <v>0</v>
      </c>
      <c r="G144" s="140">
        <f t="shared" si="53"/>
        <v>0</v>
      </c>
      <c r="H144" s="140">
        <f t="shared" si="53"/>
        <v>0</v>
      </c>
      <c r="I144" s="140">
        <f t="shared" si="53"/>
        <v>1</v>
      </c>
      <c r="J144" s="140">
        <f t="shared" si="53"/>
        <v>1</v>
      </c>
      <c r="K144" s="140">
        <f t="shared" si="53"/>
        <v>0</v>
      </c>
      <c r="L144" s="140">
        <f t="shared" si="53"/>
        <v>0</v>
      </c>
      <c r="M144" s="140">
        <f t="shared" si="53"/>
        <v>1</v>
      </c>
      <c r="N144" s="140">
        <f t="shared" si="53"/>
        <v>1</v>
      </c>
      <c r="O144" s="140">
        <f t="shared" si="53"/>
        <v>0</v>
      </c>
      <c r="P144" s="140">
        <f t="shared" si="53"/>
        <v>1</v>
      </c>
      <c r="Q144" s="140">
        <f t="shared" si="53"/>
        <v>0</v>
      </c>
      <c r="R144" s="140">
        <f t="shared" si="53"/>
        <v>0</v>
      </c>
      <c r="S144" s="140">
        <f t="shared" si="53"/>
        <v>1</v>
      </c>
      <c r="T144" s="140">
        <f t="shared" si="53"/>
        <v>1</v>
      </c>
      <c r="U144" s="140">
        <f t="shared" si="53"/>
        <v>1</v>
      </c>
      <c r="V144" s="140">
        <f t="shared" si="53"/>
        <v>1</v>
      </c>
      <c r="W144" s="140">
        <f t="shared" si="53"/>
        <v>1</v>
      </c>
      <c r="X144" s="140">
        <f t="shared" si="53"/>
        <v>0</v>
      </c>
      <c r="Y144" s="140">
        <f t="shared" si="53"/>
        <v>0</v>
      </c>
      <c r="AA144" s="140">
        <f t="shared" si="54"/>
        <v>0</v>
      </c>
      <c r="AB144" s="140">
        <f t="shared" si="54"/>
        <v>1</v>
      </c>
      <c r="AC144" s="140">
        <f t="shared" si="54"/>
        <v>1</v>
      </c>
      <c r="AD144" s="140">
        <f t="shared" si="54"/>
        <v>1</v>
      </c>
      <c r="AE144" s="140">
        <f t="shared" si="54"/>
        <v>0</v>
      </c>
      <c r="AF144" s="140">
        <f t="shared" si="54"/>
        <v>0</v>
      </c>
      <c r="AG144" s="140">
        <f t="shared" si="54"/>
        <v>0</v>
      </c>
      <c r="AH144" s="140">
        <f t="shared" si="54"/>
        <v>1</v>
      </c>
      <c r="AI144" s="140">
        <f t="shared" si="54"/>
        <v>1</v>
      </c>
      <c r="AJ144" s="140">
        <f t="shared" si="54"/>
        <v>0</v>
      </c>
      <c r="AK144" s="140">
        <f t="shared" si="54"/>
        <v>0</v>
      </c>
      <c r="AL144" s="140">
        <f t="shared" si="54"/>
        <v>1</v>
      </c>
      <c r="AM144" s="140">
        <f t="shared" si="54"/>
        <v>1</v>
      </c>
      <c r="AN144" s="140">
        <f t="shared" si="54"/>
        <v>0</v>
      </c>
      <c r="AO144" s="140">
        <f t="shared" si="54"/>
        <v>1</v>
      </c>
      <c r="AP144" s="140">
        <f t="shared" si="54"/>
        <v>0</v>
      </c>
      <c r="AQ144" s="140">
        <f t="shared" si="54"/>
        <v>0</v>
      </c>
      <c r="AR144" s="140">
        <f t="shared" si="54"/>
        <v>1</v>
      </c>
      <c r="AS144" s="140">
        <f t="shared" si="54"/>
        <v>1</v>
      </c>
      <c r="AT144" s="140">
        <f t="shared" si="54"/>
        <v>0.5</v>
      </c>
      <c r="AU144" s="140">
        <f t="shared" si="54"/>
        <v>0.5</v>
      </c>
      <c r="AV144" s="140">
        <f t="shared" si="54"/>
        <v>1</v>
      </c>
      <c r="AW144" s="140">
        <f t="shared" si="54"/>
        <v>0</v>
      </c>
      <c r="AX144" s="140">
        <f t="shared" si="54"/>
        <v>0</v>
      </c>
      <c r="AY144" s="140">
        <f t="shared" si="55"/>
        <v>12</v>
      </c>
      <c r="AZ144" s="22" t="s">
        <v>158</v>
      </c>
    </row>
    <row r="145" spans="1:52">
      <c r="A145" s="140" t="s">
        <v>175</v>
      </c>
      <c r="B145" s="140">
        <f t="shared" si="53"/>
        <v>1</v>
      </c>
      <c r="C145" s="140">
        <f t="shared" si="53"/>
        <v>0</v>
      </c>
      <c r="D145" s="140">
        <f t="shared" si="53"/>
        <v>1</v>
      </c>
      <c r="E145" s="140">
        <f t="shared" si="53"/>
        <v>0</v>
      </c>
      <c r="F145" s="140">
        <f t="shared" si="53"/>
        <v>1</v>
      </c>
      <c r="G145" s="140">
        <f t="shared" si="53"/>
        <v>1</v>
      </c>
      <c r="H145" s="140">
        <f t="shared" si="53"/>
        <v>0</v>
      </c>
      <c r="I145" s="140">
        <f t="shared" si="53"/>
        <v>0</v>
      </c>
      <c r="J145" s="140">
        <f>IF(IFERROR(FIND($A$136,K11,1),0)=0,0,1)</f>
        <v>1</v>
      </c>
      <c r="K145" s="140">
        <f t="shared" si="53"/>
        <v>0</v>
      </c>
      <c r="L145" s="140">
        <f t="shared" si="53"/>
        <v>0</v>
      </c>
      <c r="M145" s="140">
        <f t="shared" si="53"/>
        <v>1</v>
      </c>
      <c r="N145" s="140">
        <f t="shared" si="53"/>
        <v>0</v>
      </c>
      <c r="O145" s="140">
        <f t="shared" si="53"/>
        <v>0</v>
      </c>
      <c r="P145" s="140">
        <f t="shared" si="53"/>
        <v>1</v>
      </c>
      <c r="Q145" s="140">
        <f t="shared" si="53"/>
        <v>0</v>
      </c>
      <c r="R145" s="140">
        <f t="shared" si="53"/>
        <v>0</v>
      </c>
      <c r="S145" s="140">
        <f t="shared" si="53"/>
        <v>0</v>
      </c>
      <c r="T145" s="140">
        <f t="shared" si="53"/>
        <v>1</v>
      </c>
      <c r="U145" s="140">
        <f t="shared" si="53"/>
        <v>1</v>
      </c>
      <c r="V145" s="140">
        <f t="shared" si="53"/>
        <v>1</v>
      </c>
      <c r="W145" s="140">
        <f t="shared" si="53"/>
        <v>1</v>
      </c>
      <c r="X145" s="140">
        <f t="shared" si="53"/>
        <v>1</v>
      </c>
      <c r="Y145" s="140">
        <f t="shared" si="53"/>
        <v>0</v>
      </c>
      <c r="AA145" s="140">
        <f t="shared" si="54"/>
        <v>1</v>
      </c>
      <c r="AB145" s="140">
        <f t="shared" si="54"/>
        <v>0</v>
      </c>
      <c r="AC145" s="140">
        <f t="shared" si="54"/>
        <v>1</v>
      </c>
      <c r="AD145" s="140">
        <f t="shared" si="54"/>
        <v>0</v>
      </c>
      <c r="AE145" s="140">
        <f t="shared" si="54"/>
        <v>1</v>
      </c>
      <c r="AF145" s="140">
        <f t="shared" si="54"/>
        <v>1</v>
      </c>
      <c r="AG145" s="140">
        <f t="shared" si="54"/>
        <v>0</v>
      </c>
      <c r="AH145" s="140">
        <f t="shared" si="54"/>
        <v>0</v>
      </c>
      <c r="AI145" s="140">
        <f t="shared" si="54"/>
        <v>0.5</v>
      </c>
      <c r="AJ145" s="140">
        <f t="shared" si="54"/>
        <v>0</v>
      </c>
      <c r="AK145" s="140">
        <f t="shared" si="54"/>
        <v>0</v>
      </c>
      <c r="AL145" s="140">
        <f t="shared" si="54"/>
        <v>1</v>
      </c>
      <c r="AM145" s="140">
        <f t="shared" si="54"/>
        <v>0</v>
      </c>
      <c r="AN145" s="140">
        <f t="shared" si="54"/>
        <v>0</v>
      </c>
      <c r="AO145" s="140">
        <f t="shared" si="54"/>
        <v>1</v>
      </c>
      <c r="AP145" s="140">
        <f t="shared" si="54"/>
        <v>0</v>
      </c>
      <c r="AQ145" s="140">
        <f t="shared" si="54"/>
        <v>0</v>
      </c>
      <c r="AR145" s="140">
        <f t="shared" si="54"/>
        <v>0</v>
      </c>
      <c r="AS145" s="140">
        <f t="shared" si="54"/>
        <v>1</v>
      </c>
      <c r="AT145" s="140">
        <f t="shared" si="54"/>
        <v>1</v>
      </c>
      <c r="AU145" s="140">
        <f t="shared" si="54"/>
        <v>1</v>
      </c>
      <c r="AV145" s="140">
        <f t="shared" si="54"/>
        <v>1</v>
      </c>
      <c r="AW145" s="140">
        <f t="shared" si="54"/>
        <v>1</v>
      </c>
      <c r="AX145" s="140">
        <f t="shared" si="54"/>
        <v>0</v>
      </c>
      <c r="AY145" s="140">
        <f t="shared" si="55"/>
        <v>11.5</v>
      </c>
      <c r="AZ145" s="22" t="s">
        <v>158</v>
      </c>
    </row>
    <row r="146" spans="1:52">
      <c r="A146" s="140" t="s">
        <v>176</v>
      </c>
      <c r="B146" s="140">
        <f t="shared" si="53"/>
        <v>0</v>
      </c>
      <c r="C146" s="140">
        <f t="shared" si="53"/>
        <v>0</v>
      </c>
      <c r="D146" s="140">
        <f t="shared" si="53"/>
        <v>0</v>
      </c>
      <c r="E146" s="140">
        <f t="shared" si="53"/>
        <v>0</v>
      </c>
      <c r="F146" s="140">
        <f t="shared" si="53"/>
        <v>0</v>
      </c>
      <c r="G146" s="140">
        <f t="shared" si="53"/>
        <v>1</v>
      </c>
      <c r="H146" s="140">
        <f t="shared" si="53"/>
        <v>0</v>
      </c>
      <c r="I146" s="140">
        <f t="shared" si="53"/>
        <v>1</v>
      </c>
      <c r="J146" s="140">
        <f t="shared" si="53"/>
        <v>0</v>
      </c>
      <c r="K146" s="140">
        <f t="shared" si="53"/>
        <v>1</v>
      </c>
      <c r="L146" s="140">
        <f t="shared" si="53"/>
        <v>0</v>
      </c>
      <c r="M146" s="140">
        <f t="shared" si="53"/>
        <v>1</v>
      </c>
      <c r="N146" s="140">
        <f t="shared" si="53"/>
        <v>0</v>
      </c>
      <c r="O146" s="140">
        <f t="shared" si="53"/>
        <v>1</v>
      </c>
      <c r="P146" s="140">
        <f t="shared" si="53"/>
        <v>0</v>
      </c>
      <c r="Q146" s="140">
        <f t="shared" si="53"/>
        <v>0</v>
      </c>
      <c r="R146" s="140">
        <f t="shared" si="53"/>
        <v>0</v>
      </c>
      <c r="S146" s="140">
        <f t="shared" si="53"/>
        <v>1</v>
      </c>
      <c r="T146" s="140">
        <f t="shared" si="53"/>
        <v>0</v>
      </c>
      <c r="U146" s="140">
        <f t="shared" si="53"/>
        <v>1</v>
      </c>
      <c r="V146" s="140">
        <f t="shared" si="53"/>
        <v>1</v>
      </c>
      <c r="W146" s="140">
        <f t="shared" si="53"/>
        <v>0</v>
      </c>
      <c r="X146" s="140">
        <f t="shared" si="53"/>
        <v>0</v>
      </c>
      <c r="Y146" s="140">
        <f t="shared" si="53"/>
        <v>0</v>
      </c>
      <c r="AA146" s="140">
        <f t="shared" si="54"/>
        <v>0</v>
      </c>
      <c r="AB146" s="140">
        <f t="shared" si="54"/>
        <v>0</v>
      </c>
      <c r="AC146" s="140">
        <f t="shared" si="54"/>
        <v>0</v>
      </c>
      <c r="AD146" s="140">
        <f t="shared" si="54"/>
        <v>0</v>
      </c>
      <c r="AE146" s="140">
        <f t="shared" si="54"/>
        <v>0</v>
      </c>
      <c r="AF146" s="140">
        <f t="shared" si="54"/>
        <v>1</v>
      </c>
      <c r="AG146" s="140">
        <f t="shared" si="54"/>
        <v>0</v>
      </c>
      <c r="AH146" s="140">
        <f t="shared" si="54"/>
        <v>1</v>
      </c>
      <c r="AI146" s="140">
        <f t="shared" si="54"/>
        <v>0</v>
      </c>
      <c r="AJ146" s="140">
        <f t="shared" si="54"/>
        <v>1</v>
      </c>
      <c r="AK146" s="140">
        <f t="shared" si="54"/>
        <v>0</v>
      </c>
      <c r="AL146" s="140">
        <f t="shared" si="54"/>
        <v>1</v>
      </c>
      <c r="AM146" s="140">
        <f t="shared" si="54"/>
        <v>0</v>
      </c>
      <c r="AN146" s="140">
        <f t="shared" si="54"/>
        <v>1</v>
      </c>
      <c r="AO146" s="140">
        <f t="shared" si="54"/>
        <v>0</v>
      </c>
      <c r="AP146" s="140">
        <f t="shared" si="54"/>
        <v>0</v>
      </c>
      <c r="AQ146" s="140">
        <f t="shared" si="54"/>
        <v>0</v>
      </c>
      <c r="AR146" s="140">
        <f t="shared" si="54"/>
        <v>1</v>
      </c>
      <c r="AS146" s="140">
        <f t="shared" si="54"/>
        <v>0</v>
      </c>
      <c r="AT146" s="140">
        <f t="shared" si="54"/>
        <v>1</v>
      </c>
      <c r="AU146" s="140">
        <f t="shared" si="54"/>
        <v>1</v>
      </c>
      <c r="AV146" s="140">
        <f t="shared" si="54"/>
        <v>0</v>
      </c>
      <c r="AW146" s="140">
        <f t="shared" si="54"/>
        <v>0</v>
      </c>
      <c r="AX146" s="140">
        <f t="shared" si="54"/>
        <v>0</v>
      </c>
      <c r="AY146" s="140">
        <f t="shared" si="55"/>
        <v>8</v>
      </c>
      <c r="AZ146" s="22" t="s">
        <v>158</v>
      </c>
    </row>
    <row r="147" spans="1:52">
      <c r="A147" s="140" t="s">
        <v>177</v>
      </c>
      <c r="B147" s="140">
        <f t="shared" si="53"/>
        <v>1</v>
      </c>
      <c r="C147" s="140">
        <f t="shared" si="53"/>
        <v>0</v>
      </c>
      <c r="D147" s="140">
        <f t="shared" si="53"/>
        <v>1</v>
      </c>
      <c r="E147" s="140">
        <f t="shared" si="53"/>
        <v>1</v>
      </c>
      <c r="F147" s="140">
        <f t="shared" si="53"/>
        <v>1</v>
      </c>
      <c r="G147" s="140">
        <f t="shared" si="53"/>
        <v>0</v>
      </c>
      <c r="H147" s="140">
        <f t="shared" si="53"/>
        <v>1</v>
      </c>
      <c r="I147" s="140">
        <f t="shared" si="53"/>
        <v>1</v>
      </c>
      <c r="J147" s="140">
        <f t="shared" si="53"/>
        <v>1</v>
      </c>
      <c r="K147" s="140">
        <f t="shared" si="53"/>
        <v>1</v>
      </c>
      <c r="L147" s="140">
        <f t="shared" si="53"/>
        <v>1</v>
      </c>
      <c r="M147" s="140">
        <f t="shared" si="53"/>
        <v>0</v>
      </c>
      <c r="N147" s="140">
        <f t="shared" si="53"/>
        <v>0</v>
      </c>
      <c r="O147" s="140">
        <f t="shared" si="53"/>
        <v>0</v>
      </c>
      <c r="P147" s="140">
        <f t="shared" si="53"/>
        <v>0</v>
      </c>
      <c r="Q147" s="140">
        <f t="shared" ref="Q147:Y147" si="57">IF(IFERROR(FIND($A$136,Q15,1),0)=0,0,1)</f>
        <v>0</v>
      </c>
      <c r="R147" s="140">
        <f t="shared" si="57"/>
        <v>0</v>
      </c>
      <c r="S147" s="140">
        <f t="shared" si="57"/>
        <v>1</v>
      </c>
      <c r="T147" s="140">
        <f t="shared" si="57"/>
        <v>1</v>
      </c>
      <c r="U147" s="140">
        <f t="shared" si="57"/>
        <v>1</v>
      </c>
      <c r="V147" s="140">
        <f t="shared" si="57"/>
        <v>1</v>
      </c>
      <c r="W147" s="140">
        <f t="shared" si="57"/>
        <v>1</v>
      </c>
      <c r="X147" s="140">
        <f t="shared" si="57"/>
        <v>0</v>
      </c>
      <c r="Y147" s="140">
        <f t="shared" si="57"/>
        <v>0</v>
      </c>
      <c r="AA147" s="140">
        <f t="shared" si="54"/>
        <v>1</v>
      </c>
      <c r="AB147" s="140">
        <f t="shared" si="54"/>
        <v>0</v>
      </c>
      <c r="AC147" s="140">
        <f t="shared" si="54"/>
        <v>1</v>
      </c>
      <c r="AD147" s="140">
        <f t="shared" si="54"/>
        <v>1</v>
      </c>
      <c r="AE147" s="140">
        <f t="shared" si="54"/>
        <v>1</v>
      </c>
      <c r="AF147" s="140">
        <f t="shared" si="54"/>
        <v>0</v>
      </c>
      <c r="AG147" s="140">
        <f t="shared" si="54"/>
        <v>1</v>
      </c>
      <c r="AH147" s="140">
        <f t="shared" si="54"/>
        <v>1</v>
      </c>
      <c r="AI147" s="140">
        <f t="shared" si="54"/>
        <v>1</v>
      </c>
      <c r="AJ147" s="140">
        <f t="shared" si="54"/>
        <v>1</v>
      </c>
      <c r="AK147" s="140">
        <f t="shared" si="54"/>
        <v>1</v>
      </c>
      <c r="AL147" s="140">
        <f t="shared" si="54"/>
        <v>0</v>
      </c>
      <c r="AM147" s="140">
        <f t="shared" si="54"/>
        <v>0</v>
      </c>
      <c r="AN147" s="140">
        <f t="shared" si="54"/>
        <v>0</v>
      </c>
      <c r="AO147" s="140">
        <f t="shared" si="54"/>
        <v>0</v>
      </c>
      <c r="AP147" s="140">
        <f t="shared" ref="AP147:AX162" si="58">IF(Q147=0,0,Q147/AP15)</f>
        <v>0</v>
      </c>
      <c r="AQ147" s="140">
        <f t="shared" si="58"/>
        <v>0</v>
      </c>
      <c r="AR147" s="140">
        <f t="shared" si="58"/>
        <v>1</v>
      </c>
      <c r="AS147" s="140">
        <f t="shared" si="58"/>
        <v>1</v>
      </c>
      <c r="AT147" s="140">
        <f t="shared" si="58"/>
        <v>1</v>
      </c>
      <c r="AU147" s="140">
        <f t="shared" si="58"/>
        <v>1</v>
      </c>
      <c r="AV147" s="140">
        <f t="shared" si="58"/>
        <v>1</v>
      </c>
      <c r="AW147" s="140">
        <f t="shared" si="58"/>
        <v>0</v>
      </c>
      <c r="AX147" s="140">
        <f t="shared" si="58"/>
        <v>0</v>
      </c>
      <c r="AY147" s="140">
        <f t="shared" si="55"/>
        <v>14</v>
      </c>
      <c r="AZ147" s="22" t="s">
        <v>158</v>
      </c>
    </row>
    <row r="148" spans="1:52">
      <c r="A148" s="140" t="s">
        <v>178</v>
      </c>
      <c r="B148" s="140">
        <f t="shared" ref="B148:Y158" si="59">IF(IFERROR(FIND($A$136,B16,1),0)=0,0,1)</f>
        <v>0</v>
      </c>
      <c r="C148" s="140">
        <f t="shared" si="59"/>
        <v>0</v>
      </c>
      <c r="D148" s="140">
        <f t="shared" si="59"/>
        <v>0</v>
      </c>
      <c r="E148" s="140">
        <f t="shared" si="59"/>
        <v>0</v>
      </c>
      <c r="F148" s="140">
        <f t="shared" si="59"/>
        <v>0</v>
      </c>
      <c r="G148" s="140">
        <f t="shared" si="59"/>
        <v>0</v>
      </c>
      <c r="H148" s="140">
        <f t="shared" si="59"/>
        <v>0</v>
      </c>
      <c r="I148" s="140">
        <f t="shared" si="59"/>
        <v>0</v>
      </c>
      <c r="J148" s="140">
        <f t="shared" si="59"/>
        <v>0</v>
      </c>
      <c r="K148" s="140">
        <f t="shared" si="59"/>
        <v>0</v>
      </c>
      <c r="L148" s="140">
        <f t="shared" si="59"/>
        <v>0</v>
      </c>
      <c r="M148" s="140">
        <f t="shared" si="59"/>
        <v>1</v>
      </c>
      <c r="N148" s="140">
        <f t="shared" si="59"/>
        <v>1</v>
      </c>
      <c r="O148" s="140">
        <f t="shared" si="59"/>
        <v>1</v>
      </c>
      <c r="P148" s="140">
        <f t="shared" si="59"/>
        <v>0</v>
      </c>
      <c r="Q148" s="140">
        <f t="shared" si="59"/>
        <v>0</v>
      </c>
      <c r="R148" s="140">
        <f t="shared" si="59"/>
        <v>0</v>
      </c>
      <c r="S148" s="140">
        <f t="shared" si="59"/>
        <v>1</v>
      </c>
      <c r="T148" s="140">
        <f t="shared" si="59"/>
        <v>1</v>
      </c>
      <c r="U148" s="140">
        <f t="shared" si="59"/>
        <v>1</v>
      </c>
      <c r="V148" s="140">
        <f t="shared" si="59"/>
        <v>1</v>
      </c>
      <c r="W148" s="140">
        <f t="shared" si="59"/>
        <v>0</v>
      </c>
      <c r="X148" s="140">
        <f t="shared" si="59"/>
        <v>1</v>
      </c>
      <c r="Y148" s="140">
        <f t="shared" si="59"/>
        <v>0</v>
      </c>
      <c r="AA148" s="140">
        <f t="shared" ref="AA148:AP163" si="60">IF(B148=0,0,B148/AA16)</f>
        <v>0</v>
      </c>
      <c r="AB148" s="140">
        <f t="shared" si="60"/>
        <v>0</v>
      </c>
      <c r="AC148" s="140">
        <f t="shared" si="60"/>
        <v>0</v>
      </c>
      <c r="AD148" s="140">
        <f t="shared" si="60"/>
        <v>0</v>
      </c>
      <c r="AE148" s="140">
        <f t="shared" si="60"/>
        <v>0</v>
      </c>
      <c r="AF148" s="140">
        <f t="shared" si="60"/>
        <v>0</v>
      </c>
      <c r="AG148" s="140">
        <f t="shared" si="60"/>
        <v>0</v>
      </c>
      <c r="AH148" s="140">
        <f t="shared" si="60"/>
        <v>0</v>
      </c>
      <c r="AI148" s="140">
        <f t="shared" si="60"/>
        <v>0</v>
      </c>
      <c r="AJ148" s="140">
        <f t="shared" si="60"/>
        <v>0</v>
      </c>
      <c r="AK148" s="140">
        <f t="shared" si="60"/>
        <v>0</v>
      </c>
      <c r="AL148" s="140">
        <f t="shared" si="60"/>
        <v>1</v>
      </c>
      <c r="AM148" s="140">
        <f t="shared" si="60"/>
        <v>1</v>
      </c>
      <c r="AN148" s="140">
        <f t="shared" si="60"/>
        <v>1</v>
      </c>
      <c r="AO148" s="140">
        <f t="shared" si="60"/>
        <v>0</v>
      </c>
      <c r="AP148" s="140">
        <f t="shared" si="58"/>
        <v>0</v>
      </c>
      <c r="AQ148" s="140">
        <f t="shared" si="58"/>
        <v>0</v>
      </c>
      <c r="AR148" s="140">
        <f t="shared" si="58"/>
        <v>1</v>
      </c>
      <c r="AS148" s="140">
        <f t="shared" si="58"/>
        <v>1</v>
      </c>
      <c r="AT148" s="140">
        <f t="shared" si="58"/>
        <v>1</v>
      </c>
      <c r="AU148" s="140">
        <f t="shared" si="58"/>
        <v>1</v>
      </c>
      <c r="AV148" s="140">
        <f t="shared" si="58"/>
        <v>0</v>
      </c>
      <c r="AW148" s="140">
        <f t="shared" si="58"/>
        <v>1</v>
      </c>
      <c r="AX148" s="140">
        <f t="shared" si="58"/>
        <v>0</v>
      </c>
      <c r="AY148" s="140">
        <f t="shared" si="55"/>
        <v>8</v>
      </c>
      <c r="AZ148" s="22" t="s">
        <v>158</v>
      </c>
    </row>
    <row r="149" spans="1:52">
      <c r="A149" s="140" t="s">
        <v>179</v>
      </c>
      <c r="B149" s="140">
        <f t="shared" si="59"/>
        <v>0</v>
      </c>
      <c r="C149" s="140">
        <f t="shared" si="59"/>
        <v>1</v>
      </c>
      <c r="D149" s="140">
        <f t="shared" si="59"/>
        <v>1</v>
      </c>
      <c r="E149" s="140">
        <f t="shared" si="59"/>
        <v>0</v>
      </c>
      <c r="F149" s="140">
        <f t="shared" si="59"/>
        <v>0</v>
      </c>
      <c r="G149" s="140">
        <f t="shared" si="59"/>
        <v>1</v>
      </c>
      <c r="H149" s="140">
        <f t="shared" si="59"/>
        <v>0</v>
      </c>
      <c r="I149" s="140">
        <f t="shared" si="59"/>
        <v>1</v>
      </c>
      <c r="J149" s="140">
        <f t="shared" si="59"/>
        <v>1</v>
      </c>
      <c r="K149" s="140">
        <f t="shared" si="59"/>
        <v>1</v>
      </c>
      <c r="L149" s="140">
        <f t="shared" si="59"/>
        <v>1</v>
      </c>
      <c r="M149" s="140">
        <f t="shared" si="59"/>
        <v>1</v>
      </c>
      <c r="N149" s="140">
        <f t="shared" si="59"/>
        <v>1</v>
      </c>
      <c r="O149" s="140">
        <f t="shared" si="59"/>
        <v>1</v>
      </c>
      <c r="P149" s="140">
        <f t="shared" si="59"/>
        <v>1</v>
      </c>
      <c r="Q149" s="140">
        <f t="shared" si="59"/>
        <v>0</v>
      </c>
      <c r="R149" s="140">
        <f t="shared" si="59"/>
        <v>1</v>
      </c>
      <c r="S149" s="140">
        <f t="shared" si="59"/>
        <v>0</v>
      </c>
      <c r="T149" s="140">
        <f t="shared" si="59"/>
        <v>1</v>
      </c>
      <c r="U149" s="140">
        <f t="shared" si="59"/>
        <v>1</v>
      </c>
      <c r="V149" s="140">
        <f t="shared" si="59"/>
        <v>1</v>
      </c>
      <c r="W149" s="140">
        <f t="shared" si="59"/>
        <v>0</v>
      </c>
      <c r="X149" s="140">
        <f t="shared" si="59"/>
        <v>1</v>
      </c>
      <c r="Y149" s="140">
        <f t="shared" si="59"/>
        <v>0</v>
      </c>
      <c r="AA149" s="140">
        <f t="shared" si="60"/>
        <v>0</v>
      </c>
      <c r="AB149" s="140">
        <f t="shared" si="60"/>
        <v>1</v>
      </c>
      <c r="AC149" s="140">
        <f t="shared" si="60"/>
        <v>1</v>
      </c>
      <c r="AD149" s="140">
        <f t="shared" si="60"/>
        <v>0</v>
      </c>
      <c r="AE149" s="140">
        <f t="shared" si="60"/>
        <v>0</v>
      </c>
      <c r="AF149" s="140">
        <f t="shared" si="60"/>
        <v>1</v>
      </c>
      <c r="AG149" s="140">
        <f t="shared" si="60"/>
        <v>0</v>
      </c>
      <c r="AH149" s="140">
        <f t="shared" si="60"/>
        <v>1</v>
      </c>
      <c r="AI149" s="140">
        <f t="shared" si="60"/>
        <v>1</v>
      </c>
      <c r="AJ149" s="140">
        <f t="shared" si="60"/>
        <v>1</v>
      </c>
      <c r="AK149" s="140">
        <f t="shared" si="60"/>
        <v>1</v>
      </c>
      <c r="AL149" s="140">
        <f t="shared" si="60"/>
        <v>1</v>
      </c>
      <c r="AM149" s="140">
        <f t="shared" si="60"/>
        <v>1</v>
      </c>
      <c r="AN149" s="140">
        <f t="shared" si="60"/>
        <v>1</v>
      </c>
      <c r="AO149" s="140">
        <f t="shared" si="60"/>
        <v>1</v>
      </c>
      <c r="AP149" s="140">
        <f t="shared" si="58"/>
        <v>0</v>
      </c>
      <c r="AQ149" s="140">
        <f t="shared" si="58"/>
        <v>1</v>
      </c>
      <c r="AR149" s="140">
        <f t="shared" si="58"/>
        <v>0</v>
      </c>
      <c r="AS149" s="140">
        <f t="shared" si="58"/>
        <v>1</v>
      </c>
      <c r="AT149" s="140">
        <f t="shared" si="58"/>
        <v>1</v>
      </c>
      <c r="AU149" s="140">
        <f t="shared" si="58"/>
        <v>1</v>
      </c>
      <c r="AV149" s="140">
        <f t="shared" si="58"/>
        <v>0</v>
      </c>
      <c r="AW149" s="140">
        <f t="shared" si="58"/>
        <v>1</v>
      </c>
      <c r="AX149" s="140">
        <f t="shared" si="58"/>
        <v>0</v>
      </c>
      <c r="AY149" s="140">
        <f t="shared" si="55"/>
        <v>16</v>
      </c>
      <c r="AZ149" s="22" t="s">
        <v>158</v>
      </c>
    </row>
    <row r="150" spans="1:52">
      <c r="A150" s="140" t="s">
        <v>180</v>
      </c>
      <c r="B150" s="140">
        <f t="shared" si="59"/>
        <v>0</v>
      </c>
      <c r="C150" s="140">
        <f t="shared" si="59"/>
        <v>0</v>
      </c>
      <c r="D150" s="140">
        <f t="shared" si="59"/>
        <v>0</v>
      </c>
      <c r="E150" s="140">
        <f t="shared" si="59"/>
        <v>0</v>
      </c>
      <c r="F150" s="140">
        <f t="shared" si="59"/>
        <v>0</v>
      </c>
      <c r="G150" s="140">
        <f t="shared" si="59"/>
        <v>0</v>
      </c>
      <c r="H150" s="140">
        <f t="shared" si="59"/>
        <v>1</v>
      </c>
      <c r="I150" s="140">
        <f t="shared" si="59"/>
        <v>1</v>
      </c>
      <c r="J150" s="140">
        <f t="shared" si="59"/>
        <v>0</v>
      </c>
      <c r="K150" s="140">
        <f t="shared" si="59"/>
        <v>1</v>
      </c>
      <c r="L150" s="140">
        <f t="shared" si="59"/>
        <v>0</v>
      </c>
      <c r="M150" s="140">
        <f t="shared" si="59"/>
        <v>0</v>
      </c>
      <c r="N150" s="140">
        <f t="shared" si="59"/>
        <v>1</v>
      </c>
      <c r="O150" s="140">
        <f t="shared" si="59"/>
        <v>1</v>
      </c>
      <c r="P150" s="140">
        <f t="shared" si="59"/>
        <v>1</v>
      </c>
      <c r="Q150" s="140">
        <f t="shared" si="59"/>
        <v>0</v>
      </c>
      <c r="R150" s="140">
        <f t="shared" si="59"/>
        <v>0</v>
      </c>
      <c r="S150" s="140">
        <f t="shared" si="59"/>
        <v>0</v>
      </c>
      <c r="T150" s="140">
        <f t="shared" si="59"/>
        <v>1</v>
      </c>
      <c r="U150" s="140">
        <f t="shared" si="59"/>
        <v>0</v>
      </c>
      <c r="V150" s="140">
        <f t="shared" si="59"/>
        <v>0</v>
      </c>
      <c r="W150" s="140">
        <f t="shared" si="59"/>
        <v>1</v>
      </c>
      <c r="X150" s="140">
        <f t="shared" si="59"/>
        <v>1</v>
      </c>
      <c r="Y150" s="140">
        <f t="shared" si="59"/>
        <v>1</v>
      </c>
      <c r="AA150" s="140">
        <f t="shared" si="60"/>
        <v>0</v>
      </c>
      <c r="AB150" s="140">
        <f t="shared" si="60"/>
        <v>0</v>
      </c>
      <c r="AC150" s="140">
        <f t="shared" si="60"/>
        <v>0</v>
      </c>
      <c r="AD150" s="140">
        <f t="shared" si="60"/>
        <v>0</v>
      </c>
      <c r="AE150" s="140">
        <f t="shared" si="60"/>
        <v>0</v>
      </c>
      <c r="AF150" s="140">
        <f t="shared" si="60"/>
        <v>0</v>
      </c>
      <c r="AG150" s="140">
        <f t="shared" si="60"/>
        <v>1</v>
      </c>
      <c r="AH150" s="140">
        <f t="shared" si="60"/>
        <v>1</v>
      </c>
      <c r="AI150" s="140">
        <f t="shared" si="60"/>
        <v>0</v>
      </c>
      <c r="AJ150" s="140">
        <f t="shared" si="60"/>
        <v>1</v>
      </c>
      <c r="AK150" s="140">
        <f t="shared" si="60"/>
        <v>0</v>
      </c>
      <c r="AL150" s="140">
        <f t="shared" si="60"/>
        <v>0</v>
      </c>
      <c r="AM150" s="140">
        <f t="shared" si="60"/>
        <v>1</v>
      </c>
      <c r="AN150" s="140">
        <f t="shared" si="60"/>
        <v>1</v>
      </c>
      <c r="AO150" s="140">
        <f t="shared" si="60"/>
        <v>1</v>
      </c>
      <c r="AP150" s="140">
        <f t="shared" si="58"/>
        <v>0</v>
      </c>
      <c r="AQ150" s="140">
        <f t="shared" si="58"/>
        <v>0</v>
      </c>
      <c r="AR150" s="140">
        <f t="shared" si="58"/>
        <v>0</v>
      </c>
      <c r="AS150" s="140">
        <f t="shared" si="58"/>
        <v>1</v>
      </c>
      <c r="AT150" s="140">
        <f t="shared" si="58"/>
        <v>0</v>
      </c>
      <c r="AU150" s="140">
        <f t="shared" si="58"/>
        <v>0</v>
      </c>
      <c r="AV150" s="140">
        <f t="shared" si="58"/>
        <v>1</v>
      </c>
      <c r="AW150" s="140">
        <f t="shared" si="58"/>
        <v>1</v>
      </c>
      <c r="AX150" s="140">
        <f t="shared" si="58"/>
        <v>1</v>
      </c>
      <c r="AY150" s="140">
        <f t="shared" si="55"/>
        <v>10</v>
      </c>
      <c r="AZ150" s="22" t="s">
        <v>158</v>
      </c>
    </row>
    <row r="151" spans="1:52">
      <c r="A151" s="140" t="s">
        <v>181</v>
      </c>
      <c r="B151" s="140">
        <f t="shared" si="59"/>
        <v>0</v>
      </c>
      <c r="C151" s="140">
        <f t="shared" si="59"/>
        <v>1</v>
      </c>
      <c r="D151" s="140">
        <f t="shared" si="59"/>
        <v>1</v>
      </c>
      <c r="E151" s="140">
        <f t="shared" si="59"/>
        <v>0</v>
      </c>
      <c r="F151" s="140">
        <f t="shared" si="59"/>
        <v>0</v>
      </c>
      <c r="G151" s="140">
        <f t="shared" si="59"/>
        <v>0</v>
      </c>
      <c r="H151" s="140">
        <f t="shared" si="59"/>
        <v>0</v>
      </c>
      <c r="I151" s="140">
        <f t="shared" si="59"/>
        <v>1</v>
      </c>
      <c r="J151" s="140">
        <f t="shared" si="59"/>
        <v>1</v>
      </c>
      <c r="K151" s="140">
        <f t="shared" si="59"/>
        <v>1</v>
      </c>
      <c r="L151" s="140">
        <f t="shared" si="59"/>
        <v>0</v>
      </c>
      <c r="M151" s="140">
        <f t="shared" si="59"/>
        <v>1</v>
      </c>
      <c r="N151" s="140">
        <f t="shared" si="59"/>
        <v>1</v>
      </c>
      <c r="O151" s="140">
        <f t="shared" si="59"/>
        <v>0</v>
      </c>
      <c r="P151" s="140">
        <f t="shared" si="59"/>
        <v>1</v>
      </c>
      <c r="Q151" s="140">
        <f t="shared" si="59"/>
        <v>1</v>
      </c>
      <c r="R151" s="140">
        <f t="shared" si="59"/>
        <v>1</v>
      </c>
      <c r="S151" s="140">
        <f t="shared" si="59"/>
        <v>1</v>
      </c>
      <c r="T151" s="140">
        <f t="shared" si="59"/>
        <v>0</v>
      </c>
      <c r="U151" s="140">
        <f t="shared" si="59"/>
        <v>1</v>
      </c>
      <c r="V151" s="140">
        <f t="shared" si="59"/>
        <v>1</v>
      </c>
      <c r="W151" s="140">
        <f t="shared" si="59"/>
        <v>1</v>
      </c>
      <c r="X151" s="140">
        <f t="shared" si="59"/>
        <v>0</v>
      </c>
      <c r="Y151" s="140">
        <f t="shared" si="59"/>
        <v>0</v>
      </c>
      <c r="AA151" s="140">
        <f t="shared" si="60"/>
        <v>0</v>
      </c>
      <c r="AB151" s="140">
        <f t="shared" si="60"/>
        <v>1</v>
      </c>
      <c r="AC151" s="140">
        <f t="shared" si="60"/>
        <v>1</v>
      </c>
      <c r="AD151" s="140">
        <f t="shared" si="60"/>
        <v>0</v>
      </c>
      <c r="AE151" s="140">
        <f t="shared" si="60"/>
        <v>0</v>
      </c>
      <c r="AF151" s="140">
        <f t="shared" si="60"/>
        <v>0</v>
      </c>
      <c r="AG151" s="140">
        <f t="shared" si="60"/>
        <v>0</v>
      </c>
      <c r="AH151" s="140">
        <f t="shared" si="60"/>
        <v>1</v>
      </c>
      <c r="AI151" s="140">
        <f t="shared" si="60"/>
        <v>1</v>
      </c>
      <c r="AJ151" s="140">
        <f t="shared" si="60"/>
        <v>1</v>
      </c>
      <c r="AK151" s="140">
        <f t="shared" si="60"/>
        <v>0</v>
      </c>
      <c r="AL151" s="140">
        <f t="shared" si="60"/>
        <v>1</v>
      </c>
      <c r="AM151" s="140">
        <f t="shared" si="60"/>
        <v>1</v>
      </c>
      <c r="AN151" s="140">
        <f t="shared" si="60"/>
        <v>0</v>
      </c>
      <c r="AO151" s="140">
        <f t="shared" si="60"/>
        <v>1</v>
      </c>
      <c r="AP151" s="140">
        <f t="shared" si="58"/>
        <v>1</v>
      </c>
      <c r="AQ151" s="140">
        <f t="shared" si="58"/>
        <v>1</v>
      </c>
      <c r="AR151" s="140">
        <f t="shared" si="58"/>
        <v>1</v>
      </c>
      <c r="AS151" s="140">
        <f t="shared" si="58"/>
        <v>0</v>
      </c>
      <c r="AT151" s="140">
        <f t="shared" si="58"/>
        <v>1</v>
      </c>
      <c r="AU151" s="140">
        <f t="shared" si="58"/>
        <v>1</v>
      </c>
      <c r="AV151" s="140">
        <f t="shared" si="58"/>
        <v>1</v>
      </c>
      <c r="AW151" s="140">
        <f t="shared" si="58"/>
        <v>0</v>
      </c>
      <c r="AX151" s="140">
        <f t="shared" si="58"/>
        <v>0</v>
      </c>
      <c r="AY151" s="140">
        <f t="shared" si="55"/>
        <v>14</v>
      </c>
      <c r="AZ151" s="22" t="s">
        <v>158</v>
      </c>
    </row>
    <row r="152" spans="1:52">
      <c r="A152" s="140" t="s">
        <v>182</v>
      </c>
      <c r="B152" s="140">
        <f t="shared" si="59"/>
        <v>1</v>
      </c>
      <c r="C152" s="140">
        <f t="shared" si="59"/>
        <v>1</v>
      </c>
      <c r="D152" s="140">
        <f t="shared" si="59"/>
        <v>0</v>
      </c>
      <c r="E152" s="140">
        <f t="shared" si="59"/>
        <v>1</v>
      </c>
      <c r="F152" s="140">
        <f t="shared" si="59"/>
        <v>0</v>
      </c>
      <c r="G152" s="140">
        <f t="shared" si="59"/>
        <v>0</v>
      </c>
      <c r="H152" s="140">
        <f t="shared" si="59"/>
        <v>1</v>
      </c>
      <c r="I152" s="140">
        <f t="shared" si="59"/>
        <v>0</v>
      </c>
      <c r="J152" s="140">
        <f t="shared" si="59"/>
        <v>0</v>
      </c>
      <c r="K152" s="140">
        <f t="shared" si="59"/>
        <v>0</v>
      </c>
      <c r="L152" s="140">
        <f t="shared" si="59"/>
        <v>0</v>
      </c>
      <c r="M152" s="140">
        <f t="shared" si="59"/>
        <v>0</v>
      </c>
      <c r="N152" s="140">
        <f t="shared" si="59"/>
        <v>0</v>
      </c>
      <c r="O152" s="140">
        <f t="shared" si="59"/>
        <v>1</v>
      </c>
      <c r="P152" s="140">
        <f t="shared" si="59"/>
        <v>0</v>
      </c>
      <c r="Q152" s="140">
        <f t="shared" si="59"/>
        <v>1</v>
      </c>
      <c r="R152" s="140">
        <f t="shared" si="59"/>
        <v>0</v>
      </c>
      <c r="S152" s="140">
        <f t="shared" si="59"/>
        <v>1</v>
      </c>
      <c r="T152" s="140">
        <f t="shared" si="59"/>
        <v>1</v>
      </c>
      <c r="U152" s="140">
        <f t="shared" si="59"/>
        <v>0</v>
      </c>
      <c r="V152" s="140">
        <f t="shared" si="59"/>
        <v>1</v>
      </c>
      <c r="W152" s="140">
        <f t="shared" si="59"/>
        <v>1</v>
      </c>
      <c r="X152" s="140">
        <f t="shared" si="59"/>
        <v>1</v>
      </c>
      <c r="Y152" s="140">
        <f t="shared" si="59"/>
        <v>1</v>
      </c>
      <c r="AA152" s="140">
        <f t="shared" si="60"/>
        <v>1</v>
      </c>
      <c r="AB152" s="140">
        <f t="shared" si="60"/>
        <v>1</v>
      </c>
      <c r="AC152" s="140">
        <f t="shared" si="60"/>
        <v>0</v>
      </c>
      <c r="AD152" s="140">
        <f t="shared" si="60"/>
        <v>1</v>
      </c>
      <c r="AE152" s="140">
        <f t="shared" si="60"/>
        <v>0</v>
      </c>
      <c r="AF152" s="140">
        <f t="shared" si="60"/>
        <v>0</v>
      </c>
      <c r="AG152" s="140">
        <f t="shared" si="60"/>
        <v>1</v>
      </c>
      <c r="AH152" s="140">
        <f t="shared" si="60"/>
        <v>0</v>
      </c>
      <c r="AI152" s="140">
        <f t="shared" si="60"/>
        <v>0</v>
      </c>
      <c r="AJ152" s="140">
        <f t="shared" si="60"/>
        <v>0</v>
      </c>
      <c r="AK152" s="140">
        <f t="shared" si="60"/>
        <v>0</v>
      </c>
      <c r="AL152" s="140">
        <f t="shared" si="60"/>
        <v>0</v>
      </c>
      <c r="AM152" s="140">
        <f t="shared" si="60"/>
        <v>0</v>
      </c>
      <c r="AN152" s="140">
        <f t="shared" si="60"/>
        <v>1</v>
      </c>
      <c r="AO152" s="140">
        <f t="shared" si="60"/>
        <v>0</v>
      </c>
      <c r="AP152" s="140">
        <f t="shared" si="58"/>
        <v>1</v>
      </c>
      <c r="AQ152" s="140">
        <f t="shared" si="58"/>
        <v>0</v>
      </c>
      <c r="AR152" s="140">
        <f t="shared" si="58"/>
        <v>1</v>
      </c>
      <c r="AS152" s="140">
        <f t="shared" si="58"/>
        <v>1</v>
      </c>
      <c r="AT152" s="140">
        <f t="shared" si="58"/>
        <v>0</v>
      </c>
      <c r="AU152" s="140">
        <f t="shared" si="58"/>
        <v>1</v>
      </c>
      <c r="AV152" s="140">
        <f t="shared" si="58"/>
        <v>1</v>
      </c>
      <c r="AW152" s="140">
        <f t="shared" si="58"/>
        <v>1</v>
      </c>
      <c r="AX152" s="140">
        <f t="shared" si="58"/>
        <v>1</v>
      </c>
      <c r="AY152" s="140">
        <f t="shared" si="55"/>
        <v>12</v>
      </c>
      <c r="AZ152" s="22" t="s">
        <v>158</v>
      </c>
    </row>
    <row r="153" spans="1:52">
      <c r="A153" s="140" t="s">
        <v>183</v>
      </c>
      <c r="B153" s="140">
        <f t="shared" si="59"/>
        <v>1</v>
      </c>
      <c r="C153" s="140">
        <f t="shared" si="59"/>
        <v>1</v>
      </c>
      <c r="D153" s="140">
        <f t="shared" si="59"/>
        <v>0</v>
      </c>
      <c r="E153" s="140">
        <f t="shared" si="59"/>
        <v>1</v>
      </c>
      <c r="F153" s="140">
        <f t="shared" si="59"/>
        <v>0</v>
      </c>
      <c r="G153" s="140">
        <f t="shared" si="59"/>
        <v>0</v>
      </c>
      <c r="H153" s="140">
        <f t="shared" si="59"/>
        <v>1</v>
      </c>
      <c r="I153" s="140">
        <f t="shared" si="59"/>
        <v>0</v>
      </c>
      <c r="J153" s="140">
        <f t="shared" si="59"/>
        <v>1</v>
      </c>
      <c r="K153" s="140">
        <f t="shared" si="59"/>
        <v>1</v>
      </c>
      <c r="L153" s="140">
        <f t="shared" si="59"/>
        <v>1</v>
      </c>
      <c r="M153" s="140">
        <f t="shared" si="59"/>
        <v>1</v>
      </c>
      <c r="N153" s="140">
        <f t="shared" si="59"/>
        <v>1</v>
      </c>
      <c r="O153" s="140">
        <f t="shared" si="59"/>
        <v>1</v>
      </c>
      <c r="P153" s="140">
        <f t="shared" si="59"/>
        <v>1</v>
      </c>
      <c r="Q153" s="140">
        <f t="shared" si="59"/>
        <v>1</v>
      </c>
      <c r="R153" s="140">
        <f t="shared" si="59"/>
        <v>0</v>
      </c>
      <c r="S153" s="140">
        <f t="shared" si="59"/>
        <v>1</v>
      </c>
      <c r="T153" s="140">
        <f t="shared" si="59"/>
        <v>1</v>
      </c>
      <c r="U153" s="140">
        <f t="shared" si="59"/>
        <v>1</v>
      </c>
      <c r="V153" s="140">
        <f t="shared" si="59"/>
        <v>0</v>
      </c>
      <c r="W153" s="140">
        <f t="shared" si="59"/>
        <v>1</v>
      </c>
      <c r="X153" s="140">
        <f t="shared" si="59"/>
        <v>1</v>
      </c>
      <c r="Y153" s="140">
        <f t="shared" si="59"/>
        <v>1</v>
      </c>
      <c r="AA153" s="140">
        <f t="shared" si="60"/>
        <v>1</v>
      </c>
      <c r="AB153" s="140">
        <f t="shared" si="60"/>
        <v>1</v>
      </c>
      <c r="AC153" s="140">
        <f t="shared" si="60"/>
        <v>0</v>
      </c>
      <c r="AD153" s="140">
        <f t="shared" si="60"/>
        <v>1</v>
      </c>
      <c r="AE153" s="140">
        <f t="shared" si="60"/>
        <v>0</v>
      </c>
      <c r="AF153" s="140">
        <f t="shared" si="60"/>
        <v>0</v>
      </c>
      <c r="AG153" s="140">
        <f t="shared" si="60"/>
        <v>1</v>
      </c>
      <c r="AH153" s="140">
        <f t="shared" si="60"/>
        <v>0</v>
      </c>
      <c r="AI153" s="140">
        <f t="shared" si="60"/>
        <v>1</v>
      </c>
      <c r="AJ153" s="140">
        <f t="shared" si="60"/>
        <v>1</v>
      </c>
      <c r="AK153" s="140">
        <f t="shared" si="60"/>
        <v>1</v>
      </c>
      <c r="AL153" s="140">
        <f t="shared" si="60"/>
        <v>1</v>
      </c>
      <c r="AM153" s="140">
        <f t="shared" si="60"/>
        <v>1</v>
      </c>
      <c r="AN153" s="140">
        <f t="shared" si="60"/>
        <v>1</v>
      </c>
      <c r="AO153" s="140">
        <f t="shared" si="60"/>
        <v>1</v>
      </c>
      <c r="AP153" s="140">
        <f t="shared" si="58"/>
        <v>1</v>
      </c>
      <c r="AQ153" s="140">
        <f t="shared" si="58"/>
        <v>0</v>
      </c>
      <c r="AR153" s="140">
        <f t="shared" si="58"/>
        <v>1</v>
      </c>
      <c r="AS153" s="140">
        <f t="shared" si="58"/>
        <v>0.5</v>
      </c>
      <c r="AT153" s="140">
        <f t="shared" si="58"/>
        <v>1</v>
      </c>
      <c r="AU153" s="140">
        <f t="shared" si="58"/>
        <v>0</v>
      </c>
      <c r="AV153" s="140">
        <f t="shared" si="58"/>
        <v>1</v>
      </c>
      <c r="AW153" s="140">
        <f t="shared" si="58"/>
        <v>1</v>
      </c>
      <c r="AX153" s="140">
        <f t="shared" si="58"/>
        <v>1</v>
      </c>
      <c r="AY153" s="140">
        <f t="shared" si="55"/>
        <v>17.5</v>
      </c>
      <c r="AZ153" s="22" t="s">
        <v>158</v>
      </c>
    </row>
    <row r="154" spans="1:52">
      <c r="A154" s="140" t="s">
        <v>184</v>
      </c>
      <c r="B154" s="140">
        <f t="shared" si="59"/>
        <v>1</v>
      </c>
      <c r="C154" s="140">
        <f t="shared" si="59"/>
        <v>0</v>
      </c>
      <c r="D154" s="140">
        <f t="shared" si="59"/>
        <v>1</v>
      </c>
      <c r="E154" s="140">
        <f t="shared" si="59"/>
        <v>0</v>
      </c>
      <c r="F154" s="140">
        <f t="shared" si="59"/>
        <v>0</v>
      </c>
      <c r="G154" s="140">
        <f t="shared" si="59"/>
        <v>1</v>
      </c>
      <c r="H154" s="140">
        <f t="shared" si="59"/>
        <v>1</v>
      </c>
      <c r="I154" s="140">
        <f t="shared" si="59"/>
        <v>1</v>
      </c>
      <c r="J154" s="140">
        <f t="shared" si="59"/>
        <v>0</v>
      </c>
      <c r="K154" s="140">
        <f t="shared" si="59"/>
        <v>1</v>
      </c>
      <c r="L154" s="140">
        <f t="shared" si="59"/>
        <v>1</v>
      </c>
      <c r="M154" s="140">
        <f t="shared" si="59"/>
        <v>1</v>
      </c>
      <c r="N154" s="140">
        <f t="shared" si="59"/>
        <v>1</v>
      </c>
      <c r="O154" s="140">
        <f t="shared" si="59"/>
        <v>1</v>
      </c>
      <c r="P154" s="140">
        <f t="shared" si="59"/>
        <v>1</v>
      </c>
      <c r="Q154" s="140">
        <f t="shared" si="59"/>
        <v>1</v>
      </c>
      <c r="R154" s="140">
        <f t="shared" si="59"/>
        <v>0</v>
      </c>
      <c r="S154" s="140">
        <f t="shared" si="59"/>
        <v>1</v>
      </c>
      <c r="T154" s="140">
        <f t="shared" si="59"/>
        <v>1</v>
      </c>
      <c r="U154" s="140">
        <f t="shared" si="59"/>
        <v>0</v>
      </c>
      <c r="V154" s="140">
        <f t="shared" si="59"/>
        <v>1</v>
      </c>
      <c r="W154" s="140">
        <f t="shared" si="59"/>
        <v>1</v>
      </c>
      <c r="X154" s="140">
        <f t="shared" si="59"/>
        <v>1</v>
      </c>
      <c r="Y154" s="140">
        <f t="shared" si="59"/>
        <v>1</v>
      </c>
      <c r="AA154" s="140">
        <f t="shared" si="60"/>
        <v>1</v>
      </c>
      <c r="AB154" s="140">
        <f t="shared" si="60"/>
        <v>0</v>
      </c>
      <c r="AC154" s="140">
        <f t="shared" si="60"/>
        <v>1</v>
      </c>
      <c r="AD154" s="140">
        <f t="shared" si="60"/>
        <v>0</v>
      </c>
      <c r="AE154" s="140">
        <f t="shared" si="60"/>
        <v>0</v>
      </c>
      <c r="AF154" s="140">
        <f t="shared" si="60"/>
        <v>1</v>
      </c>
      <c r="AG154" s="140">
        <f t="shared" si="60"/>
        <v>1</v>
      </c>
      <c r="AH154" s="140">
        <f t="shared" si="60"/>
        <v>1</v>
      </c>
      <c r="AI154" s="140">
        <f t="shared" si="60"/>
        <v>0</v>
      </c>
      <c r="AJ154" s="140">
        <f t="shared" si="60"/>
        <v>1</v>
      </c>
      <c r="AK154" s="140">
        <f t="shared" si="60"/>
        <v>1</v>
      </c>
      <c r="AL154" s="140">
        <f t="shared" si="60"/>
        <v>1</v>
      </c>
      <c r="AM154" s="140">
        <f t="shared" si="60"/>
        <v>1</v>
      </c>
      <c r="AN154" s="140">
        <f t="shared" si="60"/>
        <v>1</v>
      </c>
      <c r="AO154" s="140">
        <f t="shared" si="60"/>
        <v>1</v>
      </c>
      <c r="AP154" s="140">
        <f t="shared" si="58"/>
        <v>1</v>
      </c>
      <c r="AQ154" s="140">
        <f t="shared" si="58"/>
        <v>0</v>
      </c>
      <c r="AR154" s="140">
        <f t="shared" si="58"/>
        <v>1</v>
      </c>
      <c r="AS154" s="140">
        <f t="shared" si="58"/>
        <v>1</v>
      </c>
      <c r="AT154" s="140">
        <f t="shared" si="58"/>
        <v>0</v>
      </c>
      <c r="AU154" s="140">
        <f t="shared" si="58"/>
        <v>1</v>
      </c>
      <c r="AV154" s="140">
        <f t="shared" si="58"/>
        <v>1</v>
      </c>
      <c r="AW154" s="140">
        <f t="shared" si="58"/>
        <v>1</v>
      </c>
      <c r="AX154" s="140">
        <f t="shared" si="58"/>
        <v>1</v>
      </c>
      <c r="AY154" s="140">
        <f t="shared" si="55"/>
        <v>18</v>
      </c>
      <c r="AZ154" s="22" t="s">
        <v>158</v>
      </c>
    </row>
    <row r="155" spans="1:52">
      <c r="A155" s="140" t="s">
        <v>185</v>
      </c>
      <c r="B155" s="140">
        <f t="shared" si="59"/>
        <v>0</v>
      </c>
      <c r="C155" s="140">
        <f t="shared" si="59"/>
        <v>1</v>
      </c>
      <c r="D155" s="140">
        <f t="shared" si="59"/>
        <v>1</v>
      </c>
      <c r="E155" s="140">
        <f t="shared" si="59"/>
        <v>1</v>
      </c>
      <c r="F155" s="140">
        <f t="shared" si="59"/>
        <v>0</v>
      </c>
      <c r="G155" s="140">
        <f t="shared" si="59"/>
        <v>1</v>
      </c>
      <c r="H155" s="140">
        <f t="shared" si="59"/>
        <v>1</v>
      </c>
      <c r="I155" s="140">
        <f t="shared" si="59"/>
        <v>1</v>
      </c>
      <c r="J155" s="140">
        <f t="shared" si="59"/>
        <v>1</v>
      </c>
      <c r="K155" s="140">
        <f t="shared" si="59"/>
        <v>1</v>
      </c>
      <c r="L155" s="140">
        <f t="shared" si="59"/>
        <v>0</v>
      </c>
      <c r="M155" s="140">
        <f t="shared" si="59"/>
        <v>0</v>
      </c>
      <c r="N155" s="140">
        <f t="shared" si="59"/>
        <v>0</v>
      </c>
      <c r="O155" s="140">
        <f t="shared" si="59"/>
        <v>0</v>
      </c>
      <c r="P155" s="140">
        <f t="shared" si="59"/>
        <v>1</v>
      </c>
      <c r="Q155" s="140">
        <f t="shared" si="59"/>
        <v>1</v>
      </c>
      <c r="R155" s="140">
        <f t="shared" si="59"/>
        <v>0</v>
      </c>
      <c r="S155" s="140">
        <f t="shared" si="59"/>
        <v>1</v>
      </c>
      <c r="T155" s="140">
        <f t="shared" si="59"/>
        <v>1</v>
      </c>
      <c r="U155" s="140">
        <f t="shared" si="59"/>
        <v>0</v>
      </c>
      <c r="V155" s="140">
        <f t="shared" si="59"/>
        <v>0</v>
      </c>
      <c r="W155" s="140">
        <f t="shared" si="59"/>
        <v>0</v>
      </c>
      <c r="X155" s="140">
        <f t="shared" si="59"/>
        <v>0</v>
      </c>
      <c r="Y155" s="140">
        <f t="shared" si="59"/>
        <v>1</v>
      </c>
      <c r="AA155" s="140">
        <f t="shared" si="60"/>
        <v>0</v>
      </c>
      <c r="AB155" s="140">
        <f t="shared" si="60"/>
        <v>1</v>
      </c>
      <c r="AC155" s="140">
        <f t="shared" si="60"/>
        <v>1</v>
      </c>
      <c r="AD155" s="140">
        <f t="shared" si="60"/>
        <v>1</v>
      </c>
      <c r="AE155" s="140">
        <f t="shared" si="60"/>
        <v>0</v>
      </c>
      <c r="AF155" s="140">
        <f t="shared" si="60"/>
        <v>1</v>
      </c>
      <c r="AG155" s="140">
        <f t="shared" si="60"/>
        <v>1</v>
      </c>
      <c r="AH155" s="140">
        <f t="shared" si="60"/>
        <v>1</v>
      </c>
      <c r="AI155" s="140">
        <f t="shared" si="60"/>
        <v>1</v>
      </c>
      <c r="AJ155" s="140">
        <f t="shared" si="60"/>
        <v>1</v>
      </c>
      <c r="AK155" s="140">
        <f t="shared" si="60"/>
        <v>0</v>
      </c>
      <c r="AL155" s="140">
        <f t="shared" si="60"/>
        <v>0</v>
      </c>
      <c r="AM155" s="140">
        <f t="shared" si="60"/>
        <v>0</v>
      </c>
      <c r="AN155" s="140">
        <f t="shared" si="60"/>
        <v>0</v>
      </c>
      <c r="AO155" s="140">
        <f t="shared" si="60"/>
        <v>1</v>
      </c>
      <c r="AP155" s="140">
        <f t="shared" si="58"/>
        <v>1</v>
      </c>
      <c r="AQ155" s="140">
        <f t="shared" si="58"/>
        <v>0</v>
      </c>
      <c r="AR155" s="140">
        <f t="shared" si="58"/>
        <v>1</v>
      </c>
      <c r="AS155" s="140">
        <f t="shared" si="58"/>
        <v>1</v>
      </c>
      <c r="AT155" s="140">
        <f t="shared" si="58"/>
        <v>0</v>
      </c>
      <c r="AU155" s="140">
        <f t="shared" si="58"/>
        <v>0</v>
      </c>
      <c r="AV155" s="140">
        <f t="shared" si="58"/>
        <v>0</v>
      </c>
      <c r="AW155" s="140">
        <f t="shared" si="58"/>
        <v>0</v>
      </c>
      <c r="AX155" s="140">
        <f t="shared" si="58"/>
        <v>1</v>
      </c>
      <c r="AY155" s="140">
        <f t="shared" si="55"/>
        <v>13</v>
      </c>
      <c r="AZ155" s="22" t="s">
        <v>158</v>
      </c>
    </row>
    <row r="156" spans="1:52">
      <c r="A156" s="140" t="s">
        <v>186</v>
      </c>
      <c r="B156" s="140">
        <f t="shared" si="59"/>
        <v>1</v>
      </c>
      <c r="C156" s="140">
        <f t="shared" si="59"/>
        <v>1</v>
      </c>
      <c r="D156" s="140">
        <f t="shared" si="59"/>
        <v>0</v>
      </c>
      <c r="E156" s="140">
        <f t="shared" si="59"/>
        <v>0</v>
      </c>
      <c r="F156" s="140">
        <f t="shared" si="59"/>
        <v>1</v>
      </c>
      <c r="G156" s="140">
        <f t="shared" si="59"/>
        <v>0</v>
      </c>
      <c r="H156" s="140">
        <f t="shared" si="59"/>
        <v>1</v>
      </c>
      <c r="I156" s="140">
        <f t="shared" si="59"/>
        <v>1</v>
      </c>
      <c r="J156" s="140">
        <f t="shared" si="59"/>
        <v>1</v>
      </c>
      <c r="K156" s="140">
        <f t="shared" si="59"/>
        <v>1</v>
      </c>
      <c r="L156" s="140">
        <f t="shared" si="59"/>
        <v>1</v>
      </c>
      <c r="M156" s="140">
        <f t="shared" si="59"/>
        <v>1</v>
      </c>
      <c r="N156" s="140">
        <f t="shared" si="59"/>
        <v>0</v>
      </c>
      <c r="O156" s="140">
        <f t="shared" si="59"/>
        <v>0</v>
      </c>
      <c r="P156" s="140">
        <f t="shared" si="59"/>
        <v>1</v>
      </c>
      <c r="Q156" s="140">
        <f t="shared" si="59"/>
        <v>1</v>
      </c>
      <c r="R156" s="140">
        <f t="shared" si="59"/>
        <v>1</v>
      </c>
      <c r="S156" s="140">
        <f t="shared" si="59"/>
        <v>1</v>
      </c>
      <c r="T156" s="140">
        <f t="shared" si="59"/>
        <v>1</v>
      </c>
      <c r="U156" s="140">
        <f t="shared" si="59"/>
        <v>1</v>
      </c>
      <c r="V156" s="140">
        <f t="shared" si="59"/>
        <v>1</v>
      </c>
      <c r="W156" s="140">
        <f t="shared" si="59"/>
        <v>1</v>
      </c>
      <c r="X156" s="140">
        <f t="shared" si="59"/>
        <v>0</v>
      </c>
      <c r="Y156" s="140">
        <f t="shared" si="59"/>
        <v>0</v>
      </c>
      <c r="AA156" s="140">
        <f t="shared" si="60"/>
        <v>1</v>
      </c>
      <c r="AB156" s="140">
        <f t="shared" si="60"/>
        <v>1</v>
      </c>
      <c r="AC156" s="140">
        <f t="shared" si="60"/>
        <v>0</v>
      </c>
      <c r="AD156" s="140">
        <f t="shared" si="60"/>
        <v>0</v>
      </c>
      <c r="AE156" s="140">
        <f t="shared" si="60"/>
        <v>1</v>
      </c>
      <c r="AF156" s="140">
        <f t="shared" si="60"/>
        <v>0</v>
      </c>
      <c r="AG156" s="140">
        <f t="shared" si="60"/>
        <v>1</v>
      </c>
      <c r="AH156" s="140">
        <f t="shared" si="60"/>
        <v>1</v>
      </c>
      <c r="AI156" s="140">
        <f t="shared" si="60"/>
        <v>1</v>
      </c>
      <c r="AJ156" s="140">
        <f t="shared" si="60"/>
        <v>1</v>
      </c>
      <c r="AK156" s="140">
        <f t="shared" si="60"/>
        <v>1</v>
      </c>
      <c r="AL156" s="140">
        <f t="shared" si="60"/>
        <v>1</v>
      </c>
      <c r="AM156" s="140">
        <f t="shared" si="60"/>
        <v>0</v>
      </c>
      <c r="AN156" s="140">
        <f t="shared" si="60"/>
        <v>0</v>
      </c>
      <c r="AO156" s="140">
        <f t="shared" si="60"/>
        <v>1</v>
      </c>
      <c r="AP156" s="140">
        <f t="shared" si="58"/>
        <v>1</v>
      </c>
      <c r="AQ156" s="140">
        <f t="shared" si="58"/>
        <v>1</v>
      </c>
      <c r="AR156" s="140">
        <f t="shared" si="58"/>
        <v>1</v>
      </c>
      <c r="AS156" s="140">
        <f t="shared" si="58"/>
        <v>1</v>
      </c>
      <c r="AT156" s="140">
        <f t="shared" si="58"/>
        <v>1</v>
      </c>
      <c r="AU156" s="140">
        <f t="shared" si="58"/>
        <v>1</v>
      </c>
      <c r="AV156" s="140">
        <f t="shared" si="58"/>
        <v>1</v>
      </c>
      <c r="AW156" s="140">
        <f t="shared" si="58"/>
        <v>0</v>
      </c>
      <c r="AX156" s="140">
        <f t="shared" si="58"/>
        <v>0</v>
      </c>
      <c r="AY156" s="140">
        <f t="shared" si="55"/>
        <v>17</v>
      </c>
      <c r="AZ156" s="22" t="s">
        <v>158</v>
      </c>
    </row>
    <row r="157" spans="1:52">
      <c r="A157" s="140" t="s">
        <v>187</v>
      </c>
      <c r="B157" s="140">
        <f t="shared" si="59"/>
        <v>0</v>
      </c>
      <c r="C157" s="140">
        <f t="shared" si="59"/>
        <v>0</v>
      </c>
      <c r="D157" s="140">
        <f t="shared" si="59"/>
        <v>1</v>
      </c>
      <c r="E157" s="140">
        <f t="shared" si="59"/>
        <v>1</v>
      </c>
      <c r="F157" s="140">
        <f t="shared" si="59"/>
        <v>1</v>
      </c>
      <c r="G157" s="140">
        <f t="shared" si="59"/>
        <v>1</v>
      </c>
      <c r="H157" s="140">
        <f t="shared" si="59"/>
        <v>0</v>
      </c>
      <c r="I157" s="140">
        <f t="shared" si="59"/>
        <v>1</v>
      </c>
      <c r="J157" s="140">
        <f t="shared" si="59"/>
        <v>1</v>
      </c>
      <c r="K157" s="140">
        <f t="shared" si="59"/>
        <v>1</v>
      </c>
      <c r="L157" s="140">
        <f t="shared" si="59"/>
        <v>0</v>
      </c>
      <c r="M157" s="140">
        <f t="shared" si="59"/>
        <v>0</v>
      </c>
      <c r="N157" s="140">
        <f t="shared" si="59"/>
        <v>0</v>
      </c>
      <c r="O157" s="140">
        <f t="shared" si="59"/>
        <v>0</v>
      </c>
      <c r="P157" s="140">
        <f t="shared" si="59"/>
        <v>0</v>
      </c>
      <c r="Q157" s="140">
        <f t="shared" si="59"/>
        <v>0</v>
      </c>
      <c r="R157" s="140">
        <f t="shared" si="59"/>
        <v>0</v>
      </c>
      <c r="S157" s="140">
        <f t="shared" si="59"/>
        <v>0</v>
      </c>
      <c r="T157" s="140">
        <f t="shared" si="59"/>
        <v>1</v>
      </c>
      <c r="U157" s="140">
        <f t="shared" si="59"/>
        <v>1</v>
      </c>
      <c r="V157" s="140">
        <f t="shared" si="59"/>
        <v>0</v>
      </c>
      <c r="W157" s="140">
        <f t="shared" si="59"/>
        <v>1</v>
      </c>
      <c r="X157" s="140">
        <f t="shared" si="59"/>
        <v>1</v>
      </c>
      <c r="Y157" s="140">
        <f t="shared" si="59"/>
        <v>1</v>
      </c>
      <c r="AA157" s="140">
        <f t="shared" si="60"/>
        <v>0</v>
      </c>
      <c r="AB157" s="140">
        <f t="shared" si="60"/>
        <v>0</v>
      </c>
      <c r="AC157" s="140">
        <f t="shared" si="60"/>
        <v>1</v>
      </c>
      <c r="AD157" s="140">
        <f t="shared" si="60"/>
        <v>0.5</v>
      </c>
      <c r="AE157" s="140">
        <f t="shared" si="60"/>
        <v>1</v>
      </c>
      <c r="AF157" s="140">
        <f t="shared" si="60"/>
        <v>1</v>
      </c>
      <c r="AG157" s="140">
        <f t="shared" si="60"/>
        <v>0</v>
      </c>
      <c r="AH157" s="140">
        <f t="shared" si="60"/>
        <v>1</v>
      </c>
      <c r="AI157" s="140">
        <f t="shared" si="60"/>
        <v>1</v>
      </c>
      <c r="AJ157" s="140">
        <f t="shared" si="60"/>
        <v>1</v>
      </c>
      <c r="AK157" s="140">
        <f t="shared" si="60"/>
        <v>0</v>
      </c>
      <c r="AL157" s="140">
        <f t="shared" si="60"/>
        <v>0</v>
      </c>
      <c r="AM157" s="140">
        <f t="shared" si="60"/>
        <v>0</v>
      </c>
      <c r="AN157" s="140">
        <f t="shared" si="60"/>
        <v>0</v>
      </c>
      <c r="AO157" s="140">
        <f t="shared" si="60"/>
        <v>0</v>
      </c>
      <c r="AP157" s="140">
        <f t="shared" si="58"/>
        <v>0</v>
      </c>
      <c r="AQ157" s="140">
        <f t="shared" si="58"/>
        <v>0</v>
      </c>
      <c r="AR157" s="140">
        <f t="shared" si="58"/>
        <v>0</v>
      </c>
      <c r="AS157" s="140">
        <f t="shared" si="58"/>
        <v>1</v>
      </c>
      <c r="AT157" s="140">
        <f t="shared" si="58"/>
        <v>1</v>
      </c>
      <c r="AU157" s="140">
        <f t="shared" si="58"/>
        <v>0</v>
      </c>
      <c r="AV157" s="140">
        <f t="shared" si="58"/>
        <v>1</v>
      </c>
      <c r="AW157" s="140">
        <f t="shared" si="58"/>
        <v>1</v>
      </c>
      <c r="AX157" s="140">
        <f t="shared" si="58"/>
        <v>1</v>
      </c>
      <c r="AY157" s="140">
        <f t="shared" si="55"/>
        <v>11.5</v>
      </c>
      <c r="AZ157" s="22" t="s">
        <v>158</v>
      </c>
    </row>
    <row r="158" spans="1:52">
      <c r="A158" s="140" t="s">
        <v>188</v>
      </c>
      <c r="B158" s="140">
        <f t="shared" si="59"/>
        <v>0</v>
      </c>
      <c r="C158" s="140">
        <f t="shared" si="59"/>
        <v>0</v>
      </c>
      <c r="D158" s="140">
        <f t="shared" si="59"/>
        <v>0</v>
      </c>
      <c r="E158" s="140">
        <f t="shared" si="59"/>
        <v>0</v>
      </c>
      <c r="F158" s="140">
        <f t="shared" si="59"/>
        <v>0</v>
      </c>
      <c r="G158" s="140">
        <f t="shared" si="59"/>
        <v>0</v>
      </c>
      <c r="H158" s="140">
        <f t="shared" si="59"/>
        <v>1</v>
      </c>
      <c r="I158" s="140">
        <f t="shared" si="59"/>
        <v>1</v>
      </c>
      <c r="J158" s="140">
        <f t="shared" si="59"/>
        <v>1</v>
      </c>
      <c r="K158" s="140">
        <f t="shared" si="59"/>
        <v>0</v>
      </c>
      <c r="L158" s="140">
        <f t="shared" si="59"/>
        <v>0</v>
      </c>
      <c r="M158" s="140">
        <f t="shared" si="59"/>
        <v>0</v>
      </c>
      <c r="N158" s="140">
        <f t="shared" si="59"/>
        <v>0</v>
      </c>
      <c r="O158" s="140">
        <f t="shared" si="59"/>
        <v>1</v>
      </c>
      <c r="P158" s="140">
        <f t="shared" si="59"/>
        <v>1</v>
      </c>
      <c r="Q158" s="140">
        <f t="shared" ref="Q158:Y158" si="61">IF(IFERROR(FIND($A$136,Q26,1),0)=0,0,1)</f>
        <v>0</v>
      </c>
      <c r="R158" s="140">
        <f t="shared" si="61"/>
        <v>1</v>
      </c>
      <c r="S158" s="140">
        <f t="shared" si="61"/>
        <v>1</v>
      </c>
      <c r="T158" s="140">
        <f t="shared" si="61"/>
        <v>1</v>
      </c>
      <c r="U158" s="140">
        <f t="shared" si="61"/>
        <v>1</v>
      </c>
      <c r="V158" s="140">
        <f t="shared" si="61"/>
        <v>1</v>
      </c>
      <c r="W158" s="140">
        <f t="shared" si="61"/>
        <v>1</v>
      </c>
      <c r="X158" s="140">
        <f t="shared" si="61"/>
        <v>1</v>
      </c>
      <c r="Y158" s="140">
        <f t="shared" si="61"/>
        <v>0</v>
      </c>
      <c r="AA158" s="140">
        <f t="shared" si="60"/>
        <v>0</v>
      </c>
      <c r="AB158" s="140">
        <f t="shared" si="60"/>
        <v>0</v>
      </c>
      <c r="AC158" s="140">
        <f t="shared" si="60"/>
        <v>0</v>
      </c>
      <c r="AD158" s="140">
        <f t="shared" si="60"/>
        <v>0</v>
      </c>
      <c r="AE158" s="140">
        <f t="shared" si="60"/>
        <v>0</v>
      </c>
      <c r="AF158" s="140">
        <f t="shared" si="60"/>
        <v>0</v>
      </c>
      <c r="AG158" s="140">
        <f t="shared" si="60"/>
        <v>1</v>
      </c>
      <c r="AH158" s="140">
        <f t="shared" si="60"/>
        <v>1</v>
      </c>
      <c r="AI158" s="140">
        <f t="shared" si="60"/>
        <v>1</v>
      </c>
      <c r="AJ158" s="140">
        <f t="shared" si="60"/>
        <v>0</v>
      </c>
      <c r="AK158" s="140">
        <f t="shared" si="60"/>
        <v>0</v>
      </c>
      <c r="AL158" s="140">
        <f t="shared" si="60"/>
        <v>0</v>
      </c>
      <c r="AM158" s="140">
        <f t="shared" si="60"/>
        <v>0</v>
      </c>
      <c r="AN158" s="140">
        <f t="shared" si="60"/>
        <v>1</v>
      </c>
      <c r="AO158" s="140">
        <f t="shared" si="60"/>
        <v>1</v>
      </c>
      <c r="AP158" s="140">
        <f t="shared" si="58"/>
        <v>0</v>
      </c>
      <c r="AQ158" s="140">
        <f t="shared" si="58"/>
        <v>1</v>
      </c>
      <c r="AR158" s="140">
        <f t="shared" si="58"/>
        <v>1</v>
      </c>
      <c r="AS158" s="140">
        <f t="shared" si="58"/>
        <v>1</v>
      </c>
      <c r="AT158" s="140">
        <f t="shared" si="58"/>
        <v>0.5</v>
      </c>
      <c r="AU158" s="140">
        <f t="shared" si="58"/>
        <v>1</v>
      </c>
      <c r="AV158" s="140">
        <f t="shared" si="58"/>
        <v>1</v>
      </c>
      <c r="AW158" s="140">
        <f t="shared" si="58"/>
        <v>1</v>
      </c>
      <c r="AX158" s="140">
        <f t="shared" si="58"/>
        <v>0</v>
      </c>
      <c r="AY158" s="140">
        <f t="shared" si="55"/>
        <v>11.5</v>
      </c>
      <c r="AZ158" s="22" t="s">
        <v>158</v>
      </c>
    </row>
    <row r="159" spans="1:52">
      <c r="A159" s="140" t="s">
        <v>189</v>
      </c>
      <c r="B159" s="140">
        <f t="shared" ref="B159:Y167" si="62">IF(IFERROR(FIND($A$136,B27,1),0)=0,0,1)</f>
        <v>0</v>
      </c>
      <c r="C159" s="140">
        <f t="shared" si="62"/>
        <v>1</v>
      </c>
      <c r="D159" s="140">
        <f t="shared" si="62"/>
        <v>0</v>
      </c>
      <c r="E159" s="140">
        <f t="shared" si="62"/>
        <v>0</v>
      </c>
      <c r="F159" s="140">
        <f t="shared" si="62"/>
        <v>0</v>
      </c>
      <c r="G159" s="140">
        <f t="shared" si="62"/>
        <v>0</v>
      </c>
      <c r="H159" s="140">
        <f t="shared" si="62"/>
        <v>1</v>
      </c>
      <c r="I159" s="140">
        <f t="shared" si="62"/>
        <v>0</v>
      </c>
      <c r="J159" s="140">
        <f t="shared" si="62"/>
        <v>1</v>
      </c>
      <c r="K159" s="140">
        <f t="shared" si="62"/>
        <v>0</v>
      </c>
      <c r="L159" s="140">
        <f t="shared" si="62"/>
        <v>0</v>
      </c>
      <c r="M159" s="140">
        <f t="shared" si="62"/>
        <v>0</v>
      </c>
      <c r="N159" s="140">
        <f t="shared" si="62"/>
        <v>0</v>
      </c>
      <c r="O159" s="140">
        <f t="shared" si="62"/>
        <v>0</v>
      </c>
      <c r="P159" s="140">
        <f t="shared" si="62"/>
        <v>1</v>
      </c>
      <c r="Q159" s="140">
        <f t="shared" si="62"/>
        <v>1</v>
      </c>
      <c r="R159" s="140">
        <f t="shared" si="62"/>
        <v>1</v>
      </c>
      <c r="S159" s="140">
        <f t="shared" si="62"/>
        <v>0</v>
      </c>
      <c r="T159" s="140">
        <f t="shared" si="62"/>
        <v>1</v>
      </c>
      <c r="U159" s="140">
        <f t="shared" si="62"/>
        <v>1</v>
      </c>
      <c r="V159" s="140">
        <f t="shared" si="62"/>
        <v>0</v>
      </c>
      <c r="W159" s="140">
        <f t="shared" si="62"/>
        <v>1</v>
      </c>
      <c r="X159" s="140">
        <f t="shared" si="62"/>
        <v>1</v>
      </c>
      <c r="Y159" s="140">
        <f t="shared" si="62"/>
        <v>1</v>
      </c>
      <c r="AA159" s="140">
        <f t="shared" si="60"/>
        <v>0</v>
      </c>
      <c r="AB159" s="140">
        <f t="shared" si="60"/>
        <v>1</v>
      </c>
      <c r="AC159" s="140">
        <f t="shared" si="60"/>
        <v>0</v>
      </c>
      <c r="AD159" s="140">
        <f t="shared" si="60"/>
        <v>0</v>
      </c>
      <c r="AE159" s="140">
        <f t="shared" si="60"/>
        <v>0</v>
      </c>
      <c r="AF159" s="140">
        <f t="shared" si="60"/>
        <v>0</v>
      </c>
      <c r="AG159" s="140">
        <f t="shared" si="60"/>
        <v>1</v>
      </c>
      <c r="AH159" s="140">
        <f t="shared" si="60"/>
        <v>0</v>
      </c>
      <c r="AI159" s="140">
        <f t="shared" si="60"/>
        <v>1</v>
      </c>
      <c r="AJ159" s="140">
        <f t="shared" si="60"/>
        <v>0</v>
      </c>
      <c r="AK159" s="140">
        <f t="shared" si="60"/>
        <v>0</v>
      </c>
      <c r="AL159" s="140">
        <f t="shared" si="60"/>
        <v>0</v>
      </c>
      <c r="AM159" s="140">
        <f t="shared" si="60"/>
        <v>0</v>
      </c>
      <c r="AN159" s="140">
        <f t="shared" si="60"/>
        <v>0</v>
      </c>
      <c r="AO159" s="140">
        <f t="shared" si="60"/>
        <v>1</v>
      </c>
      <c r="AP159" s="140">
        <f t="shared" si="58"/>
        <v>1</v>
      </c>
      <c r="AQ159" s="140">
        <f t="shared" si="58"/>
        <v>1</v>
      </c>
      <c r="AR159" s="140">
        <f t="shared" si="58"/>
        <v>0</v>
      </c>
      <c r="AS159" s="140">
        <f t="shared" si="58"/>
        <v>1</v>
      </c>
      <c r="AT159" s="140">
        <f t="shared" si="58"/>
        <v>1</v>
      </c>
      <c r="AU159" s="140">
        <f t="shared" si="58"/>
        <v>0</v>
      </c>
      <c r="AV159" s="140">
        <f t="shared" si="58"/>
        <v>1</v>
      </c>
      <c r="AW159" s="140">
        <f t="shared" si="58"/>
        <v>1</v>
      </c>
      <c r="AX159" s="140">
        <f t="shared" si="58"/>
        <v>1</v>
      </c>
      <c r="AY159" s="140">
        <f t="shared" si="55"/>
        <v>11</v>
      </c>
      <c r="AZ159" s="22" t="s">
        <v>158</v>
      </c>
    </row>
    <row r="160" spans="1:52">
      <c r="A160" s="140" t="s">
        <v>190</v>
      </c>
      <c r="B160" s="140">
        <f t="shared" si="62"/>
        <v>0</v>
      </c>
      <c r="C160" s="140">
        <f t="shared" si="62"/>
        <v>0</v>
      </c>
      <c r="D160" s="140">
        <f t="shared" si="62"/>
        <v>0</v>
      </c>
      <c r="E160" s="140">
        <f t="shared" si="62"/>
        <v>0</v>
      </c>
      <c r="F160" s="140">
        <f t="shared" si="62"/>
        <v>0</v>
      </c>
      <c r="G160" s="140">
        <f t="shared" si="62"/>
        <v>1</v>
      </c>
      <c r="H160" s="140">
        <f t="shared" si="62"/>
        <v>1</v>
      </c>
      <c r="I160" s="140">
        <f t="shared" si="62"/>
        <v>0</v>
      </c>
      <c r="J160" s="140">
        <f t="shared" si="62"/>
        <v>0</v>
      </c>
      <c r="K160" s="140">
        <f t="shared" si="62"/>
        <v>0</v>
      </c>
      <c r="L160" s="140">
        <f t="shared" si="62"/>
        <v>0</v>
      </c>
      <c r="M160" s="140">
        <f t="shared" si="62"/>
        <v>1</v>
      </c>
      <c r="N160" s="140">
        <f t="shared" si="62"/>
        <v>0</v>
      </c>
      <c r="O160" s="140">
        <f t="shared" si="62"/>
        <v>0</v>
      </c>
      <c r="P160" s="140">
        <f t="shared" si="62"/>
        <v>0</v>
      </c>
      <c r="Q160" s="140">
        <f t="shared" si="62"/>
        <v>1</v>
      </c>
      <c r="R160" s="140">
        <f t="shared" si="62"/>
        <v>1</v>
      </c>
      <c r="S160" s="140">
        <f t="shared" si="62"/>
        <v>1</v>
      </c>
      <c r="T160" s="140">
        <f t="shared" si="62"/>
        <v>0</v>
      </c>
      <c r="U160" s="140">
        <f t="shared" si="62"/>
        <v>1</v>
      </c>
      <c r="V160" s="140">
        <f t="shared" si="62"/>
        <v>0</v>
      </c>
      <c r="W160" s="140">
        <f t="shared" si="62"/>
        <v>1</v>
      </c>
      <c r="X160" s="140">
        <f t="shared" si="62"/>
        <v>1</v>
      </c>
      <c r="Y160" s="140">
        <f t="shared" si="62"/>
        <v>1</v>
      </c>
      <c r="AA160" s="140">
        <f t="shared" si="60"/>
        <v>0</v>
      </c>
      <c r="AB160" s="140">
        <f t="shared" si="60"/>
        <v>0</v>
      </c>
      <c r="AC160" s="140">
        <f t="shared" si="60"/>
        <v>0</v>
      </c>
      <c r="AD160" s="140">
        <f t="shared" si="60"/>
        <v>0</v>
      </c>
      <c r="AE160" s="140">
        <f t="shared" si="60"/>
        <v>0</v>
      </c>
      <c r="AF160" s="140">
        <f t="shared" si="60"/>
        <v>1</v>
      </c>
      <c r="AG160" s="140">
        <f t="shared" si="60"/>
        <v>1</v>
      </c>
      <c r="AH160" s="140">
        <f t="shared" si="60"/>
        <v>0</v>
      </c>
      <c r="AI160" s="140">
        <f t="shared" si="60"/>
        <v>0</v>
      </c>
      <c r="AJ160" s="140">
        <f t="shared" si="60"/>
        <v>0</v>
      </c>
      <c r="AK160" s="140">
        <f t="shared" si="60"/>
        <v>0</v>
      </c>
      <c r="AL160" s="140">
        <f t="shared" si="60"/>
        <v>1</v>
      </c>
      <c r="AM160" s="140">
        <f t="shared" si="60"/>
        <v>0</v>
      </c>
      <c r="AN160" s="140">
        <f t="shared" si="60"/>
        <v>0</v>
      </c>
      <c r="AO160" s="140">
        <f t="shared" si="60"/>
        <v>0</v>
      </c>
      <c r="AP160" s="140">
        <f t="shared" si="58"/>
        <v>1</v>
      </c>
      <c r="AQ160" s="140">
        <f t="shared" si="58"/>
        <v>1</v>
      </c>
      <c r="AR160" s="140">
        <f t="shared" si="58"/>
        <v>0.25</v>
      </c>
      <c r="AS160" s="140">
        <f t="shared" si="58"/>
        <v>0</v>
      </c>
      <c r="AT160" s="140">
        <f t="shared" si="58"/>
        <v>1</v>
      </c>
      <c r="AU160" s="140">
        <f t="shared" si="58"/>
        <v>0</v>
      </c>
      <c r="AV160" s="140">
        <f t="shared" si="58"/>
        <v>0.33333333333333331</v>
      </c>
      <c r="AW160" s="140">
        <f t="shared" si="58"/>
        <v>1</v>
      </c>
      <c r="AX160" s="140">
        <f t="shared" si="58"/>
        <v>1</v>
      </c>
      <c r="AY160" s="140">
        <f t="shared" si="55"/>
        <v>8.5833333333333321</v>
      </c>
      <c r="AZ160" s="22" t="s">
        <v>158</v>
      </c>
    </row>
    <row r="161" spans="1:52">
      <c r="A161" s="140" t="s">
        <v>191</v>
      </c>
      <c r="B161" s="140">
        <f t="shared" si="62"/>
        <v>1</v>
      </c>
      <c r="C161" s="140">
        <f t="shared" si="62"/>
        <v>0</v>
      </c>
      <c r="D161" s="140">
        <f t="shared" si="62"/>
        <v>0</v>
      </c>
      <c r="E161" s="140">
        <f t="shared" si="62"/>
        <v>0</v>
      </c>
      <c r="F161" s="140">
        <f t="shared" si="62"/>
        <v>0</v>
      </c>
      <c r="G161" s="140">
        <f t="shared" si="62"/>
        <v>0</v>
      </c>
      <c r="H161" s="140">
        <f t="shared" si="62"/>
        <v>0</v>
      </c>
      <c r="I161" s="140">
        <f t="shared" si="62"/>
        <v>1</v>
      </c>
      <c r="J161" s="140">
        <f t="shared" si="62"/>
        <v>1</v>
      </c>
      <c r="K161" s="140">
        <f t="shared" si="62"/>
        <v>1</v>
      </c>
      <c r="L161" s="140">
        <f t="shared" si="62"/>
        <v>1</v>
      </c>
      <c r="M161" s="140">
        <f t="shared" si="62"/>
        <v>1</v>
      </c>
      <c r="N161" s="140">
        <f t="shared" si="62"/>
        <v>1</v>
      </c>
      <c r="O161" s="140">
        <f t="shared" si="62"/>
        <v>1</v>
      </c>
      <c r="P161" s="140">
        <f t="shared" si="62"/>
        <v>0</v>
      </c>
      <c r="Q161" s="140">
        <f t="shared" si="62"/>
        <v>0</v>
      </c>
      <c r="R161" s="140">
        <f t="shared" si="62"/>
        <v>1</v>
      </c>
      <c r="S161" s="140">
        <f t="shared" si="62"/>
        <v>0</v>
      </c>
      <c r="T161" s="140">
        <f t="shared" si="62"/>
        <v>1</v>
      </c>
      <c r="U161" s="140">
        <f t="shared" si="62"/>
        <v>1</v>
      </c>
      <c r="V161" s="140">
        <f t="shared" si="62"/>
        <v>1</v>
      </c>
      <c r="W161" s="140">
        <f t="shared" si="62"/>
        <v>0</v>
      </c>
      <c r="X161" s="140">
        <f t="shared" si="62"/>
        <v>1</v>
      </c>
      <c r="Y161" s="140">
        <f t="shared" si="62"/>
        <v>0</v>
      </c>
      <c r="AA161" s="140">
        <f t="shared" si="60"/>
        <v>1</v>
      </c>
      <c r="AB161" s="140">
        <f t="shared" si="60"/>
        <v>0</v>
      </c>
      <c r="AC161" s="140">
        <f t="shared" si="60"/>
        <v>0</v>
      </c>
      <c r="AD161" s="140">
        <f t="shared" si="60"/>
        <v>0</v>
      </c>
      <c r="AE161" s="140">
        <f t="shared" si="60"/>
        <v>0</v>
      </c>
      <c r="AF161" s="140">
        <f t="shared" si="60"/>
        <v>0</v>
      </c>
      <c r="AG161" s="140">
        <f t="shared" si="60"/>
        <v>0</v>
      </c>
      <c r="AH161" s="140">
        <f t="shared" si="60"/>
        <v>1</v>
      </c>
      <c r="AI161" s="140">
        <f t="shared" si="60"/>
        <v>1</v>
      </c>
      <c r="AJ161" s="140">
        <f t="shared" si="60"/>
        <v>1</v>
      </c>
      <c r="AK161" s="140">
        <f t="shared" si="60"/>
        <v>1</v>
      </c>
      <c r="AL161" s="140">
        <f t="shared" si="60"/>
        <v>0.5</v>
      </c>
      <c r="AM161" s="140">
        <f t="shared" si="60"/>
        <v>1</v>
      </c>
      <c r="AN161" s="140">
        <f t="shared" si="60"/>
        <v>1</v>
      </c>
      <c r="AO161" s="140">
        <f t="shared" si="60"/>
        <v>0</v>
      </c>
      <c r="AP161" s="140">
        <f t="shared" si="58"/>
        <v>0</v>
      </c>
      <c r="AQ161" s="140">
        <f t="shared" si="58"/>
        <v>1</v>
      </c>
      <c r="AR161" s="140">
        <f t="shared" si="58"/>
        <v>0</v>
      </c>
      <c r="AS161" s="140">
        <f t="shared" si="58"/>
        <v>1</v>
      </c>
      <c r="AT161" s="140">
        <f t="shared" si="58"/>
        <v>1</v>
      </c>
      <c r="AU161" s="140">
        <f t="shared" si="58"/>
        <v>1</v>
      </c>
      <c r="AV161" s="140">
        <f t="shared" si="58"/>
        <v>0</v>
      </c>
      <c r="AW161" s="140">
        <f t="shared" si="58"/>
        <v>1</v>
      </c>
      <c r="AX161" s="140">
        <f t="shared" si="58"/>
        <v>0</v>
      </c>
      <c r="AY161" s="140">
        <f t="shared" si="55"/>
        <v>12.5</v>
      </c>
      <c r="AZ161" s="22" t="s">
        <v>158</v>
      </c>
    </row>
    <row r="162" spans="1:52">
      <c r="A162" s="140" t="s">
        <v>192</v>
      </c>
      <c r="B162" s="140">
        <f t="shared" si="62"/>
        <v>1</v>
      </c>
      <c r="C162" s="140">
        <f t="shared" si="62"/>
        <v>1</v>
      </c>
      <c r="D162" s="140">
        <f t="shared" si="62"/>
        <v>1</v>
      </c>
      <c r="E162" s="140">
        <f t="shared" si="62"/>
        <v>1</v>
      </c>
      <c r="F162" s="140">
        <f t="shared" si="62"/>
        <v>1</v>
      </c>
      <c r="G162" s="140">
        <f t="shared" si="62"/>
        <v>1</v>
      </c>
      <c r="H162" s="140">
        <f t="shared" si="62"/>
        <v>1</v>
      </c>
      <c r="I162" s="140">
        <f t="shared" si="62"/>
        <v>0</v>
      </c>
      <c r="J162" s="140">
        <f t="shared" si="62"/>
        <v>1</v>
      </c>
      <c r="K162" s="140">
        <f t="shared" si="62"/>
        <v>1</v>
      </c>
      <c r="L162" s="140">
        <f t="shared" si="62"/>
        <v>1</v>
      </c>
      <c r="M162" s="140">
        <f t="shared" si="62"/>
        <v>0</v>
      </c>
      <c r="N162" s="140">
        <f t="shared" si="62"/>
        <v>0</v>
      </c>
      <c r="O162" s="140">
        <f t="shared" si="62"/>
        <v>1</v>
      </c>
      <c r="P162" s="140">
        <f t="shared" si="62"/>
        <v>0</v>
      </c>
      <c r="Q162" s="140">
        <f t="shared" si="62"/>
        <v>0</v>
      </c>
      <c r="R162" s="140">
        <f t="shared" si="62"/>
        <v>0</v>
      </c>
      <c r="S162" s="140">
        <f t="shared" si="62"/>
        <v>0</v>
      </c>
      <c r="T162" s="140">
        <f t="shared" si="62"/>
        <v>1</v>
      </c>
      <c r="U162" s="140">
        <f t="shared" si="62"/>
        <v>1</v>
      </c>
      <c r="V162" s="140">
        <f t="shared" si="62"/>
        <v>0</v>
      </c>
      <c r="W162" s="140">
        <f t="shared" si="62"/>
        <v>1</v>
      </c>
      <c r="X162" s="140">
        <f t="shared" si="62"/>
        <v>0</v>
      </c>
      <c r="Y162" s="140">
        <f t="shared" si="62"/>
        <v>0</v>
      </c>
      <c r="AA162" s="140">
        <f t="shared" si="60"/>
        <v>1</v>
      </c>
      <c r="AB162" s="140">
        <f t="shared" si="60"/>
        <v>0.5</v>
      </c>
      <c r="AC162" s="140">
        <f t="shared" si="60"/>
        <v>1</v>
      </c>
      <c r="AD162" s="140">
        <f t="shared" si="60"/>
        <v>1</v>
      </c>
      <c r="AE162" s="140">
        <f t="shared" si="60"/>
        <v>1</v>
      </c>
      <c r="AF162" s="140">
        <f t="shared" si="60"/>
        <v>1</v>
      </c>
      <c r="AG162" s="140">
        <f t="shared" si="60"/>
        <v>1</v>
      </c>
      <c r="AH162" s="140">
        <f t="shared" si="60"/>
        <v>0</v>
      </c>
      <c r="AI162" s="140">
        <f t="shared" si="60"/>
        <v>1</v>
      </c>
      <c r="AJ162" s="140">
        <f t="shared" si="60"/>
        <v>1</v>
      </c>
      <c r="AK162" s="140">
        <f t="shared" si="60"/>
        <v>1</v>
      </c>
      <c r="AL162" s="140">
        <f t="shared" si="60"/>
        <v>0</v>
      </c>
      <c r="AM162" s="140">
        <f t="shared" si="60"/>
        <v>0</v>
      </c>
      <c r="AN162" s="140">
        <f t="shared" si="60"/>
        <v>1</v>
      </c>
      <c r="AO162" s="140">
        <f t="shared" si="60"/>
        <v>0</v>
      </c>
      <c r="AP162" s="140">
        <f t="shared" si="58"/>
        <v>0</v>
      </c>
      <c r="AQ162" s="140">
        <f t="shared" si="58"/>
        <v>0</v>
      </c>
      <c r="AR162" s="140">
        <f t="shared" si="58"/>
        <v>0</v>
      </c>
      <c r="AS162" s="140">
        <f t="shared" si="58"/>
        <v>1</v>
      </c>
      <c r="AT162" s="140">
        <f t="shared" si="58"/>
        <v>1</v>
      </c>
      <c r="AU162" s="140">
        <f t="shared" si="58"/>
        <v>0</v>
      </c>
      <c r="AV162" s="140">
        <f t="shared" si="58"/>
        <v>1</v>
      </c>
      <c r="AW162" s="140">
        <f t="shared" si="58"/>
        <v>0</v>
      </c>
      <c r="AX162" s="140">
        <f t="shared" si="58"/>
        <v>0</v>
      </c>
      <c r="AY162" s="140">
        <f t="shared" si="55"/>
        <v>13.5</v>
      </c>
      <c r="AZ162" s="22" t="s">
        <v>158</v>
      </c>
    </row>
    <row r="163" spans="1:52">
      <c r="A163" s="140" t="s">
        <v>193</v>
      </c>
      <c r="B163" s="140">
        <f t="shared" si="62"/>
        <v>0</v>
      </c>
      <c r="C163" s="140">
        <f t="shared" si="62"/>
        <v>0</v>
      </c>
      <c r="D163" s="140">
        <f t="shared" si="62"/>
        <v>1</v>
      </c>
      <c r="E163" s="140">
        <f t="shared" si="62"/>
        <v>1</v>
      </c>
      <c r="F163" s="140">
        <f t="shared" si="62"/>
        <v>0</v>
      </c>
      <c r="G163" s="140">
        <f t="shared" si="62"/>
        <v>0</v>
      </c>
      <c r="H163" s="140">
        <f t="shared" si="62"/>
        <v>0</v>
      </c>
      <c r="I163" s="140">
        <f t="shared" si="62"/>
        <v>1</v>
      </c>
      <c r="J163" s="140">
        <f t="shared" si="62"/>
        <v>1</v>
      </c>
      <c r="K163" s="140">
        <f t="shared" si="62"/>
        <v>1</v>
      </c>
      <c r="L163" s="140">
        <f t="shared" si="62"/>
        <v>0</v>
      </c>
      <c r="M163" s="140">
        <f t="shared" si="62"/>
        <v>0</v>
      </c>
      <c r="N163" s="140">
        <f t="shared" si="62"/>
        <v>1</v>
      </c>
      <c r="O163" s="140">
        <f t="shared" si="62"/>
        <v>1</v>
      </c>
      <c r="P163" s="140">
        <f t="shared" si="62"/>
        <v>1</v>
      </c>
      <c r="Q163" s="140">
        <f t="shared" si="62"/>
        <v>0</v>
      </c>
      <c r="R163" s="140">
        <f t="shared" si="62"/>
        <v>0</v>
      </c>
      <c r="S163" s="140">
        <f t="shared" si="62"/>
        <v>1</v>
      </c>
      <c r="T163" s="140">
        <f t="shared" si="62"/>
        <v>0</v>
      </c>
      <c r="U163" s="140">
        <f t="shared" si="62"/>
        <v>0</v>
      </c>
      <c r="V163" s="140">
        <f t="shared" si="62"/>
        <v>0</v>
      </c>
      <c r="W163" s="140">
        <f t="shared" si="62"/>
        <v>1</v>
      </c>
      <c r="X163" s="140">
        <f t="shared" si="62"/>
        <v>0</v>
      </c>
      <c r="Y163" s="140">
        <f t="shared" si="62"/>
        <v>1</v>
      </c>
      <c r="AA163" s="140">
        <f t="shared" si="60"/>
        <v>0</v>
      </c>
      <c r="AB163" s="140">
        <f t="shared" si="60"/>
        <v>0</v>
      </c>
      <c r="AC163" s="140">
        <f t="shared" si="60"/>
        <v>1</v>
      </c>
      <c r="AD163" s="140">
        <f t="shared" si="60"/>
        <v>1</v>
      </c>
      <c r="AE163" s="140">
        <f t="shared" si="60"/>
        <v>0</v>
      </c>
      <c r="AF163" s="140">
        <f t="shared" si="60"/>
        <v>0</v>
      </c>
      <c r="AG163" s="140">
        <f t="shared" si="60"/>
        <v>0</v>
      </c>
      <c r="AH163" s="140">
        <f t="shared" si="60"/>
        <v>1</v>
      </c>
      <c r="AI163" s="140">
        <f t="shared" si="60"/>
        <v>1</v>
      </c>
      <c r="AJ163" s="140">
        <f t="shared" si="60"/>
        <v>1</v>
      </c>
      <c r="AK163" s="140">
        <f t="shared" si="60"/>
        <v>0</v>
      </c>
      <c r="AL163" s="140">
        <f t="shared" si="60"/>
        <v>0</v>
      </c>
      <c r="AM163" s="140">
        <f t="shared" si="60"/>
        <v>1</v>
      </c>
      <c r="AN163" s="140">
        <f t="shared" si="60"/>
        <v>1</v>
      </c>
      <c r="AO163" s="140">
        <f t="shared" si="60"/>
        <v>1</v>
      </c>
      <c r="AP163" s="140">
        <f t="shared" si="60"/>
        <v>0</v>
      </c>
      <c r="AQ163" s="140">
        <f t="shared" ref="AQ163:AX167" si="63">IF(R163=0,0,R163/AQ31)</f>
        <v>0</v>
      </c>
      <c r="AR163" s="140">
        <f t="shared" si="63"/>
        <v>1</v>
      </c>
      <c r="AS163" s="140">
        <f t="shared" si="63"/>
        <v>0</v>
      </c>
      <c r="AT163" s="140">
        <f t="shared" si="63"/>
        <v>0</v>
      </c>
      <c r="AU163" s="140">
        <f t="shared" si="63"/>
        <v>0</v>
      </c>
      <c r="AV163" s="140">
        <f t="shared" si="63"/>
        <v>0.5</v>
      </c>
      <c r="AW163" s="140">
        <f t="shared" si="63"/>
        <v>0</v>
      </c>
      <c r="AX163" s="140">
        <f t="shared" si="63"/>
        <v>1</v>
      </c>
      <c r="AY163" s="140">
        <f t="shared" si="55"/>
        <v>10.5</v>
      </c>
      <c r="AZ163" s="22" t="s">
        <v>158</v>
      </c>
    </row>
    <row r="164" spans="1:52">
      <c r="A164" s="140" t="s">
        <v>194</v>
      </c>
      <c r="B164" s="140">
        <f t="shared" si="62"/>
        <v>1</v>
      </c>
      <c r="C164" s="140">
        <f t="shared" si="62"/>
        <v>0</v>
      </c>
      <c r="D164" s="140">
        <f t="shared" si="62"/>
        <v>0</v>
      </c>
      <c r="E164" s="140">
        <f t="shared" si="62"/>
        <v>0</v>
      </c>
      <c r="F164" s="140">
        <f t="shared" si="62"/>
        <v>0</v>
      </c>
      <c r="G164" s="140">
        <f t="shared" si="62"/>
        <v>1</v>
      </c>
      <c r="H164" s="140">
        <f t="shared" si="62"/>
        <v>0</v>
      </c>
      <c r="I164" s="140">
        <f t="shared" si="62"/>
        <v>1</v>
      </c>
      <c r="J164" s="140">
        <f t="shared" si="62"/>
        <v>1</v>
      </c>
      <c r="K164" s="140">
        <f t="shared" si="62"/>
        <v>1</v>
      </c>
      <c r="L164" s="140">
        <f t="shared" si="62"/>
        <v>0</v>
      </c>
      <c r="M164" s="140">
        <f t="shared" si="62"/>
        <v>1</v>
      </c>
      <c r="N164" s="140">
        <f t="shared" si="62"/>
        <v>0</v>
      </c>
      <c r="O164" s="140">
        <f t="shared" si="62"/>
        <v>0</v>
      </c>
      <c r="P164" s="140">
        <f t="shared" si="62"/>
        <v>0</v>
      </c>
      <c r="Q164" s="140">
        <f t="shared" si="62"/>
        <v>0</v>
      </c>
      <c r="R164" s="140">
        <f t="shared" si="62"/>
        <v>0</v>
      </c>
      <c r="S164" s="140">
        <f t="shared" si="62"/>
        <v>1</v>
      </c>
      <c r="T164" s="140">
        <f t="shared" si="62"/>
        <v>0</v>
      </c>
      <c r="U164" s="140">
        <f t="shared" si="62"/>
        <v>1</v>
      </c>
      <c r="V164" s="140">
        <f t="shared" si="62"/>
        <v>0</v>
      </c>
      <c r="W164" s="140">
        <f t="shared" si="62"/>
        <v>1</v>
      </c>
      <c r="X164" s="140">
        <f t="shared" si="62"/>
        <v>1</v>
      </c>
      <c r="Y164" s="140">
        <f t="shared" si="62"/>
        <v>0</v>
      </c>
      <c r="AA164" s="140">
        <f t="shared" ref="AA164:AP167" si="64">IF(B164=0,0,B164/AA32)</f>
        <v>1</v>
      </c>
      <c r="AB164" s="140">
        <f t="shared" si="64"/>
        <v>0</v>
      </c>
      <c r="AC164" s="140">
        <f t="shared" si="64"/>
        <v>0</v>
      </c>
      <c r="AD164" s="140">
        <f t="shared" si="64"/>
        <v>0</v>
      </c>
      <c r="AE164" s="140">
        <f t="shared" si="64"/>
        <v>0</v>
      </c>
      <c r="AF164" s="140">
        <f t="shared" si="64"/>
        <v>1</v>
      </c>
      <c r="AG164" s="140">
        <f t="shared" si="64"/>
        <v>0</v>
      </c>
      <c r="AH164" s="140">
        <f t="shared" si="64"/>
        <v>1</v>
      </c>
      <c r="AI164" s="140">
        <f t="shared" si="64"/>
        <v>1</v>
      </c>
      <c r="AJ164" s="140">
        <f t="shared" si="64"/>
        <v>1</v>
      </c>
      <c r="AK164" s="140">
        <f t="shared" si="64"/>
        <v>0</v>
      </c>
      <c r="AL164" s="140">
        <f t="shared" si="64"/>
        <v>1</v>
      </c>
      <c r="AM164" s="140">
        <f t="shared" si="64"/>
        <v>0</v>
      </c>
      <c r="AN164" s="140">
        <f t="shared" si="64"/>
        <v>0</v>
      </c>
      <c r="AO164" s="140">
        <f t="shared" si="64"/>
        <v>0</v>
      </c>
      <c r="AP164" s="140">
        <f t="shared" si="64"/>
        <v>0</v>
      </c>
      <c r="AQ164" s="140">
        <f t="shared" si="63"/>
        <v>0</v>
      </c>
      <c r="AR164" s="140">
        <f t="shared" si="63"/>
        <v>1</v>
      </c>
      <c r="AS164" s="140">
        <f t="shared" si="63"/>
        <v>0</v>
      </c>
      <c r="AT164" s="140">
        <f t="shared" si="63"/>
        <v>1</v>
      </c>
      <c r="AU164" s="140">
        <f t="shared" si="63"/>
        <v>0</v>
      </c>
      <c r="AV164" s="140">
        <f t="shared" si="63"/>
        <v>1</v>
      </c>
      <c r="AW164" s="140">
        <f t="shared" si="63"/>
        <v>1</v>
      </c>
      <c r="AX164" s="140">
        <f t="shared" si="63"/>
        <v>0</v>
      </c>
      <c r="AY164" s="140">
        <f t="shared" si="55"/>
        <v>10</v>
      </c>
      <c r="AZ164" s="22" t="s">
        <v>158</v>
      </c>
    </row>
    <row r="165" spans="1:52">
      <c r="A165" s="140" t="s">
        <v>195</v>
      </c>
      <c r="B165" s="140">
        <f t="shared" si="62"/>
        <v>1</v>
      </c>
      <c r="C165" s="140">
        <f t="shared" si="62"/>
        <v>0</v>
      </c>
      <c r="D165" s="140">
        <f t="shared" si="62"/>
        <v>0</v>
      </c>
      <c r="E165" s="140">
        <f t="shared" si="62"/>
        <v>0</v>
      </c>
      <c r="F165" s="140">
        <f t="shared" si="62"/>
        <v>0</v>
      </c>
      <c r="G165" s="140">
        <f t="shared" si="62"/>
        <v>0</v>
      </c>
      <c r="H165" s="140">
        <f t="shared" si="62"/>
        <v>0</v>
      </c>
      <c r="I165" s="140">
        <f t="shared" si="62"/>
        <v>1</v>
      </c>
      <c r="J165" s="140">
        <f t="shared" si="62"/>
        <v>1</v>
      </c>
      <c r="K165" s="140">
        <f t="shared" si="62"/>
        <v>1</v>
      </c>
      <c r="L165" s="140">
        <f t="shared" si="62"/>
        <v>1</v>
      </c>
      <c r="M165" s="140">
        <f t="shared" si="62"/>
        <v>0</v>
      </c>
      <c r="N165" s="140">
        <f t="shared" si="62"/>
        <v>0</v>
      </c>
      <c r="O165" s="140">
        <f t="shared" si="62"/>
        <v>0</v>
      </c>
      <c r="P165" s="140">
        <f t="shared" si="62"/>
        <v>0</v>
      </c>
      <c r="Q165" s="140">
        <f t="shared" si="62"/>
        <v>0</v>
      </c>
      <c r="R165" s="140">
        <f t="shared" si="62"/>
        <v>1</v>
      </c>
      <c r="S165" s="140">
        <f t="shared" si="62"/>
        <v>1</v>
      </c>
      <c r="T165" s="140">
        <f t="shared" si="62"/>
        <v>1</v>
      </c>
      <c r="U165" s="140">
        <f t="shared" si="62"/>
        <v>1</v>
      </c>
      <c r="V165" s="140">
        <f t="shared" si="62"/>
        <v>0</v>
      </c>
      <c r="W165" s="140">
        <f t="shared" si="62"/>
        <v>0</v>
      </c>
      <c r="X165" s="140">
        <f t="shared" si="62"/>
        <v>1</v>
      </c>
      <c r="Y165" s="140">
        <f t="shared" si="62"/>
        <v>0</v>
      </c>
      <c r="AA165" s="140">
        <f t="shared" si="64"/>
        <v>1</v>
      </c>
      <c r="AB165" s="140">
        <f t="shared" si="64"/>
        <v>0</v>
      </c>
      <c r="AC165" s="140">
        <f t="shared" si="64"/>
        <v>0</v>
      </c>
      <c r="AD165" s="140">
        <f t="shared" si="64"/>
        <v>0</v>
      </c>
      <c r="AE165" s="140">
        <f t="shared" si="64"/>
        <v>0</v>
      </c>
      <c r="AF165" s="140">
        <f t="shared" si="64"/>
        <v>0</v>
      </c>
      <c r="AG165" s="140">
        <f t="shared" si="64"/>
        <v>0</v>
      </c>
      <c r="AH165" s="140">
        <f t="shared" si="64"/>
        <v>1</v>
      </c>
      <c r="AI165" s="140">
        <f t="shared" si="64"/>
        <v>1</v>
      </c>
      <c r="AJ165" s="140">
        <f t="shared" si="64"/>
        <v>1</v>
      </c>
      <c r="AK165" s="140">
        <f t="shared" si="64"/>
        <v>1</v>
      </c>
      <c r="AL165" s="140">
        <f t="shared" si="64"/>
        <v>0</v>
      </c>
      <c r="AM165" s="140">
        <f t="shared" si="64"/>
        <v>0</v>
      </c>
      <c r="AN165" s="140">
        <f t="shared" si="64"/>
        <v>0</v>
      </c>
      <c r="AO165" s="140">
        <f t="shared" si="64"/>
        <v>0</v>
      </c>
      <c r="AP165" s="140">
        <f t="shared" si="64"/>
        <v>0</v>
      </c>
      <c r="AQ165" s="140">
        <f t="shared" si="63"/>
        <v>1</v>
      </c>
      <c r="AR165" s="140">
        <f t="shared" si="63"/>
        <v>1</v>
      </c>
      <c r="AS165" s="140">
        <f t="shared" si="63"/>
        <v>1</v>
      </c>
      <c r="AT165" s="140">
        <f t="shared" si="63"/>
        <v>1</v>
      </c>
      <c r="AU165" s="140">
        <f t="shared" si="63"/>
        <v>0</v>
      </c>
      <c r="AV165" s="140">
        <f t="shared" si="63"/>
        <v>0</v>
      </c>
      <c r="AW165" s="140">
        <f t="shared" si="63"/>
        <v>1</v>
      </c>
      <c r="AX165" s="140">
        <f t="shared" si="63"/>
        <v>0</v>
      </c>
      <c r="AY165" s="140">
        <f t="shared" si="55"/>
        <v>10</v>
      </c>
      <c r="AZ165" s="22" t="s">
        <v>158</v>
      </c>
    </row>
    <row r="166" spans="1:52">
      <c r="A166" s="140" t="s">
        <v>196</v>
      </c>
      <c r="B166" s="140">
        <f t="shared" si="62"/>
        <v>0</v>
      </c>
      <c r="C166" s="140">
        <f t="shared" si="62"/>
        <v>0</v>
      </c>
      <c r="D166" s="140">
        <f t="shared" si="62"/>
        <v>0</v>
      </c>
      <c r="E166" s="140">
        <f t="shared" si="62"/>
        <v>0</v>
      </c>
      <c r="F166" s="140">
        <f t="shared" si="62"/>
        <v>0</v>
      </c>
      <c r="G166" s="140">
        <f t="shared" si="62"/>
        <v>0</v>
      </c>
      <c r="H166" s="140">
        <f t="shared" si="62"/>
        <v>0</v>
      </c>
      <c r="I166" s="140">
        <f t="shared" si="62"/>
        <v>0</v>
      </c>
      <c r="J166" s="140">
        <f t="shared" si="62"/>
        <v>1</v>
      </c>
      <c r="K166" s="140">
        <f t="shared" si="62"/>
        <v>0</v>
      </c>
      <c r="L166" s="140">
        <f t="shared" si="62"/>
        <v>1</v>
      </c>
      <c r="M166" s="140">
        <f t="shared" si="62"/>
        <v>0</v>
      </c>
      <c r="N166" s="140">
        <f t="shared" si="62"/>
        <v>0</v>
      </c>
      <c r="O166" s="140">
        <f t="shared" si="62"/>
        <v>0</v>
      </c>
      <c r="P166" s="140">
        <f t="shared" si="62"/>
        <v>0</v>
      </c>
      <c r="Q166" s="140">
        <f t="shared" si="62"/>
        <v>0</v>
      </c>
      <c r="R166" s="140">
        <f t="shared" si="62"/>
        <v>0</v>
      </c>
      <c r="S166" s="140">
        <f t="shared" si="62"/>
        <v>0</v>
      </c>
      <c r="T166" s="140">
        <f t="shared" si="62"/>
        <v>1</v>
      </c>
      <c r="U166" s="140">
        <f t="shared" si="62"/>
        <v>0</v>
      </c>
      <c r="V166" s="140">
        <f t="shared" si="62"/>
        <v>1</v>
      </c>
      <c r="W166" s="140">
        <f t="shared" si="62"/>
        <v>1</v>
      </c>
      <c r="X166" s="140">
        <f t="shared" si="62"/>
        <v>0</v>
      </c>
      <c r="Y166" s="140">
        <f t="shared" si="62"/>
        <v>1</v>
      </c>
      <c r="AA166" s="140">
        <f t="shared" si="64"/>
        <v>0</v>
      </c>
      <c r="AB166" s="140">
        <f t="shared" si="64"/>
        <v>0</v>
      </c>
      <c r="AC166" s="140">
        <f t="shared" si="64"/>
        <v>0</v>
      </c>
      <c r="AD166" s="140">
        <f t="shared" si="64"/>
        <v>0</v>
      </c>
      <c r="AE166" s="140">
        <f t="shared" si="64"/>
        <v>0</v>
      </c>
      <c r="AF166" s="140">
        <f t="shared" si="64"/>
        <v>0</v>
      </c>
      <c r="AG166" s="140">
        <f t="shared" si="64"/>
        <v>0</v>
      </c>
      <c r="AH166" s="140">
        <f t="shared" si="64"/>
        <v>0</v>
      </c>
      <c r="AI166" s="140">
        <f t="shared" si="64"/>
        <v>1</v>
      </c>
      <c r="AJ166" s="140">
        <f t="shared" si="64"/>
        <v>0</v>
      </c>
      <c r="AK166" s="140">
        <f t="shared" si="64"/>
        <v>0.5</v>
      </c>
      <c r="AL166" s="140">
        <f t="shared" si="64"/>
        <v>0</v>
      </c>
      <c r="AM166" s="140">
        <f t="shared" si="64"/>
        <v>0</v>
      </c>
      <c r="AN166" s="140">
        <f t="shared" si="64"/>
        <v>0</v>
      </c>
      <c r="AO166" s="140">
        <f t="shared" si="64"/>
        <v>0</v>
      </c>
      <c r="AP166" s="140">
        <f t="shared" si="64"/>
        <v>0</v>
      </c>
      <c r="AQ166" s="140">
        <f t="shared" si="63"/>
        <v>0</v>
      </c>
      <c r="AR166" s="140">
        <f t="shared" si="63"/>
        <v>0</v>
      </c>
      <c r="AS166" s="140">
        <f t="shared" si="63"/>
        <v>1</v>
      </c>
      <c r="AT166" s="140">
        <f t="shared" si="63"/>
        <v>0</v>
      </c>
      <c r="AU166" s="140">
        <f t="shared" si="63"/>
        <v>1</v>
      </c>
      <c r="AV166" s="140">
        <f t="shared" si="63"/>
        <v>1</v>
      </c>
      <c r="AW166" s="140">
        <f t="shared" si="63"/>
        <v>0</v>
      </c>
      <c r="AX166" s="140">
        <f t="shared" si="63"/>
        <v>1</v>
      </c>
      <c r="AY166" s="140">
        <f t="shared" si="55"/>
        <v>5.5</v>
      </c>
      <c r="AZ166" s="22" t="s">
        <v>158</v>
      </c>
    </row>
    <row r="167" spans="1:52">
      <c r="A167" s="140" t="s">
        <v>197</v>
      </c>
      <c r="B167" s="140">
        <f t="shared" si="62"/>
        <v>1</v>
      </c>
      <c r="C167" s="140">
        <f t="shared" si="62"/>
        <v>1</v>
      </c>
      <c r="D167" s="140">
        <f t="shared" si="62"/>
        <v>1</v>
      </c>
      <c r="E167" s="140">
        <f t="shared" si="62"/>
        <v>0</v>
      </c>
      <c r="F167" s="140">
        <f t="shared" si="62"/>
        <v>0</v>
      </c>
      <c r="G167" s="140">
        <f t="shared" si="62"/>
        <v>0</v>
      </c>
      <c r="H167" s="140">
        <f t="shared" si="62"/>
        <v>1</v>
      </c>
      <c r="I167" s="140">
        <f t="shared" si="62"/>
        <v>0</v>
      </c>
      <c r="J167" s="140">
        <f t="shared" si="62"/>
        <v>1</v>
      </c>
      <c r="K167" s="140">
        <f t="shared" si="62"/>
        <v>1</v>
      </c>
      <c r="L167" s="140">
        <f t="shared" si="62"/>
        <v>1</v>
      </c>
      <c r="M167" s="140">
        <f t="shared" si="62"/>
        <v>1</v>
      </c>
      <c r="N167" s="140">
        <f t="shared" si="62"/>
        <v>0</v>
      </c>
      <c r="O167" s="140">
        <f t="shared" si="62"/>
        <v>0</v>
      </c>
      <c r="P167" s="140">
        <f t="shared" si="62"/>
        <v>0</v>
      </c>
      <c r="Q167" s="140">
        <f t="shared" si="62"/>
        <v>1</v>
      </c>
      <c r="R167" s="140">
        <f t="shared" si="62"/>
        <v>0</v>
      </c>
      <c r="S167" s="140">
        <f t="shared" si="62"/>
        <v>0</v>
      </c>
      <c r="T167" s="140">
        <f t="shared" si="62"/>
        <v>1</v>
      </c>
      <c r="U167" s="140">
        <f t="shared" si="62"/>
        <v>1</v>
      </c>
      <c r="V167" s="140">
        <f t="shared" si="62"/>
        <v>1</v>
      </c>
      <c r="W167" s="140">
        <f t="shared" si="62"/>
        <v>0</v>
      </c>
      <c r="X167" s="140">
        <f t="shared" si="62"/>
        <v>0</v>
      </c>
      <c r="Y167" s="140">
        <f t="shared" si="62"/>
        <v>0</v>
      </c>
      <c r="AA167" s="140">
        <f t="shared" si="64"/>
        <v>1</v>
      </c>
      <c r="AB167" s="140">
        <f t="shared" si="64"/>
        <v>1</v>
      </c>
      <c r="AC167" s="140">
        <f t="shared" si="64"/>
        <v>1</v>
      </c>
      <c r="AD167" s="140">
        <f t="shared" si="64"/>
        <v>0</v>
      </c>
      <c r="AE167" s="140">
        <f t="shared" si="64"/>
        <v>0</v>
      </c>
      <c r="AF167" s="140">
        <f t="shared" si="64"/>
        <v>0</v>
      </c>
      <c r="AG167" s="140">
        <f t="shared" si="64"/>
        <v>1</v>
      </c>
      <c r="AH167" s="140">
        <f t="shared" si="64"/>
        <v>0</v>
      </c>
      <c r="AI167" s="140">
        <f t="shared" si="64"/>
        <v>1</v>
      </c>
      <c r="AJ167" s="140">
        <f t="shared" si="64"/>
        <v>1</v>
      </c>
      <c r="AK167" s="140">
        <f t="shared" si="64"/>
        <v>1</v>
      </c>
      <c r="AL167" s="140">
        <f t="shared" si="64"/>
        <v>1</v>
      </c>
      <c r="AM167" s="140">
        <f t="shared" si="64"/>
        <v>0</v>
      </c>
      <c r="AN167" s="140">
        <f t="shared" si="64"/>
        <v>0</v>
      </c>
      <c r="AO167" s="140">
        <f t="shared" si="64"/>
        <v>0</v>
      </c>
      <c r="AP167" s="140">
        <f t="shared" si="64"/>
        <v>1</v>
      </c>
      <c r="AQ167" s="140">
        <f t="shared" si="63"/>
        <v>0</v>
      </c>
      <c r="AR167" s="140">
        <f t="shared" si="63"/>
        <v>0</v>
      </c>
      <c r="AS167" s="140">
        <f t="shared" si="63"/>
        <v>1</v>
      </c>
      <c r="AT167" s="140">
        <f t="shared" si="63"/>
        <v>0.33333333333333331</v>
      </c>
      <c r="AU167" s="140">
        <f t="shared" si="63"/>
        <v>1</v>
      </c>
      <c r="AV167" s="140">
        <f t="shared" si="63"/>
        <v>0</v>
      </c>
      <c r="AW167" s="140">
        <f t="shared" si="63"/>
        <v>0</v>
      </c>
      <c r="AX167" s="140">
        <f t="shared" si="63"/>
        <v>0</v>
      </c>
      <c r="AY167" s="140">
        <f t="shared" si="55"/>
        <v>11.333333333333334</v>
      </c>
      <c r="AZ167" s="22" t="s">
        <v>158</v>
      </c>
    </row>
    <row r="169" spans="1:52">
      <c r="A169" s="157" t="s">
        <v>159</v>
      </c>
    </row>
    <row r="170" spans="1:52">
      <c r="A170" s="140" t="s">
        <v>167</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159</v>
      </c>
    </row>
    <row r="171" spans="1:52">
      <c r="A171" s="140" t="s">
        <v>168</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159</v>
      </c>
    </row>
    <row r="172" spans="1:52">
      <c r="A172" s="140" t="s">
        <v>169</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159</v>
      </c>
    </row>
    <row r="173" spans="1:52">
      <c r="A173" s="140" t="s">
        <v>170</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159</v>
      </c>
    </row>
    <row r="174" spans="1:52">
      <c r="A174" s="140" t="s">
        <v>171</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159</v>
      </c>
    </row>
    <row r="175" spans="1:52">
      <c r="A175" s="140" t="s">
        <v>172</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159</v>
      </c>
    </row>
    <row r="176" spans="1:52">
      <c r="A176" s="140" t="s">
        <v>173</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159</v>
      </c>
    </row>
    <row r="177" spans="1:52">
      <c r="A177" s="140" t="s">
        <v>174</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159</v>
      </c>
    </row>
    <row r="178" spans="1:52">
      <c r="A178" s="140" t="s">
        <v>175</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159</v>
      </c>
    </row>
    <row r="179" spans="1:52">
      <c r="A179" s="140" t="s">
        <v>176</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159</v>
      </c>
    </row>
    <row r="180" spans="1:52">
      <c r="A180" s="140" t="s">
        <v>177</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159</v>
      </c>
    </row>
    <row r="181" spans="1:52">
      <c r="A181" s="140" t="s">
        <v>178</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159</v>
      </c>
    </row>
    <row r="182" spans="1:52">
      <c r="A182" s="140" t="s">
        <v>179</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159</v>
      </c>
    </row>
    <row r="183" spans="1:52">
      <c r="A183" s="140" t="s">
        <v>180</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159</v>
      </c>
    </row>
    <row r="184" spans="1:52">
      <c r="A184" s="140" t="s">
        <v>181</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159</v>
      </c>
    </row>
    <row r="185" spans="1:52">
      <c r="A185" s="140" t="s">
        <v>182</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159</v>
      </c>
    </row>
    <row r="186" spans="1:52">
      <c r="A186" s="140" t="s">
        <v>183</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159</v>
      </c>
    </row>
    <row r="187" spans="1:52">
      <c r="A187" s="140" t="s">
        <v>184</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159</v>
      </c>
    </row>
    <row r="188" spans="1:52">
      <c r="A188" s="140" t="s">
        <v>185</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159</v>
      </c>
    </row>
    <row r="189" spans="1:52">
      <c r="A189" s="140" t="s">
        <v>186</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159</v>
      </c>
    </row>
    <row r="190" spans="1:52">
      <c r="A190" s="140" t="s">
        <v>187</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159</v>
      </c>
    </row>
    <row r="191" spans="1:52">
      <c r="A191" s="140" t="s">
        <v>188</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159</v>
      </c>
    </row>
    <row r="192" spans="1:52">
      <c r="A192" s="140" t="s">
        <v>189</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159</v>
      </c>
    </row>
    <row r="193" spans="1:52">
      <c r="A193" s="140" t="s">
        <v>190</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159</v>
      </c>
    </row>
    <row r="194" spans="1:52">
      <c r="A194" s="140" t="s">
        <v>191</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159</v>
      </c>
    </row>
    <row r="195" spans="1:52">
      <c r="A195" s="140" t="s">
        <v>192</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159</v>
      </c>
    </row>
    <row r="196" spans="1:52">
      <c r="A196" s="140" t="s">
        <v>193</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159</v>
      </c>
    </row>
    <row r="197" spans="1:52">
      <c r="A197" s="140" t="s">
        <v>194</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159</v>
      </c>
    </row>
    <row r="198" spans="1:52">
      <c r="A198" s="140" t="s">
        <v>195</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159</v>
      </c>
    </row>
    <row r="199" spans="1:52">
      <c r="A199" s="140" t="s">
        <v>196</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159</v>
      </c>
    </row>
    <row r="200" spans="1:52">
      <c r="A200" s="140" t="s">
        <v>197</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159</v>
      </c>
    </row>
    <row r="202" spans="1:52">
      <c r="A202" s="157" t="s">
        <v>160</v>
      </c>
    </row>
    <row r="203" spans="1:52">
      <c r="A203" s="140" t="s">
        <v>167</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160</v>
      </c>
    </row>
    <row r="204" spans="1:52">
      <c r="A204" s="140" t="s">
        <v>168</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160</v>
      </c>
    </row>
    <row r="205" spans="1:52">
      <c r="A205" s="140" t="s">
        <v>169</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160</v>
      </c>
    </row>
    <row r="206" spans="1:52">
      <c r="A206" s="140" t="s">
        <v>170</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160</v>
      </c>
    </row>
    <row r="207" spans="1:52">
      <c r="A207" s="140" t="s">
        <v>171</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160</v>
      </c>
    </row>
    <row r="208" spans="1:52">
      <c r="A208" s="140" t="s">
        <v>172</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160</v>
      </c>
    </row>
    <row r="209" spans="1:52">
      <c r="A209" s="140" t="s">
        <v>173</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160</v>
      </c>
    </row>
    <row r="210" spans="1:52">
      <c r="A210" s="140" t="s">
        <v>174</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160</v>
      </c>
    </row>
    <row r="211" spans="1:52">
      <c r="A211" s="140" t="s">
        <v>175</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160</v>
      </c>
    </row>
    <row r="212" spans="1:52">
      <c r="A212" s="140" t="s">
        <v>176</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160</v>
      </c>
    </row>
    <row r="213" spans="1:52">
      <c r="A213" s="140" t="s">
        <v>177</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160</v>
      </c>
    </row>
    <row r="214" spans="1:52">
      <c r="A214" s="140" t="s">
        <v>178</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160</v>
      </c>
    </row>
    <row r="215" spans="1:52">
      <c r="A215" s="140" t="s">
        <v>179</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160</v>
      </c>
    </row>
    <row r="216" spans="1:52">
      <c r="A216" s="140" t="s">
        <v>180</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160</v>
      </c>
    </row>
    <row r="217" spans="1:52">
      <c r="A217" s="140" t="s">
        <v>181</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160</v>
      </c>
    </row>
    <row r="218" spans="1:52">
      <c r="A218" s="140" t="s">
        <v>182</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160</v>
      </c>
    </row>
    <row r="219" spans="1:52">
      <c r="A219" s="140" t="s">
        <v>183</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160</v>
      </c>
    </row>
    <row r="220" spans="1:52">
      <c r="A220" s="140" t="s">
        <v>184</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160</v>
      </c>
    </row>
    <row r="221" spans="1:52">
      <c r="A221" s="140" t="s">
        <v>185</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160</v>
      </c>
    </row>
    <row r="222" spans="1:52">
      <c r="A222" s="140" t="s">
        <v>186</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160</v>
      </c>
    </row>
    <row r="223" spans="1:52">
      <c r="A223" s="140" t="s">
        <v>187</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160</v>
      </c>
    </row>
    <row r="224" spans="1:52">
      <c r="A224" s="140" t="s">
        <v>188</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160</v>
      </c>
    </row>
    <row r="225" spans="1:52">
      <c r="A225" s="140" t="s">
        <v>189</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160</v>
      </c>
    </row>
    <row r="226" spans="1:52">
      <c r="A226" s="140" t="s">
        <v>190</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160</v>
      </c>
    </row>
    <row r="227" spans="1:52">
      <c r="A227" s="140" t="s">
        <v>191</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160</v>
      </c>
    </row>
    <row r="228" spans="1:52">
      <c r="A228" s="140" t="s">
        <v>192</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160</v>
      </c>
    </row>
    <row r="229" spans="1:52">
      <c r="A229" s="140" t="s">
        <v>193</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160</v>
      </c>
    </row>
    <row r="230" spans="1:52">
      <c r="A230" s="140" t="s">
        <v>194</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160</v>
      </c>
    </row>
    <row r="231" spans="1:52">
      <c r="A231" s="140" t="s">
        <v>195</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160</v>
      </c>
    </row>
    <row r="232" spans="1:52">
      <c r="A232" s="140" t="s">
        <v>196</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160</v>
      </c>
    </row>
    <row r="233" spans="1:52">
      <c r="A233" s="140" t="s">
        <v>197</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160</v>
      </c>
    </row>
    <row r="235" spans="1:52">
      <c r="A235" s="157" t="s">
        <v>161</v>
      </c>
    </row>
    <row r="236" spans="1:52">
      <c r="A236" s="140" t="s">
        <v>167</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161</v>
      </c>
    </row>
    <row r="237" spans="1:52">
      <c r="A237" s="140" t="s">
        <v>168</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161</v>
      </c>
    </row>
    <row r="238" spans="1:52">
      <c r="A238" s="140" t="s">
        <v>169</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161</v>
      </c>
    </row>
    <row r="239" spans="1:52">
      <c r="A239" s="140" t="s">
        <v>170</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161</v>
      </c>
    </row>
    <row r="240" spans="1:52">
      <c r="A240" s="140" t="s">
        <v>171</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161</v>
      </c>
    </row>
    <row r="241" spans="1:52">
      <c r="A241" s="140" t="s">
        <v>172</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161</v>
      </c>
    </row>
    <row r="242" spans="1:52">
      <c r="A242" s="140" t="s">
        <v>173</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161</v>
      </c>
    </row>
    <row r="243" spans="1:52">
      <c r="A243" s="140" t="s">
        <v>174</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161</v>
      </c>
    </row>
    <row r="244" spans="1:52">
      <c r="A244" s="140" t="s">
        <v>175</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161</v>
      </c>
    </row>
    <row r="245" spans="1:52">
      <c r="A245" s="140" t="s">
        <v>176</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161</v>
      </c>
    </row>
    <row r="246" spans="1:52">
      <c r="A246" s="140" t="s">
        <v>177</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161</v>
      </c>
    </row>
    <row r="247" spans="1:52">
      <c r="A247" s="140" t="s">
        <v>178</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161</v>
      </c>
    </row>
    <row r="248" spans="1:52">
      <c r="A248" s="140" t="s">
        <v>179</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161</v>
      </c>
    </row>
    <row r="249" spans="1:52">
      <c r="A249" s="140" t="s">
        <v>180</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161</v>
      </c>
    </row>
    <row r="250" spans="1:52">
      <c r="A250" s="140" t="s">
        <v>181</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161</v>
      </c>
    </row>
    <row r="251" spans="1:52">
      <c r="A251" s="140" t="s">
        <v>182</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161</v>
      </c>
    </row>
    <row r="252" spans="1:52">
      <c r="A252" s="140" t="s">
        <v>183</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161</v>
      </c>
    </row>
    <row r="253" spans="1:52">
      <c r="A253" s="140" t="s">
        <v>184</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0</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0</v>
      </c>
      <c r="AV253" s="140">
        <f t="shared" si="91"/>
        <v>0</v>
      </c>
      <c r="AW253" s="140">
        <f t="shared" si="91"/>
        <v>0</v>
      </c>
      <c r="AX253" s="140">
        <f t="shared" si="91"/>
        <v>0</v>
      </c>
      <c r="AY253" s="140">
        <f t="shared" si="89"/>
        <v>0</v>
      </c>
      <c r="AZ253" s="22" t="s">
        <v>161</v>
      </c>
    </row>
    <row r="254" spans="1:52">
      <c r="A254" s="140" t="s">
        <v>185</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161</v>
      </c>
    </row>
    <row r="255" spans="1:52">
      <c r="A255" s="140" t="s">
        <v>186</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161</v>
      </c>
    </row>
    <row r="256" spans="1:52">
      <c r="A256" s="140" t="s">
        <v>187</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161</v>
      </c>
    </row>
    <row r="257" spans="1:52">
      <c r="A257" s="140" t="s">
        <v>188</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161</v>
      </c>
    </row>
    <row r="258" spans="1:52">
      <c r="A258" s="140" t="s">
        <v>189</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161</v>
      </c>
    </row>
    <row r="259" spans="1:52">
      <c r="A259" s="140" t="s">
        <v>190</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161</v>
      </c>
    </row>
    <row r="260" spans="1:52">
      <c r="A260" s="140" t="s">
        <v>191</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161</v>
      </c>
    </row>
    <row r="261" spans="1:52">
      <c r="A261" s="140" t="s">
        <v>192</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161</v>
      </c>
    </row>
    <row r="262" spans="1:52">
      <c r="A262" s="140" t="s">
        <v>193</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161</v>
      </c>
    </row>
    <row r="263" spans="1:52">
      <c r="A263" s="140" t="s">
        <v>194</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161</v>
      </c>
    </row>
    <row r="264" spans="1:52">
      <c r="A264" s="140" t="s">
        <v>195</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161</v>
      </c>
    </row>
    <row r="265" spans="1:52">
      <c r="A265" s="140" t="s">
        <v>196</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161</v>
      </c>
    </row>
    <row r="266" spans="1:52">
      <c r="A266" s="140" t="s">
        <v>197</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161</v>
      </c>
    </row>
    <row r="268" spans="1:52">
      <c r="A268" s="157" t="s">
        <v>162</v>
      </c>
    </row>
    <row r="269" spans="1:52">
      <c r="A269" s="140" t="s">
        <v>167</v>
      </c>
      <c r="B269" s="140">
        <f t="shared" ref="B269:Y279" si="98">IF(IFERROR(FIND($A$268,B5,1),0)=0,0,1)</f>
        <v>0</v>
      </c>
      <c r="C269" s="140">
        <f t="shared" si="98"/>
        <v>0</v>
      </c>
      <c r="D269" s="140">
        <f t="shared" si="98"/>
        <v>1</v>
      </c>
      <c r="E269" s="140">
        <f t="shared" si="98"/>
        <v>0</v>
      </c>
      <c r="F269" s="140">
        <f t="shared" si="98"/>
        <v>0</v>
      </c>
      <c r="G269" s="140">
        <f t="shared" si="98"/>
        <v>0</v>
      </c>
      <c r="H269" s="140">
        <f t="shared" si="98"/>
        <v>0</v>
      </c>
      <c r="I269" s="140">
        <f t="shared" si="98"/>
        <v>1</v>
      </c>
      <c r="J269" s="140">
        <f t="shared" si="98"/>
        <v>1</v>
      </c>
      <c r="K269" s="140">
        <f t="shared" si="98"/>
        <v>1</v>
      </c>
      <c r="L269" s="140">
        <f t="shared" si="98"/>
        <v>1</v>
      </c>
      <c r="M269" s="140">
        <f t="shared" si="98"/>
        <v>0</v>
      </c>
      <c r="N269" s="140">
        <f t="shared" si="98"/>
        <v>0</v>
      </c>
      <c r="O269" s="140">
        <f t="shared" si="98"/>
        <v>0</v>
      </c>
      <c r="P269" s="140">
        <f t="shared" si="98"/>
        <v>0</v>
      </c>
      <c r="Q269" s="140">
        <f t="shared" si="98"/>
        <v>0</v>
      </c>
      <c r="R269" s="140">
        <f t="shared" si="98"/>
        <v>0</v>
      </c>
      <c r="S269" s="140">
        <f t="shared" si="98"/>
        <v>1</v>
      </c>
      <c r="T269" s="140">
        <f t="shared" si="98"/>
        <v>0</v>
      </c>
      <c r="U269" s="140">
        <f t="shared" si="98"/>
        <v>0</v>
      </c>
      <c r="V269" s="140">
        <f t="shared" si="98"/>
        <v>0</v>
      </c>
      <c r="W269" s="140">
        <f t="shared" si="98"/>
        <v>0</v>
      </c>
      <c r="X269" s="140">
        <f t="shared" si="98"/>
        <v>0</v>
      </c>
      <c r="Y269" s="140">
        <f t="shared" si="98"/>
        <v>0</v>
      </c>
      <c r="AA269" s="140">
        <f t="shared" ref="AA269:AX279" si="99">IF(B269=0,0,B269/AA5)</f>
        <v>0</v>
      </c>
      <c r="AB269" s="140">
        <f t="shared" si="99"/>
        <v>0</v>
      </c>
      <c r="AC269" s="140">
        <f t="shared" si="99"/>
        <v>1</v>
      </c>
      <c r="AD269" s="140">
        <f t="shared" si="99"/>
        <v>0</v>
      </c>
      <c r="AE269" s="140">
        <f t="shared" si="99"/>
        <v>0</v>
      </c>
      <c r="AF269" s="140">
        <f t="shared" si="99"/>
        <v>0</v>
      </c>
      <c r="AG269" s="140">
        <f t="shared" si="99"/>
        <v>0</v>
      </c>
      <c r="AH269" s="140">
        <f t="shared" si="99"/>
        <v>1</v>
      </c>
      <c r="AI269" s="140">
        <f t="shared" si="99"/>
        <v>1</v>
      </c>
      <c r="AJ269" s="140">
        <f t="shared" si="99"/>
        <v>1</v>
      </c>
      <c r="AK269" s="140">
        <f t="shared" si="99"/>
        <v>1</v>
      </c>
      <c r="AL269" s="140">
        <f t="shared" si="99"/>
        <v>0</v>
      </c>
      <c r="AM269" s="140">
        <f t="shared" si="99"/>
        <v>0</v>
      </c>
      <c r="AN269" s="140">
        <f t="shared" si="99"/>
        <v>0</v>
      </c>
      <c r="AO269" s="140">
        <f t="shared" si="99"/>
        <v>0</v>
      </c>
      <c r="AP269" s="140">
        <f t="shared" si="99"/>
        <v>0</v>
      </c>
      <c r="AQ269" s="140">
        <f t="shared" si="99"/>
        <v>0</v>
      </c>
      <c r="AR269" s="140">
        <f t="shared" si="99"/>
        <v>1</v>
      </c>
      <c r="AS269" s="140">
        <f t="shared" si="99"/>
        <v>0</v>
      </c>
      <c r="AT269" s="140">
        <f t="shared" si="99"/>
        <v>0</v>
      </c>
      <c r="AU269" s="140">
        <f t="shared" si="99"/>
        <v>0</v>
      </c>
      <c r="AV269" s="140">
        <f t="shared" si="99"/>
        <v>0</v>
      </c>
      <c r="AW269" s="140">
        <f t="shared" si="99"/>
        <v>0</v>
      </c>
      <c r="AX269" s="140">
        <f t="shared" si="99"/>
        <v>0</v>
      </c>
      <c r="AY269" s="140">
        <f t="shared" ref="AY269:AY299" si="100">SUM(AA269:AX269)</f>
        <v>6</v>
      </c>
      <c r="AZ269" s="22" t="s">
        <v>162</v>
      </c>
    </row>
    <row r="270" spans="1:52">
      <c r="A270" s="140" t="s">
        <v>168</v>
      </c>
      <c r="B270" s="140">
        <f t="shared" si="98"/>
        <v>1</v>
      </c>
      <c r="C270" s="140">
        <f t="shared" si="98"/>
        <v>1</v>
      </c>
      <c r="D270" s="140">
        <f t="shared" si="98"/>
        <v>0</v>
      </c>
      <c r="E270" s="140">
        <f t="shared" si="98"/>
        <v>1</v>
      </c>
      <c r="F270" s="140">
        <f t="shared" si="98"/>
        <v>1</v>
      </c>
      <c r="G270" s="140">
        <f t="shared" si="98"/>
        <v>0</v>
      </c>
      <c r="H270" s="140">
        <f t="shared" si="98"/>
        <v>1</v>
      </c>
      <c r="I270" s="140">
        <f t="shared" si="98"/>
        <v>1</v>
      </c>
      <c r="J270" s="140">
        <f t="shared" si="98"/>
        <v>1</v>
      </c>
      <c r="K270" s="140">
        <f t="shared" si="98"/>
        <v>1</v>
      </c>
      <c r="L270" s="140">
        <f t="shared" si="98"/>
        <v>1</v>
      </c>
      <c r="M270" s="140">
        <f t="shared" si="98"/>
        <v>0</v>
      </c>
      <c r="N270" s="140">
        <f t="shared" si="98"/>
        <v>0</v>
      </c>
      <c r="O270" s="140">
        <f t="shared" si="98"/>
        <v>0</v>
      </c>
      <c r="P270" s="140">
        <f t="shared" si="98"/>
        <v>1</v>
      </c>
      <c r="Q270" s="140">
        <f t="shared" si="98"/>
        <v>1</v>
      </c>
      <c r="R270" s="140">
        <f t="shared" si="98"/>
        <v>1</v>
      </c>
      <c r="S270" s="140">
        <f t="shared" si="98"/>
        <v>0</v>
      </c>
      <c r="T270" s="140">
        <f t="shared" si="98"/>
        <v>0</v>
      </c>
      <c r="U270" s="140">
        <f t="shared" si="98"/>
        <v>1</v>
      </c>
      <c r="V270" s="140">
        <f t="shared" si="98"/>
        <v>0</v>
      </c>
      <c r="W270" s="140">
        <f t="shared" si="98"/>
        <v>0</v>
      </c>
      <c r="X270" s="140">
        <f t="shared" si="98"/>
        <v>0</v>
      </c>
      <c r="Y270" s="140">
        <f t="shared" si="98"/>
        <v>1</v>
      </c>
      <c r="AA270" s="140">
        <f t="shared" si="99"/>
        <v>1</v>
      </c>
      <c r="AB270" s="140">
        <f t="shared" si="99"/>
        <v>1</v>
      </c>
      <c r="AC270" s="140">
        <f t="shared" si="99"/>
        <v>0</v>
      </c>
      <c r="AD270" s="140">
        <f t="shared" si="99"/>
        <v>1</v>
      </c>
      <c r="AE270" s="140">
        <f t="shared" si="99"/>
        <v>1</v>
      </c>
      <c r="AF270" s="140">
        <f t="shared" si="99"/>
        <v>0</v>
      </c>
      <c r="AG270" s="140">
        <f t="shared" si="99"/>
        <v>1</v>
      </c>
      <c r="AH270" s="140">
        <f t="shared" si="99"/>
        <v>1</v>
      </c>
      <c r="AI270" s="140">
        <f t="shared" si="99"/>
        <v>1</v>
      </c>
      <c r="AJ270" s="140">
        <f t="shared" si="99"/>
        <v>1</v>
      </c>
      <c r="AK270" s="140">
        <f t="shared" si="99"/>
        <v>1</v>
      </c>
      <c r="AL270" s="140">
        <f t="shared" si="99"/>
        <v>0</v>
      </c>
      <c r="AM270" s="140">
        <f t="shared" si="99"/>
        <v>0</v>
      </c>
      <c r="AN270" s="140">
        <f t="shared" si="99"/>
        <v>0</v>
      </c>
      <c r="AO270" s="140">
        <f t="shared" si="99"/>
        <v>1</v>
      </c>
      <c r="AP270" s="140">
        <f t="shared" si="99"/>
        <v>1</v>
      </c>
      <c r="AQ270" s="140">
        <f t="shared" si="99"/>
        <v>1</v>
      </c>
      <c r="AR270" s="140">
        <f t="shared" si="99"/>
        <v>0</v>
      </c>
      <c r="AS270" s="140">
        <f t="shared" si="99"/>
        <v>0</v>
      </c>
      <c r="AT270" s="140">
        <f t="shared" si="99"/>
        <v>1</v>
      </c>
      <c r="AU270" s="140">
        <f t="shared" si="99"/>
        <v>0</v>
      </c>
      <c r="AV270" s="140">
        <f t="shared" si="99"/>
        <v>0</v>
      </c>
      <c r="AW270" s="140">
        <f t="shared" si="99"/>
        <v>0</v>
      </c>
      <c r="AX270" s="140">
        <f t="shared" si="99"/>
        <v>1</v>
      </c>
      <c r="AY270" s="140">
        <f t="shared" si="100"/>
        <v>14</v>
      </c>
      <c r="AZ270" s="22" t="s">
        <v>162</v>
      </c>
    </row>
    <row r="271" spans="1:52">
      <c r="A271" s="140" t="s">
        <v>169</v>
      </c>
      <c r="B271" s="140">
        <f t="shared" si="98"/>
        <v>0</v>
      </c>
      <c r="C271" s="140">
        <f t="shared" si="98"/>
        <v>0</v>
      </c>
      <c r="D271" s="140">
        <f t="shared" si="98"/>
        <v>0</v>
      </c>
      <c r="E271" s="140">
        <f t="shared" si="98"/>
        <v>0</v>
      </c>
      <c r="F271" s="140">
        <f t="shared" si="98"/>
        <v>0</v>
      </c>
      <c r="G271" s="140">
        <f t="shared" si="98"/>
        <v>0</v>
      </c>
      <c r="H271" s="140">
        <f t="shared" si="98"/>
        <v>0</v>
      </c>
      <c r="I271" s="140">
        <f t="shared" si="98"/>
        <v>0</v>
      </c>
      <c r="J271" s="140">
        <f t="shared" si="98"/>
        <v>0</v>
      </c>
      <c r="K271" s="140">
        <f t="shared" si="98"/>
        <v>0</v>
      </c>
      <c r="L271" s="140">
        <f t="shared" si="98"/>
        <v>0</v>
      </c>
      <c r="M271" s="140">
        <f t="shared" si="98"/>
        <v>0</v>
      </c>
      <c r="N271" s="140">
        <f t="shared" si="98"/>
        <v>0</v>
      </c>
      <c r="O271" s="140">
        <f t="shared" si="98"/>
        <v>0</v>
      </c>
      <c r="P271" s="140">
        <f t="shared" si="98"/>
        <v>1</v>
      </c>
      <c r="Q271" s="140">
        <f t="shared" si="98"/>
        <v>1</v>
      </c>
      <c r="R271" s="140">
        <f t="shared" si="98"/>
        <v>0</v>
      </c>
      <c r="S271" s="140">
        <f t="shared" si="98"/>
        <v>0</v>
      </c>
      <c r="T271" s="140">
        <f t="shared" si="98"/>
        <v>1</v>
      </c>
      <c r="U271" s="140">
        <f t="shared" si="98"/>
        <v>1</v>
      </c>
      <c r="V271" s="140">
        <f t="shared" si="98"/>
        <v>0</v>
      </c>
      <c r="W271" s="140">
        <f t="shared" si="98"/>
        <v>0</v>
      </c>
      <c r="X271" s="140">
        <f t="shared" si="98"/>
        <v>0</v>
      </c>
      <c r="Y271" s="140">
        <f t="shared" si="98"/>
        <v>1</v>
      </c>
      <c r="AA271" s="140">
        <f t="shared" si="99"/>
        <v>0</v>
      </c>
      <c r="AB271" s="140">
        <f t="shared" si="99"/>
        <v>0</v>
      </c>
      <c r="AC271" s="140">
        <f t="shared" si="99"/>
        <v>0</v>
      </c>
      <c r="AD271" s="140">
        <f t="shared" si="99"/>
        <v>0</v>
      </c>
      <c r="AE271" s="140">
        <f t="shared" si="99"/>
        <v>0</v>
      </c>
      <c r="AF271" s="140">
        <f t="shared" si="99"/>
        <v>0</v>
      </c>
      <c r="AG271" s="140">
        <f t="shared" si="99"/>
        <v>0</v>
      </c>
      <c r="AH271" s="140">
        <f t="shared" si="99"/>
        <v>0</v>
      </c>
      <c r="AI271" s="140">
        <f t="shared" si="99"/>
        <v>0</v>
      </c>
      <c r="AJ271" s="140">
        <f t="shared" si="99"/>
        <v>0</v>
      </c>
      <c r="AK271" s="140">
        <f t="shared" si="99"/>
        <v>0</v>
      </c>
      <c r="AL271" s="140">
        <f t="shared" si="99"/>
        <v>0</v>
      </c>
      <c r="AM271" s="140">
        <f t="shared" si="99"/>
        <v>0</v>
      </c>
      <c r="AN271" s="140">
        <f t="shared" si="99"/>
        <v>0</v>
      </c>
      <c r="AO271" s="140">
        <f t="shared" si="99"/>
        <v>1</v>
      </c>
      <c r="AP271" s="140">
        <f t="shared" si="99"/>
        <v>1</v>
      </c>
      <c r="AQ271" s="140">
        <f t="shared" si="99"/>
        <v>0</v>
      </c>
      <c r="AR271" s="140">
        <f t="shared" si="99"/>
        <v>0</v>
      </c>
      <c r="AS271" s="140">
        <f t="shared" si="99"/>
        <v>1</v>
      </c>
      <c r="AT271" s="140">
        <f t="shared" si="99"/>
        <v>1</v>
      </c>
      <c r="AU271" s="140">
        <f t="shared" si="99"/>
        <v>0</v>
      </c>
      <c r="AV271" s="140">
        <f t="shared" si="99"/>
        <v>0</v>
      </c>
      <c r="AW271" s="140">
        <f t="shared" si="99"/>
        <v>0</v>
      </c>
      <c r="AX271" s="140">
        <f t="shared" si="99"/>
        <v>1</v>
      </c>
      <c r="AY271" s="140">
        <f t="shared" si="100"/>
        <v>5</v>
      </c>
      <c r="AZ271" s="22" t="s">
        <v>162</v>
      </c>
    </row>
    <row r="272" spans="1:52">
      <c r="A272" s="140" t="s">
        <v>170</v>
      </c>
      <c r="B272" s="140">
        <f t="shared" si="98"/>
        <v>0</v>
      </c>
      <c r="C272" s="140">
        <f t="shared" si="98"/>
        <v>0</v>
      </c>
      <c r="D272" s="140">
        <f t="shared" si="98"/>
        <v>0</v>
      </c>
      <c r="E272" s="140">
        <f t="shared" si="98"/>
        <v>1</v>
      </c>
      <c r="F272" s="140">
        <f t="shared" si="98"/>
        <v>1</v>
      </c>
      <c r="G272" s="140">
        <f t="shared" si="98"/>
        <v>0</v>
      </c>
      <c r="H272" s="140">
        <f t="shared" si="98"/>
        <v>0</v>
      </c>
      <c r="I272" s="140">
        <f t="shared" si="98"/>
        <v>0</v>
      </c>
      <c r="J272" s="140">
        <f t="shared" si="98"/>
        <v>0</v>
      </c>
      <c r="K272" s="140">
        <f t="shared" si="98"/>
        <v>1</v>
      </c>
      <c r="L272" s="140">
        <f t="shared" si="98"/>
        <v>0</v>
      </c>
      <c r="M272" s="140">
        <f t="shared" si="98"/>
        <v>0</v>
      </c>
      <c r="N272" s="140">
        <f t="shared" si="98"/>
        <v>0</v>
      </c>
      <c r="O272" s="140">
        <f t="shared" si="98"/>
        <v>0</v>
      </c>
      <c r="P272" s="140">
        <f t="shared" si="98"/>
        <v>0</v>
      </c>
      <c r="Q272" s="140">
        <f t="shared" si="98"/>
        <v>0</v>
      </c>
      <c r="R272" s="140">
        <f t="shared" si="98"/>
        <v>0</v>
      </c>
      <c r="S272" s="140">
        <f t="shared" si="98"/>
        <v>0</v>
      </c>
      <c r="T272" s="140">
        <f t="shared" si="98"/>
        <v>0</v>
      </c>
      <c r="U272" s="140">
        <f t="shared" si="98"/>
        <v>0</v>
      </c>
      <c r="V272" s="140">
        <f t="shared" si="98"/>
        <v>0</v>
      </c>
      <c r="W272" s="140">
        <f t="shared" si="98"/>
        <v>0</v>
      </c>
      <c r="X272" s="140">
        <f t="shared" si="98"/>
        <v>0</v>
      </c>
      <c r="Y272" s="140">
        <f t="shared" si="98"/>
        <v>1</v>
      </c>
      <c r="AA272" s="140">
        <f t="shared" si="99"/>
        <v>0</v>
      </c>
      <c r="AB272" s="140">
        <f t="shared" si="99"/>
        <v>0</v>
      </c>
      <c r="AC272" s="140">
        <f t="shared" si="99"/>
        <v>0</v>
      </c>
      <c r="AD272" s="140">
        <f t="shared" si="99"/>
        <v>1</v>
      </c>
      <c r="AE272" s="140">
        <f t="shared" si="99"/>
        <v>1</v>
      </c>
      <c r="AF272" s="140">
        <f t="shared" si="99"/>
        <v>0</v>
      </c>
      <c r="AG272" s="140">
        <f t="shared" si="99"/>
        <v>0</v>
      </c>
      <c r="AH272" s="140">
        <f t="shared" si="99"/>
        <v>0</v>
      </c>
      <c r="AI272" s="140">
        <f t="shared" si="99"/>
        <v>0</v>
      </c>
      <c r="AJ272" s="140">
        <f t="shared" si="99"/>
        <v>0.5</v>
      </c>
      <c r="AK272" s="140">
        <f t="shared" si="99"/>
        <v>0</v>
      </c>
      <c r="AL272" s="140">
        <f t="shared" si="99"/>
        <v>0</v>
      </c>
      <c r="AM272" s="140">
        <f t="shared" si="99"/>
        <v>0</v>
      </c>
      <c r="AN272" s="140">
        <f t="shared" si="99"/>
        <v>0</v>
      </c>
      <c r="AO272" s="140">
        <f t="shared" si="99"/>
        <v>0</v>
      </c>
      <c r="AP272" s="140">
        <f t="shared" si="99"/>
        <v>0</v>
      </c>
      <c r="AQ272" s="140">
        <f t="shared" si="99"/>
        <v>0</v>
      </c>
      <c r="AR272" s="140">
        <f t="shared" si="99"/>
        <v>0</v>
      </c>
      <c r="AS272" s="140">
        <f t="shared" si="99"/>
        <v>0</v>
      </c>
      <c r="AT272" s="140">
        <f t="shared" si="99"/>
        <v>0</v>
      </c>
      <c r="AU272" s="140">
        <f t="shared" si="99"/>
        <v>0</v>
      </c>
      <c r="AV272" s="140">
        <f t="shared" si="99"/>
        <v>0</v>
      </c>
      <c r="AW272" s="140">
        <f t="shared" si="99"/>
        <v>0</v>
      </c>
      <c r="AX272" s="140">
        <f t="shared" si="99"/>
        <v>1</v>
      </c>
      <c r="AY272" s="140">
        <f t="shared" si="100"/>
        <v>3.5</v>
      </c>
      <c r="AZ272" s="22" t="s">
        <v>162</v>
      </c>
    </row>
    <row r="273" spans="1:52">
      <c r="A273" s="140" t="s">
        <v>171</v>
      </c>
      <c r="B273" s="140">
        <f t="shared" si="98"/>
        <v>0</v>
      </c>
      <c r="C273" s="140">
        <f t="shared" si="98"/>
        <v>1</v>
      </c>
      <c r="D273" s="140">
        <f t="shared" si="98"/>
        <v>0</v>
      </c>
      <c r="E273" s="140">
        <f t="shared" si="98"/>
        <v>1</v>
      </c>
      <c r="F273" s="140">
        <f t="shared" si="98"/>
        <v>0</v>
      </c>
      <c r="G273" s="140">
        <f t="shared" si="98"/>
        <v>0</v>
      </c>
      <c r="H273" s="140">
        <f t="shared" si="98"/>
        <v>0</v>
      </c>
      <c r="I273" s="140">
        <f t="shared" si="98"/>
        <v>0</v>
      </c>
      <c r="J273" s="140">
        <f t="shared" si="98"/>
        <v>0</v>
      </c>
      <c r="K273" s="140">
        <f t="shared" si="98"/>
        <v>0</v>
      </c>
      <c r="L273" s="140">
        <f t="shared" si="98"/>
        <v>0</v>
      </c>
      <c r="M273" s="140">
        <f t="shared" si="98"/>
        <v>0</v>
      </c>
      <c r="N273" s="140">
        <f t="shared" si="98"/>
        <v>0</v>
      </c>
      <c r="O273" s="140">
        <f t="shared" si="98"/>
        <v>0</v>
      </c>
      <c r="P273" s="140">
        <f t="shared" si="98"/>
        <v>0</v>
      </c>
      <c r="Q273" s="140">
        <f t="shared" si="98"/>
        <v>0</v>
      </c>
      <c r="R273" s="140">
        <f t="shared" si="98"/>
        <v>0</v>
      </c>
      <c r="S273" s="140">
        <f t="shared" si="98"/>
        <v>0</v>
      </c>
      <c r="T273" s="140">
        <f t="shared" si="98"/>
        <v>1</v>
      </c>
      <c r="U273" s="140">
        <f t="shared" si="98"/>
        <v>1</v>
      </c>
      <c r="V273" s="140">
        <f t="shared" si="98"/>
        <v>0</v>
      </c>
      <c r="W273" s="140">
        <f t="shared" si="98"/>
        <v>0</v>
      </c>
      <c r="X273" s="140">
        <f t="shared" si="98"/>
        <v>0</v>
      </c>
      <c r="Y273" s="140">
        <f t="shared" si="98"/>
        <v>0</v>
      </c>
      <c r="AA273" s="140">
        <f t="shared" si="99"/>
        <v>0</v>
      </c>
      <c r="AB273" s="140">
        <f t="shared" si="99"/>
        <v>0.5</v>
      </c>
      <c r="AC273" s="140">
        <f t="shared" si="99"/>
        <v>0</v>
      </c>
      <c r="AD273" s="140">
        <f t="shared" si="99"/>
        <v>1</v>
      </c>
      <c r="AE273" s="140">
        <f t="shared" si="99"/>
        <v>0</v>
      </c>
      <c r="AF273" s="140">
        <f t="shared" si="99"/>
        <v>0</v>
      </c>
      <c r="AG273" s="140">
        <f t="shared" si="99"/>
        <v>0</v>
      </c>
      <c r="AH273" s="140">
        <f t="shared" si="99"/>
        <v>0</v>
      </c>
      <c r="AI273" s="140">
        <f t="shared" si="99"/>
        <v>0</v>
      </c>
      <c r="AJ273" s="140">
        <f t="shared" si="99"/>
        <v>0</v>
      </c>
      <c r="AK273" s="140">
        <f t="shared" si="99"/>
        <v>0</v>
      </c>
      <c r="AL273" s="140">
        <f t="shared" si="99"/>
        <v>0</v>
      </c>
      <c r="AM273" s="140">
        <f t="shared" si="99"/>
        <v>0</v>
      </c>
      <c r="AN273" s="140">
        <f t="shared" si="99"/>
        <v>0</v>
      </c>
      <c r="AO273" s="140">
        <f t="shared" si="99"/>
        <v>0</v>
      </c>
      <c r="AP273" s="140">
        <f t="shared" si="99"/>
        <v>0</v>
      </c>
      <c r="AQ273" s="140">
        <f t="shared" si="99"/>
        <v>0</v>
      </c>
      <c r="AR273" s="140">
        <f t="shared" si="99"/>
        <v>0</v>
      </c>
      <c r="AS273" s="140">
        <f t="shared" si="99"/>
        <v>1</v>
      </c>
      <c r="AT273" s="140">
        <f t="shared" si="99"/>
        <v>1</v>
      </c>
      <c r="AU273" s="140">
        <f t="shared" si="99"/>
        <v>0</v>
      </c>
      <c r="AV273" s="140">
        <f t="shared" si="99"/>
        <v>0</v>
      </c>
      <c r="AW273" s="140">
        <f t="shared" si="99"/>
        <v>0</v>
      </c>
      <c r="AX273" s="140">
        <f t="shared" si="99"/>
        <v>0</v>
      </c>
      <c r="AY273" s="140">
        <f t="shared" si="100"/>
        <v>3.5</v>
      </c>
      <c r="AZ273" s="22" t="s">
        <v>162</v>
      </c>
    </row>
    <row r="274" spans="1:52">
      <c r="A274" s="140" t="s">
        <v>172</v>
      </c>
      <c r="B274" s="140">
        <f t="shared" si="98"/>
        <v>1</v>
      </c>
      <c r="C274" s="140">
        <f t="shared" si="98"/>
        <v>0</v>
      </c>
      <c r="D274" s="140">
        <f t="shared" si="98"/>
        <v>1</v>
      </c>
      <c r="E274" s="140">
        <f t="shared" si="98"/>
        <v>0</v>
      </c>
      <c r="F274" s="140">
        <f t="shared" si="98"/>
        <v>0</v>
      </c>
      <c r="G274" s="140">
        <f t="shared" si="98"/>
        <v>0</v>
      </c>
      <c r="H274" s="140">
        <f t="shared" si="98"/>
        <v>0</v>
      </c>
      <c r="I274" s="140">
        <f t="shared" si="98"/>
        <v>0</v>
      </c>
      <c r="J274" s="140">
        <f t="shared" si="98"/>
        <v>0</v>
      </c>
      <c r="K274" s="140">
        <f t="shared" si="98"/>
        <v>0</v>
      </c>
      <c r="L274" s="140">
        <f t="shared" si="98"/>
        <v>0</v>
      </c>
      <c r="M274" s="140">
        <f t="shared" si="98"/>
        <v>0</v>
      </c>
      <c r="N274" s="140">
        <f t="shared" si="98"/>
        <v>0</v>
      </c>
      <c r="O274" s="140">
        <f t="shared" si="98"/>
        <v>0</v>
      </c>
      <c r="P274" s="140">
        <f t="shared" si="98"/>
        <v>0</v>
      </c>
      <c r="Q274" s="140">
        <f t="shared" si="98"/>
        <v>0</v>
      </c>
      <c r="R274" s="140">
        <f t="shared" si="98"/>
        <v>0</v>
      </c>
      <c r="S274" s="140">
        <f t="shared" si="98"/>
        <v>0</v>
      </c>
      <c r="T274" s="140">
        <f t="shared" si="98"/>
        <v>0</v>
      </c>
      <c r="U274" s="140">
        <f t="shared" si="98"/>
        <v>1</v>
      </c>
      <c r="V274" s="140">
        <f t="shared" si="98"/>
        <v>0</v>
      </c>
      <c r="W274" s="140">
        <f t="shared" si="98"/>
        <v>0</v>
      </c>
      <c r="X274" s="140">
        <f t="shared" si="98"/>
        <v>0</v>
      </c>
      <c r="Y274" s="140">
        <f t="shared" si="98"/>
        <v>0</v>
      </c>
      <c r="AA274" s="140">
        <f t="shared" si="99"/>
        <v>0.5</v>
      </c>
      <c r="AB274" s="140">
        <f t="shared" si="99"/>
        <v>0</v>
      </c>
      <c r="AC274" s="140">
        <f t="shared" si="99"/>
        <v>1</v>
      </c>
      <c r="AD274" s="140">
        <f t="shared" si="99"/>
        <v>0</v>
      </c>
      <c r="AE274" s="140">
        <f t="shared" si="99"/>
        <v>0</v>
      </c>
      <c r="AF274" s="140">
        <f t="shared" si="99"/>
        <v>0</v>
      </c>
      <c r="AG274" s="140">
        <f t="shared" si="99"/>
        <v>0</v>
      </c>
      <c r="AH274" s="140">
        <f t="shared" si="99"/>
        <v>0</v>
      </c>
      <c r="AI274" s="140">
        <f t="shared" si="99"/>
        <v>0</v>
      </c>
      <c r="AJ274" s="140">
        <f t="shared" si="99"/>
        <v>0</v>
      </c>
      <c r="AK274" s="140">
        <f t="shared" si="99"/>
        <v>0</v>
      </c>
      <c r="AL274" s="140">
        <f t="shared" si="99"/>
        <v>0</v>
      </c>
      <c r="AM274" s="140">
        <f t="shared" si="99"/>
        <v>0</v>
      </c>
      <c r="AN274" s="140">
        <f t="shared" si="99"/>
        <v>0</v>
      </c>
      <c r="AO274" s="140">
        <f t="shared" si="99"/>
        <v>0</v>
      </c>
      <c r="AP274" s="140">
        <f t="shared" si="99"/>
        <v>0</v>
      </c>
      <c r="AQ274" s="140">
        <f t="shared" si="99"/>
        <v>0</v>
      </c>
      <c r="AR274" s="140">
        <f t="shared" si="99"/>
        <v>0</v>
      </c>
      <c r="AS274" s="140">
        <f t="shared" si="99"/>
        <v>0</v>
      </c>
      <c r="AT274" s="140">
        <f t="shared" si="99"/>
        <v>1</v>
      </c>
      <c r="AU274" s="140">
        <f t="shared" si="99"/>
        <v>0</v>
      </c>
      <c r="AV274" s="140">
        <f t="shared" si="99"/>
        <v>0</v>
      </c>
      <c r="AW274" s="140">
        <f t="shared" si="99"/>
        <v>0</v>
      </c>
      <c r="AX274" s="140">
        <f t="shared" si="99"/>
        <v>0</v>
      </c>
      <c r="AY274" s="140">
        <f t="shared" si="100"/>
        <v>2.5</v>
      </c>
      <c r="AZ274" s="22" t="s">
        <v>162</v>
      </c>
    </row>
    <row r="275" spans="1:52">
      <c r="A275" s="140" t="s">
        <v>173</v>
      </c>
      <c r="B275" s="140">
        <f t="shared" si="98"/>
        <v>0</v>
      </c>
      <c r="C275" s="140">
        <f t="shared" si="98"/>
        <v>1</v>
      </c>
      <c r="D275" s="140">
        <f t="shared" si="98"/>
        <v>1</v>
      </c>
      <c r="E275" s="140">
        <f t="shared" si="98"/>
        <v>0</v>
      </c>
      <c r="F275" s="140">
        <f t="shared" si="98"/>
        <v>0</v>
      </c>
      <c r="G275" s="140">
        <f t="shared" si="98"/>
        <v>0</v>
      </c>
      <c r="H275" s="140">
        <f t="shared" si="98"/>
        <v>0</v>
      </c>
      <c r="I275" s="140">
        <f t="shared" si="98"/>
        <v>0</v>
      </c>
      <c r="J275" s="140">
        <f t="shared" si="98"/>
        <v>0</v>
      </c>
      <c r="K275" s="140">
        <f>IF(IFERROR(FIND($A$268,#REF!,1),0)=0,0,1)</f>
        <v>0</v>
      </c>
      <c r="L275" s="140">
        <f t="shared" si="98"/>
        <v>1</v>
      </c>
      <c r="M275" s="140">
        <f t="shared" si="98"/>
        <v>0</v>
      </c>
      <c r="N275" s="140">
        <f t="shared" si="98"/>
        <v>0</v>
      </c>
      <c r="O275" s="140">
        <f t="shared" si="98"/>
        <v>0</v>
      </c>
      <c r="P275" s="140">
        <f t="shared" si="98"/>
        <v>0</v>
      </c>
      <c r="Q275" s="140">
        <f t="shared" si="98"/>
        <v>0</v>
      </c>
      <c r="R275" s="140">
        <f t="shared" si="98"/>
        <v>0</v>
      </c>
      <c r="S275" s="140">
        <f t="shared" si="98"/>
        <v>0</v>
      </c>
      <c r="T275" s="140">
        <f t="shared" si="98"/>
        <v>0</v>
      </c>
      <c r="U275" s="140">
        <f t="shared" si="98"/>
        <v>1</v>
      </c>
      <c r="V275" s="140">
        <f t="shared" si="98"/>
        <v>0</v>
      </c>
      <c r="W275" s="140">
        <f t="shared" si="98"/>
        <v>0</v>
      </c>
      <c r="X275" s="140">
        <f t="shared" si="98"/>
        <v>0</v>
      </c>
      <c r="Y275" s="140">
        <f t="shared" si="98"/>
        <v>0</v>
      </c>
      <c r="AA275" s="140">
        <f t="shared" si="99"/>
        <v>0</v>
      </c>
      <c r="AB275" s="140">
        <f t="shared" si="99"/>
        <v>1</v>
      </c>
      <c r="AC275" s="140">
        <f t="shared" si="99"/>
        <v>1</v>
      </c>
      <c r="AD275" s="140">
        <f t="shared" si="99"/>
        <v>0</v>
      </c>
      <c r="AE275" s="140">
        <f t="shared" si="99"/>
        <v>0</v>
      </c>
      <c r="AF275" s="140">
        <f t="shared" si="99"/>
        <v>0</v>
      </c>
      <c r="AG275" s="140">
        <f t="shared" si="99"/>
        <v>0</v>
      </c>
      <c r="AH275" s="140">
        <f t="shared" si="99"/>
        <v>0</v>
      </c>
      <c r="AI275" s="140">
        <f t="shared" si="99"/>
        <v>0</v>
      </c>
      <c r="AJ275" s="140">
        <f t="shared" si="99"/>
        <v>0</v>
      </c>
      <c r="AK275" s="140">
        <f t="shared" si="99"/>
        <v>1</v>
      </c>
      <c r="AL275" s="140">
        <f t="shared" si="99"/>
        <v>0</v>
      </c>
      <c r="AM275" s="140">
        <f t="shared" si="99"/>
        <v>0</v>
      </c>
      <c r="AN275" s="140">
        <f t="shared" si="99"/>
        <v>0</v>
      </c>
      <c r="AO275" s="140">
        <f t="shared" si="99"/>
        <v>0</v>
      </c>
      <c r="AP275" s="140">
        <f t="shared" si="99"/>
        <v>0</v>
      </c>
      <c r="AQ275" s="140">
        <f t="shared" si="99"/>
        <v>0</v>
      </c>
      <c r="AR275" s="140">
        <f t="shared" si="99"/>
        <v>0</v>
      </c>
      <c r="AS275" s="140">
        <f t="shared" si="99"/>
        <v>0</v>
      </c>
      <c r="AT275" s="140">
        <f t="shared" si="99"/>
        <v>0.33333333333333331</v>
      </c>
      <c r="AU275" s="140">
        <f t="shared" si="99"/>
        <v>0</v>
      </c>
      <c r="AV275" s="140">
        <f t="shared" si="99"/>
        <v>0</v>
      </c>
      <c r="AW275" s="140">
        <f t="shared" si="99"/>
        <v>0</v>
      </c>
      <c r="AX275" s="140">
        <f t="shared" si="99"/>
        <v>0</v>
      </c>
      <c r="AY275" s="140">
        <f t="shared" si="100"/>
        <v>3.3333333333333335</v>
      </c>
      <c r="AZ275" s="22" t="s">
        <v>162</v>
      </c>
    </row>
    <row r="276" spans="1:52">
      <c r="A276" s="140" t="s">
        <v>174</v>
      </c>
      <c r="B276" s="140">
        <f t="shared" si="98"/>
        <v>0</v>
      </c>
      <c r="C276" s="140">
        <f t="shared" si="98"/>
        <v>0</v>
      </c>
      <c r="D276" s="140">
        <f t="shared" si="98"/>
        <v>0</v>
      </c>
      <c r="E276" s="140">
        <f t="shared" si="98"/>
        <v>0</v>
      </c>
      <c r="F276" s="140">
        <f t="shared" si="98"/>
        <v>0</v>
      </c>
      <c r="G276" s="140">
        <f t="shared" si="98"/>
        <v>0</v>
      </c>
      <c r="H276" s="140">
        <f t="shared" si="98"/>
        <v>0</v>
      </c>
      <c r="I276" s="140">
        <f t="shared" si="98"/>
        <v>0</v>
      </c>
      <c r="J276" s="140">
        <f t="shared" si="98"/>
        <v>0</v>
      </c>
      <c r="K276" s="140">
        <f t="shared" si="98"/>
        <v>1</v>
      </c>
      <c r="L276" s="140">
        <f t="shared" si="98"/>
        <v>1</v>
      </c>
      <c r="M276" s="140">
        <f t="shared" si="98"/>
        <v>0</v>
      </c>
      <c r="N276" s="140">
        <f t="shared" si="98"/>
        <v>0</v>
      </c>
      <c r="O276" s="140">
        <f t="shared" si="98"/>
        <v>1</v>
      </c>
      <c r="P276" s="140">
        <f t="shared" si="98"/>
        <v>0</v>
      </c>
      <c r="Q276" s="140">
        <f t="shared" si="98"/>
        <v>0</v>
      </c>
      <c r="R276" s="140">
        <f t="shared" si="98"/>
        <v>0</v>
      </c>
      <c r="S276" s="140">
        <f t="shared" si="98"/>
        <v>0</v>
      </c>
      <c r="T276" s="140">
        <f t="shared" si="98"/>
        <v>0</v>
      </c>
      <c r="U276" s="140">
        <f t="shared" si="98"/>
        <v>1</v>
      </c>
      <c r="V276" s="140">
        <f t="shared" si="98"/>
        <v>1</v>
      </c>
      <c r="W276" s="140">
        <f t="shared" si="98"/>
        <v>0</v>
      </c>
      <c r="X276" s="140">
        <f t="shared" si="98"/>
        <v>1</v>
      </c>
      <c r="Y276" s="140">
        <f t="shared" si="98"/>
        <v>1</v>
      </c>
      <c r="AA276" s="140">
        <f t="shared" si="99"/>
        <v>0</v>
      </c>
      <c r="AB276" s="140">
        <f t="shared" si="99"/>
        <v>0</v>
      </c>
      <c r="AC276" s="140">
        <f t="shared" si="99"/>
        <v>0</v>
      </c>
      <c r="AD276" s="140">
        <f t="shared" si="99"/>
        <v>0</v>
      </c>
      <c r="AE276" s="140">
        <f t="shared" si="99"/>
        <v>0</v>
      </c>
      <c r="AF276" s="140">
        <f t="shared" si="99"/>
        <v>0</v>
      </c>
      <c r="AG276" s="140">
        <f t="shared" si="99"/>
        <v>0</v>
      </c>
      <c r="AH276" s="140">
        <f t="shared" si="99"/>
        <v>0</v>
      </c>
      <c r="AI276" s="140">
        <f t="shared" si="99"/>
        <v>0</v>
      </c>
      <c r="AJ276" s="140">
        <f t="shared" si="99"/>
        <v>1</v>
      </c>
      <c r="AK276" s="140">
        <f t="shared" si="99"/>
        <v>1</v>
      </c>
      <c r="AL276" s="140">
        <f t="shared" si="99"/>
        <v>0</v>
      </c>
      <c r="AM276" s="140">
        <f t="shared" si="99"/>
        <v>0</v>
      </c>
      <c r="AN276" s="140">
        <f t="shared" si="99"/>
        <v>1</v>
      </c>
      <c r="AO276" s="140">
        <f t="shared" si="99"/>
        <v>0</v>
      </c>
      <c r="AP276" s="140">
        <f t="shared" si="99"/>
        <v>0</v>
      </c>
      <c r="AQ276" s="140">
        <f t="shared" si="99"/>
        <v>0</v>
      </c>
      <c r="AR276" s="140">
        <f t="shared" si="99"/>
        <v>0</v>
      </c>
      <c r="AS276" s="140">
        <f t="shared" si="99"/>
        <v>0</v>
      </c>
      <c r="AT276" s="140">
        <f t="shared" si="99"/>
        <v>0.5</v>
      </c>
      <c r="AU276" s="140">
        <f t="shared" si="99"/>
        <v>0.5</v>
      </c>
      <c r="AV276" s="140">
        <f t="shared" si="99"/>
        <v>0</v>
      </c>
      <c r="AW276" s="140">
        <f t="shared" si="99"/>
        <v>1</v>
      </c>
      <c r="AX276" s="140">
        <f t="shared" si="99"/>
        <v>1</v>
      </c>
      <c r="AY276" s="140">
        <f t="shared" si="100"/>
        <v>6</v>
      </c>
      <c r="AZ276" s="22" t="s">
        <v>162</v>
      </c>
    </row>
    <row r="277" spans="1:52">
      <c r="A277" s="140" t="s">
        <v>175</v>
      </c>
      <c r="B277" s="140">
        <f t="shared" si="98"/>
        <v>0</v>
      </c>
      <c r="C277" s="140">
        <f t="shared" si="98"/>
        <v>0</v>
      </c>
      <c r="D277" s="140">
        <f t="shared" si="98"/>
        <v>0</v>
      </c>
      <c r="E277" s="140">
        <f t="shared" si="98"/>
        <v>1</v>
      </c>
      <c r="F277" s="140">
        <f t="shared" si="98"/>
        <v>0</v>
      </c>
      <c r="G277" s="140">
        <f t="shared" si="98"/>
        <v>0</v>
      </c>
      <c r="H277" s="140">
        <f t="shared" si="98"/>
        <v>1</v>
      </c>
      <c r="I277" s="140">
        <f t="shared" si="98"/>
        <v>0</v>
      </c>
      <c r="J277" s="140">
        <f>IF(IFERROR(FIND($A$268,K11,1),0)=0,0,1)</f>
        <v>1</v>
      </c>
      <c r="K277" s="140">
        <f t="shared" si="98"/>
        <v>1</v>
      </c>
      <c r="L277" s="140">
        <f t="shared" si="98"/>
        <v>1</v>
      </c>
      <c r="M277" s="140">
        <f t="shared" si="98"/>
        <v>0</v>
      </c>
      <c r="N277" s="140">
        <f t="shared" si="98"/>
        <v>1</v>
      </c>
      <c r="O277" s="140">
        <f t="shared" si="98"/>
        <v>1</v>
      </c>
      <c r="P277" s="140">
        <f t="shared" si="98"/>
        <v>0</v>
      </c>
      <c r="Q277" s="140">
        <f t="shared" si="98"/>
        <v>1</v>
      </c>
      <c r="R277" s="140">
        <f t="shared" si="98"/>
        <v>0</v>
      </c>
      <c r="S277" s="140">
        <f t="shared" si="98"/>
        <v>0</v>
      </c>
      <c r="T277" s="140">
        <f t="shared" si="98"/>
        <v>0</v>
      </c>
      <c r="U277" s="140">
        <f t="shared" si="98"/>
        <v>0</v>
      </c>
      <c r="V277" s="140">
        <f t="shared" si="98"/>
        <v>0</v>
      </c>
      <c r="W277" s="140">
        <f t="shared" si="98"/>
        <v>0</v>
      </c>
      <c r="X277" s="140">
        <f t="shared" si="98"/>
        <v>0</v>
      </c>
      <c r="Y277" s="140">
        <f t="shared" si="98"/>
        <v>1</v>
      </c>
      <c r="AA277" s="140">
        <f t="shared" si="99"/>
        <v>0</v>
      </c>
      <c r="AB277" s="140">
        <f t="shared" si="99"/>
        <v>0</v>
      </c>
      <c r="AC277" s="140">
        <f t="shared" si="99"/>
        <v>0</v>
      </c>
      <c r="AD277" s="140">
        <f t="shared" si="99"/>
        <v>1</v>
      </c>
      <c r="AE277" s="140">
        <f t="shared" si="99"/>
        <v>0</v>
      </c>
      <c r="AF277" s="140">
        <f t="shared" si="99"/>
        <v>0</v>
      </c>
      <c r="AG277" s="140">
        <f t="shared" si="99"/>
        <v>1</v>
      </c>
      <c r="AH277" s="140">
        <f t="shared" si="99"/>
        <v>0</v>
      </c>
      <c r="AI277" s="140">
        <f t="shared" si="99"/>
        <v>0.5</v>
      </c>
      <c r="AJ277" s="140">
        <f t="shared" si="99"/>
        <v>1</v>
      </c>
      <c r="AK277" s="140">
        <f t="shared" si="99"/>
        <v>1</v>
      </c>
      <c r="AL277" s="140">
        <f t="shared" si="99"/>
        <v>0</v>
      </c>
      <c r="AM277" s="140">
        <f t="shared" si="99"/>
        <v>1</v>
      </c>
      <c r="AN277" s="140">
        <f t="shared" si="99"/>
        <v>1</v>
      </c>
      <c r="AO277" s="140">
        <f t="shared" si="99"/>
        <v>0</v>
      </c>
      <c r="AP277" s="140">
        <f t="shared" si="99"/>
        <v>1</v>
      </c>
      <c r="AQ277" s="140">
        <f t="shared" si="99"/>
        <v>0</v>
      </c>
      <c r="AR277" s="140">
        <f t="shared" si="99"/>
        <v>0</v>
      </c>
      <c r="AS277" s="140">
        <f t="shared" si="99"/>
        <v>0</v>
      </c>
      <c r="AT277" s="140">
        <f t="shared" si="99"/>
        <v>0</v>
      </c>
      <c r="AU277" s="140">
        <f t="shared" si="99"/>
        <v>0</v>
      </c>
      <c r="AV277" s="140">
        <f t="shared" si="99"/>
        <v>0</v>
      </c>
      <c r="AW277" s="140">
        <f t="shared" si="99"/>
        <v>0</v>
      </c>
      <c r="AX277" s="140">
        <f t="shared" si="99"/>
        <v>1</v>
      </c>
      <c r="AY277" s="140">
        <f t="shared" si="100"/>
        <v>8.5</v>
      </c>
      <c r="AZ277" s="22" t="s">
        <v>162</v>
      </c>
    </row>
    <row r="278" spans="1:52">
      <c r="A278" s="140" t="s">
        <v>176</v>
      </c>
      <c r="B278" s="140">
        <f t="shared" si="98"/>
        <v>1</v>
      </c>
      <c r="C278" s="140">
        <f t="shared" si="98"/>
        <v>0</v>
      </c>
      <c r="D278" s="140">
        <f t="shared" si="98"/>
        <v>0</v>
      </c>
      <c r="E278" s="140">
        <f t="shared" si="98"/>
        <v>0</v>
      </c>
      <c r="F278" s="140">
        <f t="shared" si="98"/>
        <v>1</v>
      </c>
      <c r="G278" s="140">
        <f t="shared" si="98"/>
        <v>0</v>
      </c>
      <c r="H278" s="140">
        <f t="shared" si="98"/>
        <v>1</v>
      </c>
      <c r="I278" s="140">
        <f t="shared" si="98"/>
        <v>0</v>
      </c>
      <c r="J278" s="140">
        <f t="shared" si="98"/>
        <v>0</v>
      </c>
      <c r="K278" s="140">
        <f t="shared" si="98"/>
        <v>0</v>
      </c>
      <c r="L278" s="140">
        <f t="shared" si="98"/>
        <v>1</v>
      </c>
      <c r="M278" s="140">
        <f t="shared" si="98"/>
        <v>0</v>
      </c>
      <c r="N278" s="140">
        <f t="shared" si="98"/>
        <v>0</v>
      </c>
      <c r="O278" s="140">
        <f t="shared" si="98"/>
        <v>0</v>
      </c>
      <c r="P278" s="140">
        <f t="shared" si="98"/>
        <v>0</v>
      </c>
      <c r="Q278" s="140">
        <f t="shared" si="98"/>
        <v>1</v>
      </c>
      <c r="R278" s="140">
        <f t="shared" si="98"/>
        <v>0</v>
      </c>
      <c r="S278" s="140">
        <f t="shared" si="98"/>
        <v>0</v>
      </c>
      <c r="T278" s="140">
        <f t="shared" si="98"/>
        <v>0</v>
      </c>
      <c r="U278" s="140">
        <f t="shared" si="98"/>
        <v>0</v>
      </c>
      <c r="V278" s="140">
        <f t="shared" si="98"/>
        <v>0</v>
      </c>
      <c r="W278" s="140">
        <f t="shared" si="98"/>
        <v>1</v>
      </c>
      <c r="X278" s="140">
        <f t="shared" si="98"/>
        <v>0</v>
      </c>
      <c r="Y278" s="140">
        <f t="shared" si="98"/>
        <v>0</v>
      </c>
      <c r="AA278" s="140">
        <f t="shared" si="99"/>
        <v>1</v>
      </c>
      <c r="AB278" s="140">
        <f t="shared" si="99"/>
        <v>0</v>
      </c>
      <c r="AC278" s="140">
        <f t="shared" si="99"/>
        <v>0</v>
      </c>
      <c r="AD278" s="140">
        <f t="shared" si="99"/>
        <v>0</v>
      </c>
      <c r="AE278" s="140">
        <f t="shared" si="99"/>
        <v>1</v>
      </c>
      <c r="AF278" s="140">
        <f t="shared" si="99"/>
        <v>0</v>
      </c>
      <c r="AG278" s="140">
        <f t="shared" si="99"/>
        <v>1</v>
      </c>
      <c r="AH278" s="140">
        <f t="shared" si="99"/>
        <v>0</v>
      </c>
      <c r="AI278" s="140">
        <f t="shared" si="99"/>
        <v>0</v>
      </c>
      <c r="AJ278" s="140">
        <f t="shared" si="99"/>
        <v>0</v>
      </c>
      <c r="AK278" s="140">
        <f t="shared" si="99"/>
        <v>1</v>
      </c>
      <c r="AL278" s="140">
        <f t="shared" si="99"/>
        <v>0</v>
      </c>
      <c r="AM278" s="140">
        <f t="shared" si="99"/>
        <v>0</v>
      </c>
      <c r="AN278" s="140">
        <f t="shared" si="99"/>
        <v>0</v>
      </c>
      <c r="AO278" s="140">
        <f t="shared" si="99"/>
        <v>0</v>
      </c>
      <c r="AP278" s="140">
        <f t="shared" si="99"/>
        <v>1</v>
      </c>
      <c r="AQ278" s="140">
        <f t="shared" si="99"/>
        <v>0</v>
      </c>
      <c r="AR278" s="140">
        <f t="shared" si="99"/>
        <v>0</v>
      </c>
      <c r="AS278" s="140">
        <f t="shared" si="99"/>
        <v>0</v>
      </c>
      <c r="AT278" s="140">
        <f t="shared" si="99"/>
        <v>0</v>
      </c>
      <c r="AU278" s="140">
        <f t="shared" si="99"/>
        <v>0</v>
      </c>
      <c r="AV278" s="140">
        <f t="shared" si="99"/>
        <v>1</v>
      </c>
      <c r="AW278" s="140">
        <f t="shared" si="99"/>
        <v>0</v>
      </c>
      <c r="AX278" s="140">
        <f t="shared" si="99"/>
        <v>0</v>
      </c>
      <c r="AY278" s="140">
        <f t="shared" si="100"/>
        <v>6</v>
      </c>
      <c r="AZ278" s="22" t="s">
        <v>162</v>
      </c>
    </row>
    <row r="279" spans="1:52">
      <c r="A279" s="140" t="s">
        <v>177</v>
      </c>
      <c r="B279" s="140">
        <f t="shared" si="98"/>
        <v>0</v>
      </c>
      <c r="C279" s="140">
        <f t="shared" si="98"/>
        <v>0</v>
      </c>
      <c r="D279" s="140">
        <f t="shared" si="98"/>
        <v>0</v>
      </c>
      <c r="E279" s="140">
        <f t="shared" si="98"/>
        <v>0</v>
      </c>
      <c r="F279" s="140">
        <f t="shared" si="98"/>
        <v>0</v>
      </c>
      <c r="G279" s="140">
        <f t="shared" si="98"/>
        <v>0</v>
      </c>
      <c r="H279" s="140">
        <f t="shared" si="98"/>
        <v>0</v>
      </c>
      <c r="I279" s="140">
        <f t="shared" si="98"/>
        <v>0</v>
      </c>
      <c r="J279" s="140">
        <f t="shared" si="98"/>
        <v>0</v>
      </c>
      <c r="K279" s="140">
        <f t="shared" si="98"/>
        <v>0</v>
      </c>
      <c r="L279" s="140">
        <f t="shared" si="98"/>
        <v>0</v>
      </c>
      <c r="M279" s="140">
        <f t="shared" si="98"/>
        <v>0</v>
      </c>
      <c r="N279" s="140">
        <f t="shared" si="98"/>
        <v>0</v>
      </c>
      <c r="O279" s="140">
        <f t="shared" si="98"/>
        <v>0</v>
      </c>
      <c r="P279" s="140">
        <f t="shared" si="98"/>
        <v>0</v>
      </c>
      <c r="Q279" s="140">
        <f t="shared" ref="Q279:Y279" si="101">IF(IFERROR(FIND($A$268,Q15,1),0)=0,0,1)</f>
        <v>0</v>
      </c>
      <c r="R279" s="140">
        <f t="shared" si="101"/>
        <v>0</v>
      </c>
      <c r="S279" s="140">
        <f t="shared" si="101"/>
        <v>0</v>
      </c>
      <c r="T279" s="140">
        <f t="shared" si="101"/>
        <v>0</v>
      </c>
      <c r="U279" s="140">
        <f t="shared" si="101"/>
        <v>0</v>
      </c>
      <c r="V279" s="140">
        <f t="shared" si="101"/>
        <v>0</v>
      </c>
      <c r="W279" s="140">
        <f t="shared" si="101"/>
        <v>0</v>
      </c>
      <c r="X279" s="140">
        <f t="shared" si="101"/>
        <v>0</v>
      </c>
      <c r="Y279" s="140">
        <f t="shared" si="101"/>
        <v>0</v>
      </c>
      <c r="AA279" s="140">
        <f t="shared" si="99"/>
        <v>0</v>
      </c>
      <c r="AB279" s="140">
        <f t="shared" si="99"/>
        <v>0</v>
      </c>
      <c r="AC279" s="140">
        <f t="shared" si="99"/>
        <v>0</v>
      </c>
      <c r="AD279" s="140">
        <f t="shared" si="99"/>
        <v>0</v>
      </c>
      <c r="AE279" s="140">
        <f t="shared" si="99"/>
        <v>0</v>
      </c>
      <c r="AF279" s="140">
        <f t="shared" si="99"/>
        <v>0</v>
      </c>
      <c r="AG279" s="140">
        <f t="shared" si="99"/>
        <v>0</v>
      </c>
      <c r="AH279" s="140">
        <f t="shared" si="99"/>
        <v>0</v>
      </c>
      <c r="AI279" s="140">
        <f t="shared" si="99"/>
        <v>0</v>
      </c>
      <c r="AJ279" s="140">
        <f t="shared" si="99"/>
        <v>0</v>
      </c>
      <c r="AK279" s="140">
        <f t="shared" si="99"/>
        <v>0</v>
      </c>
      <c r="AL279" s="140">
        <f t="shared" si="99"/>
        <v>0</v>
      </c>
      <c r="AM279" s="140">
        <f t="shared" si="99"/>
        <v>0</v>
      </c>
      <c r="AN279" s="140">
        <f t="shared" si="99"/>
        <v>0</v>
      </c>
      <c r="AO279" s="140">
        <f t="shared" si="99"/>
        <v>0</v>
      </c>
      <c r="AP279" s="140">
        <f t="shared" ref="AP279:AX294" si="102">IF(Q279=0,0,Q279/AP15)</f>
        <v>0</v>
      </c>
      <c r="AQ279" s="140">
        <f t="shared" si="102"/>
        <v>0</v>
      </c>
      <c r="AR279" s="140">
        <f t="shared" si="102"/>
        <v>0</v>
      </c>
      <c r="AS279" s="140">
        <f t="shared" si="102"/>
        <v>0</v>
      </c>
      <c r="AT279" s="140">
        <f t="shared" si="102"/>
        <v>0</v>
      </c>
      <c r="AU279" s="140">
        <f t="shared" si="102"/>
        <v>0</v>
      </c>
      <c r="AV279" s="140">
        <f t="shared" si="102"/>
        <v>0</v>
      </c>
      <c r="AW279" s="140">
        <f t="shared" si="102"/>
        <v>0</v>
      </c>
      <c r="AX279" s="140">
        <f t="shared" si="102"/>
        <v>0</v>
      </c>
      <c r="AY279" s="140">
        <f t="shared" si="100"/>
        <v>0</v>
      </c>
      <c r="AZ279" s="22" t="s">
        <v>162</v>
      </c>
    </row>
    <row r="280" spans="1:52">
      <c r="A280" s="140" t="s">
        <v>178</v>
      </c>
      <c r="B280" s="140">
        <f t="shared" ref="B280:Y290" si="103">IF(IFERROR(FIND($A$268,B16,1),0)=0,0,1)</f>
        <v>0</v>
      </c>
      <c r="C280" s="140">
        <f t="shared" si="103"/>
        <v>0</v>
      </c>
      <c r="D280" s="140">
        <f t="shared" si="103"/>
        <v>0</v>
      </c>
      <c r="E280" s="140">
        <f t="shared" si="103"/>
        <v>0</v>
      </c>
      <c r="F280" s="140">
        <f t="shared" si="103"/>
        <v>0</v>
      </c>
      <c r="G280" s="140">
        <f t="shared" si="103"/>
        <v>0</v>
      </c>
      <c r="H280" s="140">
        <f t="shared" si="103"/>
        <v>0</v>
      </c>
      <c r="I280" s="140">
        <f t="shared" si="103"/>
        <v>0</v>
      </c>
      <c r="J280" s="140">
        <f t="shared" si="103"/>
        <v>0</v>
      </c>
      <c r="K280" s="140">
        <f t="shared" si="103"/>
        <v>1</v>
      </c>
      <c r="L280" s="140">
        <f t="shared" si="103"/>
        <v>0</v>
      </c>
      <c r="M280" s="140">
        <f t="shared" si="103"/>
        <v>0</v>
      </c>
      <c r="N280" s="140">
        <f t="shared" si="103"/>
        <v>0</v>
      </c>
      <c r="O280" s="140">
        <f t="shared" si="103"/>
        <v>0</v>
      </c>
      <c r="P280" s="140">
        <f t="shared" si="103"/>
        <v>0</v>
      </c>
      <c r="Q280" s="140">
        <f t="shared" si="103"/>
        <v>0</v>
      </c>
      <c r="R280" s="140">
        <f t="shared" si="103"/>
        <v>1</v>
      </c>
      <c r="S280" s="140">
        <f t="shared" si="103"/>
        <v>0</v>
      </c>
      <c r="T280" s="140">
        <f t="shared" si="103"/>
        <v>0</v>
      </c>
      <c r="U280" s="140">
        <f t="shared" si="103"/>
        <v>0</v>
      </c>
      <c r="V280" s="140">
        <f t="shared" si="103"/>
        <v>0</v>
      </c>
      <c r="W280" s="140">
        <f t="shared" si="103"/>
        <v>0</v>
      </c>
      <c r="X280" s="140">
        <f t="shared" si="103"/>
        <v>0</v>
      </c>
      <c r="Y280" s="140">
        <f t="shared" si="103"/>
        <v>1</v>
      </c>
      <c r="AA280" s="140">
        <f t="shared" ref="AA280:AP295" si="104">IF(B280=0,0,B280/AA16)</f>
        <v>0</v>
      </c>
      <c r="AB280" s="140">
        <f t="shared" si="104"/>
        <v>0</v>
      </c>
      <c r="AC280" s="140">
        <f t="shared" si="104"/>
        <v>0</v>
      </c>
      <c r="AD280" s="140">
        <f t="shared" si="104"/>
        <v>0</v>
      </c>
      <c r="AE280" s="140">
        <f t="shared" si="104"/>
        <v>0</v>
      </c>
      <c r="AF280" s="140">
        <f t="shared" si="104"/>
        <v>0</v>
      </c>
      <c r="AG280" s="140">
        <f t="shared" si="104"/>
        <v>0</v>
      </c>
      <c r="AH280" s="140">
        <f t="shared" si="104"/>
        <v>0</v>
      </c>
      <c r="AI280" s="140">
        <f t="shared" si="104"/>
        <v>0</v>
      </c>
      <c r="AJ280" s="140">
        <f t="shared" si="104"/>
        <v>1</v>
      </c>
      <c r="AK280" s="140">
        <f t="shared" si="104"/>
        <v>0</v>
      </c>
      <c r="AL280" s="140">
        <f t="shared" si="104"/>
        <v>0</v>
      </c>
      <c r="AM280" s="140">
        <f t="shared" si="104"/>
        <v>0</v>
      </c>
      <c r="AN280" s="140">
        <f t="shared" si="104"/>
        <v>0</v>
      </c>
      <c r="AO280" s="140">
        <f t="shared" si="104"/>
        <v>0</v>
      </c>
      <c r="AP280" s="140">
        <f t="shared" si="102"/>
        <v>0</v>
      </c>
      <c r="AQ280" s="140">
        <f t="shared" si="102"/>
        <v>1</v>
      </c>
      <c r="AR280" s="140">
        <f t="shared" si="102"/>
        <v>0</v>
      </c>
      <c r="AS280" s="140">
        <f t="shared" si="102"/>
        <v>0</v>
      </c>
      <c r="AT280" s="140">
        <f t="shared" si="102"/>
        <v>0</v>
      </c>
      <c r="AU280" s="140">
        <f t="shared" si="102"/>
        <v>0</v>
      </c>
      <c r="AV280" s="140">
        <f t="shared" si="102"/>
        <v>0</v>
      </c>
      <c r="AW280" s="140">
        <f t="shared" si="102"/>
        <v>0</v>
      </c>
      <c r="AX280" s="140">
        <f t="shared" si="102"/>
        <v>1</v>
      </c>
      <c r="AY280" s="140">
        <f t="shared" si="100"/>
        <v>3</v>
      </c>
      <c r="AZ280" s="22" t="s">
        <v>162</v>
      </c>
    </row>
    <row r="281" spans="1:52">
      <c r="A281" s="140" t="s">
        <v>179</v>
      </c>
      <c r="B281" s="140">
        <f t="shared" si="103"/>
        <v>1</v>
      </c>
      <c r="C281" s="140">
        <f t="shared" si="103"/>
        <v>0</v>
      </c>
      <c r="D281" s="140">
        <f t="shared" si="103"/>
        <v>0</v>
      </c>
      <c r="E281" s="140">
        <f t="shared" si="103"/>
        <v>0</v>
      </c>
      <c r="F281" s="140">
        <f t="shared" si="103"/>
        <v>0</v>
      </c>
      <c r="G281" s="140">
        <f t="shared" si="103"/>
        <v>0</v>
      </c>
      <c r="H281" s="140">
        <f t="shared" si="103"/>
        <v>0</v>
      </c>
      <c r="I281" s="140">
        <f t="shared" si="103"/>
        <v>0</v>
      </c>
      <c r="J281" s="140">
        <f t="shared" si="103"/>
        <v>0</v>
      </c>
      <c r="K281" s="140">
        <f t="shared" si="103"/>
        <v>0</v>
      </c>
      <c r="L281" s="140">
        <f t="shared" si="103"/>
        <v>0</v>
      </c>
      <c r="M281" s="140">
        <f t="shared" si="103"/>
        <v>0</v>
      </c>
      <c r="N281" s="140">
        <f t="shared" si="103"/>
        <v>0</v>
      </c>
      <c r="O281" s="140">
        <f t="shared" si="103"/>
        <v>0</v>
      </c>
      <c r="P281" s="140">
        <f t="shared" si="103"/>
        <v>0</v>
      </c>
      <c r="Q281" s="140">
        <f t="shared" si="103"/>
        <v>0</v>
      </c>
      <c r="R281" s="140">
        <f t="shared" si="103"/>
        <v>0</v>
      </c>
      <c r="S281" s="140">
        <f t="shared" si="103"/>
        <v>0</v>
      </c>
      <c r="T281" s="140">
        <f t="shared" si="103"/>
        <v>0</v>
      </c>
      <c r="U281" s="140">
        <f t="shared" si="103"/>
        <v>0</v>
      </c>
      <c r="V281" s="140">
        <f t="shared" si="103"/>
        <v>0</v>
      </c>
      <c r="W281" s="140">
        <f t="shared" si="103"/>
        <v>0</v>
      </c>
      <c r="X281" s="140">
        <f t="shared" si="103"/>
        <v>0</v>
      </c>
      <c r="Y281" s="140">
        <f t="shared" si="103"/>
        <v>0</v>
      </c>
      <c r="AA281" s="140">
        <f t="shared" si="104"/>
        <v>1</v>
      </c>
      <c r="AB281" s="140">
        <f t="shared" si="104"/>
        <v>0</v>
      </c>
      <c r="AC281" s="140">
        <f t="shared" si="104"/>
        <v>0</v>
      </c>
      <c r="AD281" s="140">
        <f t="shared" si="104"/>
        <v>0</v>
      </c>
      <c r="AE281" s="140">
        <f t="shared" si="104"/>
        <v>0</v>
      </c>
      <c r="AF281" s="140">
        <f t="shared" si="104"/>
        <v>0</v>
      </c>
      <c r="AG281" s="140">
        <f t="shared" si="104"/>
        <v>0</v>
      </c>
      <c r="AH281" s="140">
        <f t="shared" si="104"/>
        <v>0</v>
      </c>
      <c r="AI281" s="140">
        <f t="shared" si="104"/>
        <v>0</v>
      </c>
      <c r="AJ281" s="140">
        <f t="shared" si="104"/>
        <v>0</v>
      </c>
      <c r="AK281" s="140">
        <f t="shared" si="104"/>
        <v>0</v>
      </c>
      <c r="AL281" s="140">
        <f t="shared" si="104"/>
        <v>0</v>
      </c>
      <c r="AM281" s="140">
        <f t="shared" si="104"/>
        <v>0</v>
      </c>
      <c r="AN281" s="140">
        <f t="shared" si="104"/>
        <v>0</v>
      </c>
      <c r="AO281" s="140">
        <f t="shared" si="104"/>
        <v>0</v>
      </c>
      <c r="AP281" s="140">
        <f t="shared" si="102"/>
        <v>0</v>
      </c>
      <c r="AQ281" s="140">
        <f t="shared" si="102"/>
        <v>0</v>
      </c>
      <c r="AR281" s="140">
        <f t="shared" si="102"/>
        <v>0</v>
      </c>
      <c r="AS281" s="140">
        <f t="shared" si="102"/>
        <v>0</v>
      </c>
      <c r="AT281" s="140">
        <f t="shared" si="102"/>
        <v>0</v>
      </c>
      <c r="AU281" s="140">
        <f t="shared" si="102"/>
        <v>0</v>
      </c>
      <c r="AV281" s="140">
        <f t="shared" si="102"/>
        <v>0</v>
      </c>
      <c r="AW281" s="140">
        <f t="shared" si="102"/>
        <v>0</v>
      </c>
      <c r="AX281" s="140">
        <f t="shared" si="102"/>
        <v>0</v>
      </c>
      <c r="AY281" s="140">
        <f t="shared" si="100"/>
        <v>1</v>
      </c>
      <c r="AZ281" s="22" t="s">
        <v>162</v>
      </c>
    </row>
    <row r="282" spans="1:52">
      <c r="A282" s="140" t="s">
        <v>180</v>
      </c>
      <c r="B282" s="140">
        <f t="shared" si="103"/>
        <v>1</v>
      </c>
      <c r="C282" s="140">
        <f t="shared" si="103"/>
        <v>0</v>
      </c>
      <c r="D282" s="140">
        <f t="shared" si="103"/>
        <v>1</v>
      </c>
      <c r="E282" s="140">
        <f t="shared" si="103"/>
        <v>0</v>
      </c>
      <c r="F282" s="140">
        <f t="shared" si="103"/>
        <v>0</v>
      </c>
      <c r="G282" s="140">
        <f t="shared" si="103"/>
        <v>1</v>
      </c>
      <c r="H282" s="140">
        <f t="shared" si="103"/>
        <v>0</v>
      </c>
      <c r="I282" s="140">
        <f t="shared" si="103"/>
        <v>0</v>
      </c>
      <c r="J282" s="140">
        <f t="shared" si="103"/>
        <v>0</v>
      </c>
      <c r="K282" s="140">
        <f t="shared" si="103"/>
        <v>0</v>
      </c>
      <c r="L282" s="140">
        <f t="shared" si="103"/>
        <v>0</v>
      </c>
      <c r="M282" s="140">
        <f t="shared" si="103"/>
        <v>0</v>
      </c>
      <c r="N282" s="140">
        <f t="shared" si="103"/>
        <v>0</v>
      </c>
      <c r="O282" s="140">
        <f t="shared" si="103"/>
        <v>0</v>
      </c>
      <c r="P282" s="140">
        <f t="shared" si="103"/>
        <v>0</v>
      </c>
      <c r="Q282" s="140">
        <f t="shared" si="103"/>
        <v>0</v>
      </c>
      <c r="R282" s="140">
        <f t="shared" si="103"/>
        <v>0</v>
      </c>
      <c r="S282" s="140">
        <f t="shared" si="103"/>
        <v>0</v>
      </c>
      <c r="T282" s="140">
        <f t="shared" si="103"/>
        <v>0</v>
      </c>
      <c r="U282" s="140">
        <f t="shared" si="103"/>
        <v>0</v>
      </c>
      <c r="V282" s="140">
        <f t="shared" si="103"/>
        <v>0</v>
      </c>
      <c r="W282" s="140">
        <f t="shared" si="103"/>
        <v>0</v>
      </c>
      <c r="X282" s="140">
        <f t="shared" si="103"/>
        <v>0</v>
      </c>
      <c r="Y282" s="140">
        <f t="shared" si="103"/>
        <v>0</v>
      </c>
      <c r="AA282" s="140">
        <f t="shared" si="104"/>
        <v>1</v>
      </c>
      <c r="AB282" s="140">
        <f t="shared" si="104"/>
        <v>0</v>
      </c>
      <c r="AC282" s="140">
        <f t="shared" si="104"/>
        <v>1</v>
      </c>
      <c r="AD282" s="140">
        <f t="shared" si="104"/>
        <v>0</v>
      </c>
      <c r="AE282" s="140">
        <f t="shared" si="104"/>
        <v>0</v>
      </c>
      <c r="AF282" s="140">
        <f t="shared" si="104"/>
        <v>1</v>
      </c>
      <c r="AG282" s="140">
        <f t="shared" si="104"/>
        <v>0</v>
      </c>
      <c r="AH282" s="140">
        <f t="shared" si="104"/>
        <v>0</v>
      </c>
      <c r="AI282" s="140">
        <f t="shared" si="104"/>
        <v>0</v>
      </c>
      <c r="AJ282" s="140">
        <f t="shared" si="104"/>
        <v>0</v>
      </c>
      <c r="AK282" s="140">
        <f t="shared" si="104"/>
        <v>0</v>
      </c>
      <c r="AL282" s="140">
        <f t="shared" si="104"/>
        <v>0</v>
      </c>
      <c r="AM282" s="140">
        <f t="shared" si="104"/>
        <v>0</v>
      </c>
      <c r="AN282" s="140">
        <f t="shared" si="104"/>
        <v>0</v>
      </c>
      <c r="AO282" s="140">
        <f t="shared" si="104"/>
        <v>0</v>
      </c>
      <c r="AP282" s="140">
        <f t="shared" si="102"/>
        <v>0</v>
      </c>
      <c r="AQ282" s="140">
        <f t="shared" si="102"/>
        <v>0</v>
      </c>
      <c r="AR282" s="140">
        <f t="shared" si="102"/>
        <v>0</v>
      </c>
      <c r="AS282" s="140">
        <f t="shared" si="102"/>
        <v>0</v>
      </c>
      <c r="AT282" s="140">
        <f t="shared" si="102"/>
        <v>0</v>
      </c>
      <c r="AU282" s="140">
        <f t="shared" si="102"/>
        <v>0</v>
      </c>
      <c r="AV282" s="140">
        <f t="shared" si="102"/>
        <v>0</v>
      </c>
      <c r="AW282" s="140">
        <f t="shared" si="102"/>
        <v>0</v>
      </c>
      <c r="AX282" s="140">
        <f t="shared" si="102"/>
        <v>0</v>
      </c>
      <c r="AY282" s="140">
        <f t="shared" si="100"/>
        <v>3</v>
      </c>
      <c r="AZ282" s="22" t="s">
        <v>162</v>
      </c>
    </row>
    <row r="283" spans="1:52">
      <c r="A283" s="140" t="s">
        <v>181</v>
      </c>
      <c r="B283" s="140">
        <f t="shared" si="103"/>
        <v>0</v>
      </c>
      <c r="C283" s="140">
        <f t="shared" si="103"/>
        <v>0</v>
      </c>
      <c r="D283" s="140">
        <f t="shared" si="103"/>
        <v>0</v>
      </c>
      <c r="E283" s="140">
        <f t="shared" si="103"/>
        <v>0</v>
      </c>
      <c r="F283" s="140">
        <f t="shared" si="103"/>
        <v>0</v>
      </c>
      <c r="G283" s="140">
        <f t="shared" si="103"/>
        <v>1</v>
      </c>
      <c r="H283" s="140">
        <f t="shared" si="103"/>
        <v>1</v>
      </c>
      <c r="I283" s="140">
        <f t="shared" si="103"/>
        <v>0</v>
      </c>
      <c r="J283" s="140">
        <f t="shared" si="103"/>
        <v>0</v>
      </c>
      <c r="K283" s="140">
        <f t="shared" si="103"/>
        <v>0</v>
      </c>
      <c r="L283" s="140">
        <f t="shared" si="103"/>
        <v>1</v>
      </c>
      <c r="M283" s="140">
        <f t="shared" si="103"/>
        <v>0</v>
      </c>
      <c r="N283" s="140">
        <f t="shared" si="103"/>
        <v>0</v>
      </c>
      <c r="O283" s="140">
        <f t="shared" si="103"/>
        <v>0</v>
      </c>
      <c r="P283" s="140">
        <f t="shared" si="103"/>
        <v>0</v>
      </c>
      <c r="Q283" s="140">
        <f t="shared" si="103"/>
        <v>0</v>
      </c>
      <c r="R283" s="140">
        <f t="shared" si="103"/>
        <v>0</v>
      </c>
      <c r="S283" s="140">
        <f t="shared" si="103"/>
        <v>0</v>
      </c>
      <c r="T283" s="140">
        <f t="shared" si="103"/>
        <v>0</v>
      </c>
      <c r="U283" s="140">
        <f t="shared" si="103"/>
        <v>0</v>
      </c>
      <c r="V283" s="140">
        <f t="shared" si="103"/>
        <v>0</v>
      </c>
      <c r="W283" s="140">
        <f t="shared" si="103"/>
        <v>0</v>
      </c>
      <c r="X283" s="140">
        <f t="shared" si="103"/>
        <v>0</v>
      </c>
      <c r="Y283" s="140">
        <f t="shared" si="103"/>
        <v>0</v>
      </c>
      <c r="AA283" s="140">
        <f t="shared" si="104"/>
        <v>0</v>
      </c>
      <c r="AB283" s="140">
        <f t="shared" si="104"/>
        <v>0</v>
      </c>
      <c r="AC283" s="140">
        <f t="shared" si="104"/>
        <v>0</v>
      </c>
      <c r="AD283" s="140">
        <f t="shared" si="104"/>
        <v>0</v>
      </c>
      <c r="AE283" s="140">
        <f t="shared" si="104"/>
        <v>0</v>
      </c>
      <c r="AF283" s="140">
        <f t="shared" si="104"/>
        <v>1</v>
      </c>
      <c r="AG283" s="140">
        <f t="shared" si="104"/>
        <v>1</v>
      </c>
      <c r="AH283" s="140">
        <f t="shared" si="104"/>
        <v>0</v>
      </c>
      <c r="AI283" s="140">
        <f t="shared" si="104"/>
        <v>0</v>
      </c>
      <c r="AJ283" s="140">
        <f t="shared" si="104"/>
        <v>0</v>
      </c>
      <c r="AK283" s="140">
        <f t="shared" si="104"/>
        <v>1</v>
      </c>
      <c r="AL283" s="140">
        <f t="shared" si="104"/>
        <v>0</v>
      </c>
      <c r="AM283" s="140">
        <f t="shared" si="104"/>
        <v>0</v>
      </c>
      <c r="AN283" s="140">
        <f t="shared" si="104"/>
        <v>0</v>
      </c>
      <c r="AO283" s="140">
        <f t="shared" si="104"/>
        <v>0</v>
      </c>
      <c r="AP283" s="140">
        <f t="shared" si="102"/>
        <v>0</v>
      </c>
      <c r="AQ283" s="140">
        <f t="shared" si="102"/>
        <v>0</v>
      </c>
      <c r="AR283" s="140">
        <f t="shared" si="102"/>
        <v>0</v>
      </c>
      <c r="AS283" s="140">
        <f t="shared" si="102"/>
        <v>0</v>
      </c>
      <c r="AT283" s="140">
        <f t="shared" si="102"/>
        <v>0</v>
      </c>
      <c r="AU283" s="140">
        <f t="shared" si="102"/>
        <v>0</v>
      </c>
      <c r="AV283" s="140">
        <f t="shared" si="102"/>
        <v>0</v>
      </c>
      <c r="AW283" s="140">
        <f t="shared" si="102"/>
        <v>0</v>
      </c>
      <c r="AX283" s="140">
        <f t="shared" si="102"/>
        <v>0</v>
      </c>
      <c r="AY283" s="140">
        <f t="shared" si="100"/>
        <v>3</v>
      </c>
      <c r="AZ283" s="22" t="s">
        <v>162</v>
      </c>
    </row>
    <row r="284" spans="1:52">
      <c r="A284" s="140" t="s">
        <v>182</v>
      </c>
      <c r="B284" s="140">
        <f t="shared" si="103"/>
        <v>0</v>
      </c>
      <c r="C284" s="140">
        <f t="shared" si="103"/>
        <v>0</v>
      </c>
      <c r="D284" s="140">
        <f t="shared" si="103"/>
        <v>0</v>
      </c>
      <c r="E284" s="140">
        <f t="shared" si="103"/>
        <v>0</v>
      </c>
      <c r="F284" s="140">
        <f t="shared" si="103"/>
        <v>1</v>
      </c>
      <c r="G284" s="140">
        <f t="shared" si="103"/>
        <v>1</v>
      </c>
      <c r="H284" s="140">
        <f t="shared" si="103"/>
        <v>0</v>
      </c>
      <c r="I284" s="140">
        <f t="shared" si="103"/>
        <v>1</v>
      </c>
      <c r="J284" s="140">
        <f t="shared" si="103"/>
        <v>1</v>
      </c>
      <c r="K284" s="140">
        <f t="shared" si="103"/>
        <v>0</v>
      </c>
      <c r="L284" s="140">
        <f t="shared" si="103"/>
        <v>0</v>
      </c>
      <c r="M284" s="140">
        <f t="shared" si="103"/>
        <v>0</v>
      </c>
      <c r="N284" s="140">
        <f t="shared" si="103"/>
        <v>1</v>
      </c>
      <c r="O284" s="140">
        <f t="shared" si="103"/>
        <v>0</v>
      </c>
      <c r="P284" s="140">
        <f t="shared" si="103"/>
        <v>0</v>
      </c>
      <c r="Q284" s="140">
        <f t="shared" si="103"/>
        <v>0</v>
      </c>
      <c r="R284" s="140">
        <f t="shared" si="103"/>
        <v>0</v>
      </c>
      <c r="S284" s="140">
        <f t="shared" si="103"/>
        <v>0</v>
      </c>
      <c r="T284" s="140">
        <f t="shared" si="103"/>
        <v>0</v>
      </c>
      <c r="U284" s="140">
        <f t="shared" si="103"/>
        <v>0</v>
      </c>
      <c r="V284" s="140">
        <f t="shared" si="103"/>
        <v>0</v>
      </c>
      <c r="W284" s="140">
        <f t="shared" si="103"/>
        <v>0</v>
      </c>
      <c r="X284" s="140">
        <f t="shared" si="103"/>
        <v>0</v>
      </c>
      <c r="Y284" s="140">
        <f t="shared" si="103"/>
        <v>0</v>
      </c>
      <c r="AA284" s="140">
        <f t="shared" si="104"/>
        <v>0</v>
      </c>
      <c r="AB284" s="140">
        <f t="shared" si="104"/>
        <v>0</v>
      </c>
      <c r="AC284" s="140">
        <f t="shared" si="104"/>
        <v>0</v>
      </c>
      <c r="AD284" s="140">
        <f t="shared" si="104"/>
        <v>0</v>
      </c>
      <c r="AE284" s="140">
        <f t="shared" si="104"/>
        <v>1</v>
      </c>
      <c r="AF284" s="140">
        <f t="shared" si="104"/>
        <v>1</v>
      </c>
      <c r="AG284" s="140">
        <f t="shared" si="104"/>
        <v>0</v>
      </c>
      <c r="AH284" s="140">
        <f t="shared" si="104"/>
        <v>1</v>
      </c>
      <c r="AI284" s="140">
        <f t="shared" si="104"/>
        <v>1</v>
      </c>
      <c r="AJ284" s="140">
        <f t="shared" si="104"/>
        <v>0</v>
      </c>
      <c r="AK284" s="140">
        <f t="shared" si="104"/>
        <v>0</v>
      </c>
      <c r="AL284" s="140">
        <f t="shared" si="104"/>
        <v>0</v>
      </c>
      <c r="AM284" s="140">
        <f t="shared" si="104"/>
        <v>1</v>
      </c>
      <c r="AN284" s="140">
        <f t="shared" si="104"/>
        <v>0</v>
      </c>
      <c r="AO284" s="140">
        <f t="shared" si="104"/>
        <v>0</v>
      </c>
      <c r="AP284" s="140">
        <f t="shared" si="102"/>
        <v>0</v>
      </c>
      <c r="AQ284" s="140">
        <f t="shared" si="102"/>
        <v>0</v>
      </c>
      <c r="AR284" s="140">
        <f t="shared" si="102"/>
        <v>0</v>
      </c>
      <c r="AS284" s="140">
        <f t="shared" si="102"/>
        <v>0</v>
      </c>
      <c r="AT284" s="140">
        <f t="shared" si="102"/>
        <v>0</v>
      </c>
      <c r="AU284" s="140">
        <f t="shared" si="102"/>
        <v>0</v>
      </c>
      <c r="AV284" s="140">
        <f t="shared" si="102"/>
        <v>0</v>
      </c>
      <c r="AW284" s="140">
        <f t="shared" si="102"/>
        <v>0</v>
      </c>
      <c r="AX284" s="140">
        <f t="shared" si="102"/>
        <v>0</v>
      </c>
      <c r="AY284" s="140">
        <f t="shared" si="100"/>
        <v>5</v>
      </c>
      <c r="AZ284" s="22" t="s">
        <v>162</v>
      </c>
    </row>
    <row r="285" spans="1:52">
      <c r="A285" s="140" t="s">
        <v>183</v>
      </c>
      <c r="B285" s="140">
        <f t="shared" si="103"/>
        <v>0</v>
      </c>
      <c r="C285" s="140">
        <f t="shared" si="103"/>
        <v>0</v>
      </c>
      <c r="D285" s="140">
        <f t="shared" si="103"/>
        <v>1</v>
      </c>
      <c r="E285" s="140">
        <f t="shared" si="103"/>
        <v>0</v>
      </c>
      <c r="F285" s="140">
        <f t="shared" si="103"/>
        <v>1</v>
      </c>
      <c r="G285" s="140">
        <f t="shared" si="103"/>
        <v>1</v>
      </c>
      <c r="H285" s="140">
        <f t="shared" si="103"/>
        <v>0</v>
      </c>
      <c r="I285" s="140">
        <f t="shared" si="103"/>
        <v>0</v>
      </c>
      <c r="J285" s="140">
        <f t="shared" si="103"/>
        <v>0</v>
      </c>
      <c r="K285" s="140">
        <f t="shared" si="103"/>
        <v>0</v>
      </c>
      <c r="L285" s="140">
        <f t="shared" si="103"/>
        <v>0</v>
      </c>
      <c r="M285" s="140">
        <f t="shared" si="103"/>
        <v>0</v>
      </c>
      <c r="N285" s="140">
        <f t="shared" si="103"/>
        <v>0</v>
      </c>
      <c r="O285" s="140">
        <f t="shared" si="103"/>
        <v>0</v>
      </c>
      <c r="P285" s="140">
        <f t="shared" si="103"/>
        <v>0</v>
      </c>
      <c r="Q285" s="140">
        <f t="shared" si="103"/>
        <v>0</v>
      </c>
      <c r="R285" s="140">
        <f t="shared" si="103"/>
        <v>0</v>
      </c>
      <c r="S285" s="140">
        <f t="shared" si="103"/>
        <v>0</v>
      </c>
      <c r="T285" s="140">
        <f t="shared" si="103"/>
        <v>0</v>
      </c>
      <c r="U285" s="140">
        <f t="shared" si="103"/>
        <v>0</v>
      </c>
      <c r="V285" s="140">
        <f t="shared" si="103"/>
        <v>0</v>
      </c>
      <c r="W285" s="140">
        <f t="shared" si="103"/>
        <v>0</v>
      </c>
      <c r="X285" s="140">
        <f t="shared" si="103"/>
        <v>0</v>
      </c>
      <c r="Y285" s="140">
        <f t="shared" si="103"/>
        <v>0</v>
      </c>
      <c r="AA285" s="140">
        <f t="shared" si="104"/>
        <v>0</v>
      </c>
      <c r="AB285" s="140">
        <f t="shared" si="104"/>
        <v>0</v>
      </c>
      <c r="AC285" s="140">
        <f t="shared" si="104"/>
        <v>1</v>
      </c>
      <c r="AD285" s="140">
        <f t="shared" si="104"/>
        <v>0</v>
      </c>
      <c r="AE285" s="140">
        <f t="shared" si="104"/>
        <v>0.5</v>
      </c>
      <c r="AF285" s="140">
        <f t="shared" si="104"/>
        <v>1</v>
      </c>
      <c r="AG285" s="140">
        <f t="shared" si="104"/>
        <v>0</v>
      </c>
      <c r="AH285" s="140">
        <f t="shared" si="104"/>
        <v>0</v>
      </c>
      <c r="AI285" s="140">
        <f t="shared" si="104"/>
        <v>0</v>
      </c>
      <c r="AJ285" s="140">
        <f t="shared" si="104"/>
        <v>0</v>
      </c>
      <c r="AK285" s="140">
        <f t="shared" si="104"/>
        <v>0</v>
      </c>
      <c r="AL285" s="140">
        <f t="shared" si="104"/>
        <v>0</v>
      </c>
      <c r="AM285" s="140">
        <f t="shared" si="104"/>
        <v>0</v>
      </c>
      <c r="AN285" s="140">
        <f t="shared" si="104"/>
        <v>0</v>
      </c>
      <c r="AO285" s="140">
        <f t="shared" si="104"/>
        <v>0</v>
      </c>
      <c r="AP285" s="140">
        <f t="shared" si="102"/>
        <v>0</v>
      </c>
      <c r="AQ285" s="140">
        <f t="shared" si="102"/>
        <v>0</v>
      </c>
      <c r="AR285" s="140">
        <f t="shared" si="102"/>
        <v>0</v>
      </c>
      <c r="AS285" s="140">
        <f t="shared" si="102"/>
        <v>0</v>
      </c>
      <c r="AT285" s="140">
        <f t="shared" si="102"/>
        <v>0</v>
      </c>
      <c r="AU285" s="140">
        <f t="shared" si="102"/>
        <v>0</v>
      </c>
      <c r="AV285" s="140">
        <f t="shared" si="102"/>
        <v>0</v>
      </c>
      <c r="AW285" s="140">
        <f t="shared" si="102"/>
        <v>0</v>
      </c>
      <c r="AX285" s="140">
        <f t="shared" si="102"/>
        <v>0</v>
      </c>
      <c r="AY285" s="140">
        <f t="shared" si="100"/>
        <v>2.5</v>
      </c>
      <c r="AZ285" s="22" t="s">
        <v>162</v>
      </c>
    </row>
    <row r="286" spans="1:52">
      <c r="A286" s="140" t="s">
        <v>184</v>
      </c>
      <c r="B286" s="140">
        <f t="shared" si="103"/>
        <v>0</v>
      </c>
      <c r="C286" s="140">
        <f t="shared" si="103"/>
        <v>0</v>
      </c>
      <c r="D286" s="140">
        <f t="shared" si="103"/>
        <v>0</v>
      </c>
      <c r="E286" s="140">
        <f t="shared" si="103"/>
        <v>0</v>
      </c>
      <c r="F286" s="140">
        <f t="shared" si="103"/>
        <v>0</v>
      </c>
      <c r="G286" s="140">
        <f t="shared" si="103"/>
        <v>0</v>
      </c>
      <c r="H286" s="140">
        <f t="shared" si="103"/>
        <v>0</v>
      </c>
      <c r="I286" s="140">
        <f t="shared" si="103"/>
        <v>0</v>
      </c>
      <c r="J286" s="140">
        <f t="shared" si="103"/>
        <v>0</v>
      </c>
      <c r="K286" s="140">
        <f t="shared" si="103"/>
        <v>0</v>
      </c>
      <c r="L286" s="140">
        <f t="shared" si="103"/>
        <v>0</v>
      </c>
      <c r="M286" s="140">
        <f t="shared" si="103"/>
        <v>0</v>
      </c>
      <c r="N286" s="140">
        <f t="shared" si="103"/>
        <v>0</v>
      </c>
      <c r="O286" s="140">
        <f t="shared" si="103"/>
        <v>0</v>
      </c>
      <c r="P286" s="140">
        <f t="shared" si="103"/>
        <v>0</v>
      </c>
      <c r="Q286" s="140">
        <f t="shared" si="103"/>
        <v>0</v>
      </c>
      <c r="R286" s="140">
        <f t="shared" si="103"/>
        <v>0</v>
      </c>
      <c r="S286" s="140">
        <f t="shared" si="103"/>
        <v>0</v>
      </c>
      <c r="T286" s="140">
        <f t="shared" si="103"/>
        <v>0</v>
      </c>
      <c r="U286" s="140">
        <f t="shared" si="103"/>
        <v>0</v>
      </c>
      <c r="V286" s="140">
        <f t="shared" si="103"/>
        <v>0</v>
      </c>
      <c r="W286" s="140">
        <f t="shared" si="103"/>
        <v>0</v>
      </c>
      <c r="X286" s="140">
        <f t="shared" si="103"/>
        <v>0</v>
      </c>
      <c r="Y286" s="140">
        <f t="shared" si="103"/>
        <v>0</v>
      </c>
      <c r="AA286" s="140">
        <f t="shared" si="104"/>
        <v>0</v>
      </c>
      <c r="AB286" s="140">
        <f t="shared" si="104"/>
        <v>0</v>
      </c>
      <c r="AC286" s="140">
        <f t="shared" si="104"/>
        <v>0</v>
      </c>
      <c r="AD286" s="140">
        <f t="shared" si="104"/>
        <v>0</v>
      </c>
      <c r="AE286" s="140">
        <f t="shared" si="104"/>
        <v>0</v>
      </c>
      <c r="AF286" s="140">
        <f t="shared" si="104"/>
        <v>0</v>
      </c>
      <c r="AG286" s="140">
        <f t="shared" si="104"/>
        <v>0</v>
      </c>
      <c r="AH286" s="140">
        <f t="shared" si="104"/>
        <v>0</v>
      </c>
      <c r="AI286" s="140">
        <f t="shared" si="104"/>
        <v>0</v>
      </c>
      <c r="AJ286" s="140">
        <f t="shared" si="104"/>
        <v>0</v>
      </c>
      <c r="AK286" s="140">
        <f t="shared" si="104"/>
        <v>0</v>
      </c>
      <c r="AL286" s="140">
        <f t="shared" si="104"/>
        <v>0</v>
      </c>
      <c r="AM286" s="140">
        <f t="shared" si="104"/>
        <v>0</v>
      </c>
      <c r="AN286" s="140">
        <f t="shared" si="104"/>
        <v>0</v>
      </c>
      <c r="AO286" s="140">
        <f t="shared" si="104"/>
        <v>0</v>
      </c>
      <c r="AP286" s="140">
        <f t="shared" si="102"/>
        <v>0</v>
      </c>
      <c r="AQ286" s="140">
        <f t="shared" si="102"/>
        <v>0</v>
      </c>
      <c r="AR286" s="140">
        <f t="shared" si="102"/>
        <v>0</v>
      </c>
      <c r="AS286" s="140">
        <f t="shared" si="102"/>
        <v>0</v>
      </c>
      <c r="AT286" s="140">
        <f t="shared" si="102"/>
        <v>0</v>
      </c>
      <c r="AU286" s="140">
        <f t="shared" si="102"/>
        <v>0</v>
      </c>
      <c r="AV286" s="140">
        <f t="shared" si="102"/>
        <v>0</v>
      </c>
      <c r="AW286" s="140">
        <f t="shared" si="102"/>
        <v>0</v>
      </c>
      <c r="AX286" s="140">
        <f t="shared" si="102"/>
        <v>0</v>
      </c>
      <c r="AY286" s="140">
        <f t="shared" si="100"/>
        <v>0</v>
      </c>
      <c r="AZ286" s="22" t="s">
        <v>162</v>
      </c>
    </row>
    <row r="287" spans="1:52">
      <c r="A287" s="140" t="s">
        <v>185</v>
      </c>
      <c r="B287" s="140">
        <f t="shared" si="103"/>
        <v>0</v>
      </c>
      <c r="C287" s="140">
        <f t="shared" si="103"/>
        <v>0</v>
      </c>
      <c r="D287" s="140">
        <f t="shared" si="103"/>
        <v>0</v>
      </c>
      <c r="E287" s="140">
        <f t="shared" si="103"/>
        <v>0</v>
      </c>
      <c r="F287" s="140">
        <f t="shared" si="103"/>
        <v>1</v>
      </c>
      <c r="G287" s="140">
        <f t="shared" si="103"/>
        <v>0</v>
      </c>
      <c r="H287" s="140">
        <f t="shared" si="103"/>
        <v>0</v>
      </c>
      <c r="I287" s="140">
        <f t="shared" si="103"/>
        <v>0</v>
      </c>
      <c r="J287" s="140">
        <f t="shared" si="103"/>
        <v>0</v>
      </c>
      <c r="K287" s="140">
        <f t="shared" si="103"/>
        <v>0</v>
      </c>
      <c r="L287" s="140">
        <f t="shared" si="103"/>
        <v>0</v>
      </c>
      <c r="M287" s="140">
        <f t="shared" si="103"/>
        <v>0</v>
      </c>
      <c r="N287" s="140">
        <f t="shared" si="103"/>
        <v>0</v>
      </c>
      <c r="O287" s="140">
        <f t="shared" si="103"/>
        <v>0</v>
      </c>
      <c r="P287" s="140">
        <f t="shared" si="103"/>
        <v>0</v>
      </c>
      <c r="Q287" s="140">
        <f t="shared" si="103"/>
        <v>0</v>
      </c>
      <c r="R287" s="140">
        <f t="shared" si="103"/>
        <v>0</v>
      </c>
      <c r="S287" s="140">
        <f t="shared" si="103"/>
        <v>0</v>
      </c>
      <c r="T287" s="140">
        <f t="shared" si="103"/>
        <v>0</v>
      </c>
      <c r="U287" s="140">
        <f t="shared" si="103"/>
        <v>0</v>
      </c>
      <c r="V287" s="140">
        <f t="shared" si="103"/>
        <v>0</v>
      </c>
      <c r="W287" s="140">
        <f t="shared" si="103"/>
        <v>0</v>
      </c>
      <c r="X287" s="140">
        <f t="shared" si="103"/>
        <v>0</v>
      </c>
      <c r="Y287" s="140">
        <f t="shared" si="103"/>
        <v>0</v>
      </c>
      <c r="AA287" s="140">
        <f t="shared" si="104"/>
        <v>0</v>
      </c>
      <c r="AB287" s="140">
        <f t="shared" si="104"/>
        <v>0</v>
      </c>
      <c r="AC287" s="140">
        <f t="shared" si="104"/>
        <v>0</v>
      </c>
      <c r="AD287" s="140">
        <f t="shared" si="104"/>
        <v>0</v>
      </c>
      <c r="AE287" s="140">
        <f t="shared" si="104"/>
        <v>1</v>
      </c>
      <c r="AF287" s="140">
        <f t="shared" si="104"/>
        <v>0</v>
      </c>
      <c r="AG287" s="140">
        <f t="shared" si="104"/>
        <v>0</v>
      </c>
      <c r="AH287" s="140">
        <f t="shared" si="104"/>
        <v>0</v>
      </c>
      <c r="AI287" s="140">
        <f t="shared" si="104"/>
        <v>0</v>
      </c>
      <c r="AJ287" s="140">
        <f t="shared" si="104"/>
        <v>0</v>
      </c>
      <c r="AK287" s="140">
        <f t="shared" si="104"/>
        <v>0</v>
      </c>
      <c r="AL287" s="140">
        <f t="shared" si="104"/>
        <v>0</v>
      </c>
      <c r="AM287" s="140">
        <f t="shared" si="104"/>
        <v>0</v>
      </c>
      <c r="AN287" s="140">
        <f t="shared" si="104"/>
        <v>0</v>
      </c>
      <c r="AO287" s="140">
        <f t="shared" si="104"/>
        <v>0</v>
      </c>
      <c r="AP287" s="140">
        <f t="shared" si="102"/>
        <v>0</v>
      </c>
      <c r="AQ287" s="140">
        <f t="shared" si="102"/>
        <v>0</v>
      </c>
      <c r="AR287" s="140">
        <f t="shared" si="102"/>
        <v>0</v>
      </c>
      <c r="AS287" s="140">
        <f t="shared" si="102"/>
        <v>0</v>
      </c>
      <c r="AT287" s="140">
        <f t="shared" si="102"/>
        <v>0</v>
      </c>
      <c r="AU287" s="140">
        <f t="shared" si="102"/>
        <v>0</v>
      </c>
      <c r="AV287" s="140">
        <f t="shared" si="102"/>
        <v>0</v>
      </c>
      <c r="AW287" s="140">
        <f t="shared" si="102"/>
        <v>0</v>
      </c>
      <c r="AX287" s="140">
        <f t="shared" si="102"/>
        <v>0</v>
      </c>
      <c r="AY287" s="140">
        <f t="shared" si="100"/>
        <v>1</v>
      </c>
      <c r="AZ287" s="22" t="s">
        <v>162</v>
      </c>
    </row>
    <row r="288" spans="1:52">
      <c r="A288" s="140" t="s">
        <v>186</v>
      </c>
      <c r="B288" s="140">
        <f t="shared" si="103"/>
        <v>0</v>
      </c>
      <c r="C288" s="140">
        <f t="shared" si="103"/>
        <v>0</v>
      </c>
      <c r="D288" s="140">
        <f t="shared" si="103"/>
        <v>0</v>
      </c>
      <c r="E288" s="140">
        <f t="shared" si="103"/>
        <v>0</v>
      </c>
      <c r="F288" s="140">
        <f t="shared" si="103"/>
        <v>0</v>
      </c>
      <c r="G288" s="140">
        <f t="shared" si="103"/>
        <v>0</v>
      </c>
      <c r="H288" s="140">
        <f t="shared" si="103"/>
        <v>0</v>
      </c>
      <c r="I288" s="140">
        <f t="shared" si="103"/>
        <v>0</v>
      </c>
      <c r="J288" s="140">
        <f t="shared" si="103"/>
        <v>0</v>
      </c>
      <c r="K288" s="140">
        <f t="shared" si="103"/>
        <v>0</v>
      </c>
      <c r="L288" s="140">
        <f t="shared" si="103"/>
        <v>0</v>
      </c>
      <c r="M288" s="140">
        <f t="shared" si="103"/>
        <v>0</v>
      </c>
      <c r="N288" s="140">
        <f t="shared" si="103"/>
        <v>0</v>
      </c>
      <c r="O288" s="140">
        <f t="shared" si="103"/>
        <v>1</v>
      </c>
      <c r="P288" s="140">
        <f t="shared" si="103"/>
        <v>0</v>
      </c>
      <c r="Q288" s="140">
        <f t="shared" si="103"/>
        <v>0</v>
      </c>
      <c r="R288" s="140">
        <f t="shared" si="103"/>
        <v>0</v>
      </c>
      <c r="S288" s="140">
        <f t="shared" si="103"/>
        <v>0</v>
      </c>
      <c r="T288" s="140">
        <f t="shared" si="103"/>
        <v>0</v>
      </c>
      <c r="U288" s="140">
        <f t="shared" si="103"/>
        <v>0</v>
      </c>
      <c r="V288" s="140">
        <f t="shared" si="103"/>
        <v>0</v>
      </c>
      <c r="W288" s="140">
        <f t="shared" si="103"/>
        <v>0</v>
      </c>
      <c r="X288" s="140">
        <f t="shared" si="103"/>
        <v>0</v>
      </c>
      <c r="Y288" s="140">
        <f t="shared" si="103"/>
        <v>0</v>
      </c>
      <c r="AA288" s="140">
        <f t="shared" si="104"/>
        <v>0</v>
      </c>
      <c r="AB288" s="140">
        <f t="shared" si="104"/>
        <v>0</v>
      </c>
      <c r="AC288" s="140">
        <f t="shared" si="104"/>
        <v>0</v>
      </c>
      <c r="AD288" s="140">
        <f t="shared" si="104"/>
        <v>0</v>
      </c>
      <c r="AE288" s="140">
        <f t="shared" si="104"/>
        <v>0</v>
      </c>
      <c r="AF288" s="140">
        <f t="shared" si="104"/>
        <v>0</v>
      </c>
      <c r="AG288" s="140">
        <f t="shared" si="104"/>
        <v>0</v>
      </c>
      <c r="AH288" s="140">
        <f t="shared" si="104"/>
        <v>0</v>
      </c>
      <c r="AI288" s="140">
        <f t="shared" si="104"/>
        <v>0</v>
      </c>
      <c r="AJ288" s="140">
        <f t="shared" si="104"/>
        <v>0</v>
      </c>
      <c r="AK288" s="140">
        <f t="shared" si="104"/>
        <v>0</v>
      </c>
      <c r="AL288" s="140">
        <f t="shared" si="104"/>
        <v>0</v>
      </c>
      <c r="AM288" s="140">
        <f t="shared" si="104"/>
        <v>0</v>
      </c>
      <c r="AN288" s="140">
        <f t="shared" si="104"/>
        <v>1</v>
      </c>
      <c r="AO288" s="140">
        <f t="shared" si="104"/>
        <v>0</v>
      </c>
      <c r="AP288" s="140">
        <f t="shared" si="102"/>
        <v>0</v>
      </c>
      <c r="AQ288" s="140">
        <f t="shared" si="102"/>
        <v>0</v>
      </c>
      <c r="AR288" s="140">
        <f t="shared" si="102"/>
        <v>0</v>
      </c>
      <c r="AS288" s="140">
        <f t="shared" si="102"/>
        <v>0</v>
      </c>
      <c r="AT288" s="140">
        <f t="shared" si="102"/>
        <v>0</v>
      </c>
      <c r="AU288" s="140">
        <f t="shared" si="102"/>
        <v>0</v>
      </c>
      <c r="AV288" s="140">
        <f t="shared" si="102"/>
        <v>0</v>
      </c>
      <c r="AW288" s="140">
        <f t="shared" si="102"/>
        <v>0</v>
      </c>
      <c r="AX288" s="140">
        <f t="shared" si="102"/>
        <v>0</v>
      </c>
      <c r="AY288" s="140">
        <f t="shared" si="100"/>
        <v>1</v>
      </c>
      <c r="AZ288" s="22" t="s">
        <v>162</v>
      </c>
    </row>
    <row r="289" spans="1:52">
      <c r="A289" s="140" t="s">
        <v>187</v>
      </c>
      <c r="B289" s="140">
        <f t="shared" si="103"/>
        <v>1</v>
      </c>
      <c r="C289" s="140">
        <f t="shared" si="103"/>
        <v>0</v>
      </c>
      <c r="D289" s="140">
        <f t="shared" si="103"/>
        <v>0</v>
      </c>
      <c r="E289" s="140">
        <f t="shared" si="103"/>
        <v>1</v>
      </c>
      <c r="F289" s="140">
        <f t="shared" si="103"/>
        <v>0</v>
      </c>
      <c r="G289" s="140">
        <f t="shared" si="103"/>
        <v>0</v>
      </c>
      <c r="H289" s="140">
        <f t="shared" si="103"/>
        <v>0</v>
      </c>
      <c r="I289" s="140">
        <f t="shared" si="103"/>
        <v>0</v>
      </c>
      <c r="J289" s="140">
        <f t="shared" si="103"/>
        <v>0</v>
      </c>
      <c r="K289" s="140">
        <f t="shared" si="103"/>
        <v>0</v>
      </c>
      <c r="L289" s="140">
        <f t="shared" si="103"/>
        <v>0</v>
      </c>
      <c r="M289" s="140">
        <f t="shared" si="103"/>
        <v>0</v>
      </c>
      <c r="N289" s="140">
        <f t="shared" si="103"/>
        <v>0</v>
      </c>
      <c r="O289" s="140">
        <f t="shared" si="103"/>
        <v>0</v>
      </c>
      <c r="P289" s="140">
        <f t="shared" si="103"/>
        <v>0</v>
      </c>
      <c r="Q289" s="140">
        <f t="shared" si="103"/>
        <v>1</v>
      </c>
      <c r="R289" s="140">
        <f t="shared" si="103"/>
        <v>1</v>
      </c>
      <c r="S289" s="140">
        <f t="shared" si="103"/>
        <v>0</v>
      </c>
      <c r="T289" s="140">
        <f t="shared" si="103"/>
        <v>0</v>
      </c>
      <c r="U289" s="140">
        <f t="shared" si="103"/>
        <v>0</v>
      </c>
      <c r="V289" s="140">
        <f t="shared" si="103"/>
        <v>1</v>
      </c>
      <c r="W289" s="140">
        <f t="shared" si="103"/>
        <v>0</v>
      </c>
      <c r="X289" s="140">
        <f t="shared" si="103"/>
        <v>0</v>
      </c>
      <c r="Y289" s="140">
        <f t="shared" si="103"/>
        <v>0</v>
      </c>
      <c r="AA289" s="140">
        <f t="shared" si="104"/>
        <v>0.33333333333333331</v>
      </c>
      <c r="AB289" s="140">
        <f t="shared" si="104"/>
        <v>0</v>
      </c>
      <c r="AC289" s="140">
        <f t="shared" si="104"/>
        <v>0</v>
      </c>
      <c r="AD289" s="140">
        <f t="shared" si="104"/>
        <v>0.5</v>
      </c>
      <c r="AE289" s="140">
        <f t="shared" si="104"/>
        <v>0</v>
      </c>
      <c r="AF289" s="140">
        <f t="shared" si="104"/>
        <v>0</v>
      </c>
      <c r="AG289" s="140">
        <f t="shared" si="104"/>
        <v>0</v>
      </c>
      <c r="AH289" s="140">
        <f t="shared" si="104"/>
        <v>0</v>
      </c>
      <c r="AI289" s="140">
        <f t="shared" si="104"/>
        <v>0</v>
      </c>
      <c r="AJ289" s="140">
        <f t="shared" si="104"/>
        <v>0</v>
      </c>
      <c r="AK289" s="140">
        <f t="shared" si="104"/>
        <v>0</v>
      </c>
      <c r="AL289" s="140">
        <f t="shared" si="104"/>
        <v>0</v>
      </c>
      <c r="AM289" s="140">
        <f t="shared" si="104"/>
        <v>0</v>
      </c>
      <c r="AN289" s="140">
        <f t="shared" si="104"/>
        <v>0</v>
      </c>
      <c r="AO289" s="140">
        <f t="shared" si="104"/>
        <v>0</v>
      </c>
      <c r="AP289" s="140">
        <f t="shared" si="102"/>
        <v>1</v>
      </c>
      <c r="AQ289" s="140">
        <f t="shared" si="102"/>
        <v>1</v>
      </c>
      <c r="AR289" s="140">
        <f t="shared" si="102"/>
        <v>0</v>
      </c>
      <c r="AS289" s="140">
        <f t="shared" si="102"/>
        <v>0</v>
      </c>
      <c r="AT289" s="140">
        <f t="shared" si="102"/>
        <v>0</v>
      </c>
      <c r="AU289" s="140">
        <f t="shared" si="102"/>
        <v>1</v>
      </c>
      <c r="AV289" s="140">
        <f t="shared" si="102"/>
        <v>0</v>
      </c>
      <c r="AW289" s="140">
        <f t="shared" si="102"/>
        <v>0</v>
      </c>
      <c r="AX289" s="140">
        <f t="shared" si="102"/>
        <v>0</v>
      </c>
      <c r="AY289" s="140">
        <f t="shared" si="100"/>
        <v>3.833333333333333</v>
      </c>
      <c r="AZ289" s="22" t="s">
        <v>162</v>
      </c>
    </row>
    <row r="290" spans="1:52">
      <c r="A290" s="140" t="s">
        <v>188</v>
      </c>
      <c r="B290" s="140">
        <f t="shared" si="103"/>
        <v>0</v>
      </c>
      <c r="C290" s="140">
        <f t="shared" si="103"/>
        <v>0</v>
      </c>
      <c r="D290" s="140">
        <f t="shared" si="103"/>
        <v>0</v>
      </c>
      <c r="E290" s="140">
        <f t="shared" si="103"/>
        <v>1</v>
      </c>
      <c r="F290" s="140">
        <f t="shared" si="103"/>
        <v>1</v>
      </c>
      <c r="G290" s="140">
        <f t="shared" si="103"/>
        <v>0</v>
      </c>
      <c r="H290" s="140">
        <f t="shared" si="103"/>
        <v>0</v>
      </c>
      <c r="I290" s="140">
        <f t="shared" si="103"/>
        <v>0</v>
      </c>
      <c r="J290" s="140">
        <f t="shared" si="103"/>
        <v>0</v>
      </c>
      <c r="K290" s="140">
        <f t="shared" si="103"/>
        <v>0</v>
      </c>
      <c r="L290" s="140">
        <f t="shared" si="103"/>
        <v>1</v>
      </c>
      <c r="M290" s="140">
        <f t="shared" si="103"/>
        <v>0</v>
      </c>
      <c r="N290" s="140">
        <f t="shared" si="103"/>
        <v>0</v>
      </c>
      <c r="O290" s="140">
        <f t="shared" si="103"/>
        <v>0</v>
      </c>
      <c r="P290" s="140">
        <f t="shared" si="103"/>
        <v>0</v>
      </c>
      <c r="Q290" s="140">
        <f t="shared" ref="Q290:Y290" si="105">IF(IFERROR(FIND($A$268,Q26,1),0)=0,0,1)</f>
        <v>0</v>
      </c>
      <c r="R290" s="140">
        <f t="shared" si="105"/>
        <v>0</v>
      </c>
      <c r="S290" s="140">
        <f t="shared" si="105"/>
        <v>0</v>
      </c>
      <c r="T290" s="140">
        <f t="shared" si="105"/>
        <v>0</v>
      </c>
      <c r="U290" s="140">
        <f t="shared" si="105"/>
        <v>0</v>
      </c>
      <c r="V290" s="140">
        <f t="shared" si="105"/>
        <v>0</v>
      </c>
      <c r="W290" s="140">
        <f t="shared" si="105"/>
        <v>0</v>
      </c>
      <c r="X290" s="140">
        <f t="shared" si="105"/>
        <v>0</v>
      </c>
      <c r="Y290" s="140">
        <f t="shared" si="105"/>
        <v>1</v>
      </c>
      <c r="AA290" s="140">
        <f t="shared" si="104"/>
        <v>0</v>
      </c>
      <c r="AB290" s="140">
        <f t="shared" si="104"/>
        <v>0</v>
      </c>
      <c r="AC290" s="140">
        <f t="shared" si="104"/>
        <v>0</v>
      </c>
      <c r="AD290" s="140">
        <f t="shared" si="104"/>
        <v>1</v>
      </c>
      <c r="AE290" s="140">
        <f t="shared" si="104"/>
        <v>1</v>
      </c>
      <c r="AF290" s="140">
        <f t="shared" si="104"/>
        <v>0</v>
      </c>
      <c r="AG290" s="140">
        <f t="shared" si="104"/>
        <v>0</v>
      </c>
      <c r="AH290" s="140">
        <f t="shared" si="104"/>
        <v>0</v>
      </c>
      <c r="AI290" s="140">
        <f t="shared" si="104"/>
        <v>0</v>
      </c>
      <c r="AJ290" s="140">
        <f t="shared" si="104"/>
        <v>0</v>
      </c>
      <c r="AK290" s="140">
        <f t="shared" si="104"/>
        <v>1</v>
      </c>
      <c r="AL290" s="140">
        <f t="shared" si="104"/>
        <v>0</v>
      </c>
      <c r="AM290" s="140">
        <f t="shared" si="104"/>
        <v>0</v>
      </c>
      <c r="AN290" s="140">
        <f t="shared" si="104"/>
        <v>0</v>
      </c>
      <c r="AO290" s="140">
        <f t="shared" si="104"/>
        <v>0</v>
      </c>
      <c r="AP290" s="140">
        <f t="shared" si="102"/>
        <v>0</v>
      </c>
      <c r="AQ290" s="140">
        <f t="shared" si="102"/>
        <v>0</v>
      </c>
      <c r="AR290" s="140">
        <f t="shared" si="102"/>
        <v>0</v>
      </c>
      <c r="AS290" s="140">
        <f t="shared" si="102"/>
        <v>0</v>
      </c>
      <c r="AT290" s="140">
        <f t="shared" si="102"/>
        <v>0</v>
      </c>
      <c r="AU290" s="140">
        <f t="shared" si="102"/>
        <v>0</v>
      </c>
      <c r="AV290" s="140">
        <f t="shared" si="102"/>
        <v>0</v>
      </c>
      <c r="AW290" s="140">
        <f t="shared" si="102"/>
        <v>0</v>
      </c>
      <c r="AX290" s="140">
        <f t="shared" si="102"/>
        <v>1</v>
      </c>
      <c r="AY290" s="140">
        <f t="shared" si="100"/>
        <v>4</v>
      </c>
      <c r="AZ290" s="22" t="s">
        <v>162</v>
      </c>
    </row>
    <row r="291" spans="1:52">
      <c r="A291" s="140" t="s">
        <v>189</v>
      </c>
      <c r="B291" s="140">
        <f t="shared" ref="B291:Y299" si="106">IF(IFERROR(FIND($A$268,B27,1),0)=0,0,1)</f>
        <v>0</v>
      </c>
      <c r="C291" s="140">
        <f t="shared" si="106"/>
        <v>0</v>
      </c>
      <c r="D291" s="140">
        <f t="shared" si="106"/>
        <v>0</v>
      </c>
      <c r="E291" s="140">
        <f t="shared" si="106"/>
        <v>0</v>
      </c>
      <c r="F291" s="140">
        <f t="shared" si="106"/>
        <v>0</v>
      </c>
      <c r="G291" s="140">
        <f t="shared" si="106"/>
        <v>0</v>
      </c>
      <c r="H291" s="140">
        <f t="shared" si="106"/>
        <v>0</v>
      </c>
      <c r="I291" s="140">
        <f t="shared" si="106"/>
        <v>0</v>
      </c>
      <c r="J291" s="140">
        <f t="shared" si="106"/>
        <v>0</v>
      </c>
      <c r="K291" s="140">
        <f t="shared" si="106"/>
        <v>0</v>
      </c>
      <c r="L291" s="140">
        <f t="shared" si="106"/>
        <v>0</v>
      </c>
      <c r="M291" s="140">
        <f t="shared" si="106"/>
        <v>0</v>
      </c>
      <c r="N291" s="140">
        <f t="shared" si="106"/>
        <v>0</v>
      </c>
      <c r="O291" s="140">
        <f t="shared" si="106"/>
        <v>0</v>
      </c>
      <c r="P291" s="140">
        <f t="shared" si="106"/>
        <v>0</v>
      </c>
      <c r="Q291" s="140">
        <f t="shared" si="106"/>
        <v>0</v>
      </c>
      <c r="R291" s="140">
        <f t="shared" si="106"/>
        <v>0</v>
      </c>
      <c r="S291" s="140">
        <f t="shared" si="106"/>
        <v>0</v>
      </c>
      <c r="T291" s="140">
        <f t="shared" si="106"/>
        <v>0</v>
      </c>
      <c r="U291" s="140">
        <f t="shared" si="106"/>
        <v>0</v>
      </c>
      <c r="V291" s="140">
        <f t="shared" si="106"/>
        <v>0</v>
      </c>
      <c r="W291" s="140">
        <f t="shared" si="106"/>
        <v>0</v>
      </c>
      <c r="X291" s="140">
        <f t="shared" si="106"/>
        <v>0</v>
      </c>
      <c r="Y291" s="140">
        <f t="shared" si="106"/>
        <v>0</v>
      </c>
      <c r="AA291" s="140">
        <f t="shared" si="104"/>
        <v>0</v>
      </c>
      <c r="AB291" s="140">
        <f t="shared" si="104"/>
        <v>0</v>
      </c>
      <c r="AC291" s="140">
        <f t="shared" si="104"/>
        <v>0</v>
      </c>
      <c r="AD291" s="140">
        <f t="shared" si="104"/>
        <v>0</v>
      </c>
      <c r="AE291" s="140">
        <f t="shared" si="104"/>
        <v>0</v>
      </c>
      <c r="AF291" s="140">
        <f t="shared" si="104"/>
        <v>0</v>
      </c>
      <c r="AG291" s="140">
        <f t="shared" si="104"/>
        <v>0</v>
      </c>
      <c r="AH291" s="140">
        <f t="shared" si="104"/>
        <v>0</v>
      </c>
      <c r="AI291" s="140">
        <f t="shared" si="104"/>
        <v>0</v>
      </c>
      <c r="AJ291" s="140">
        <f t="shared" si="104"/>
        <v>0</v>
      </c>
      <c r="AK291" s="140">
        <f t="shared" si="104"/>
        <v>0</v>
      </c>
      <c r="AL291" s="140">
        <f t="shared" si="104"/>
        <v>0</v>
      </c>
      <c r="AM291" s="140">
        <f t="shared" si="104"/>
        <v>0</v>
      </c>
      <c r="AN291" s="140">
        <f t="shared" si="104"/>
        <v>0</v>
      </c>
      <c r="AO291" s="140">
        <f t="shared" si="104"/>
        <v>0</v>
      </c>
      <c r="AP291" s="140">
        <f t="shared" si="102"/>
        <v>0</v>
      </c>
      <c r="AQ291" s="140">
        <f t="shared" si="102"/>
        <v>0</v>
      </c>
      <c r="AR291" s="140">
        <f t="shared" si="102"/>
        <v>0</v>
      </c>
      <c r="AS291" s="140">
        <f t="shared" si="102"/>
        <v>0</v>
      </c>
      <c r="AT291" s="140">
        <f t="shared" si="102"/>
        <v>0</v>
      </c>
      <c r="AU291" s="140">
        <f t="shared" si="102"/>
        <v>0</v>
      </c>
      <c r="AV291" s="140">
        <f t="shared" si="102"/>
        <v>0</v>
      </c>
      <c r="AW291" s="140">
        <f t="shared" si="102"/>
        <v>0</v>
      </c>
      <c r="AX291" s="140">
        <f t="shared" si="102"/>
        <v>0</v>
      </c>
      <c r="AY291" s="140">
        <f t="shared" si="100"/>
        <v>0</v>
      </c>
      <c r="AZ291" s="22" t="s">
        <v>162</v>
      </c>
    </row>
    <row r="292" spans="1:52">
      <c r="A292" s="140" t="s">
        <v>190</v>
      </c>
      <c r="B292" s="140">
        <f t="shared" si="106"/>
        <v>0</v>
      </c>
      <c r="C292" s="140">
        <f t="shared" si="106"/>
        <v>0</v>
      </c>
      <c r="D292" s="140">
        <f t="shared" si="106"/>
        <v>0</v>
      </c>
      <c r="E292" s="140">
        <f t="shared" si="106"/>
        <v>1</v>
      </c>
      <c r="F292" s="140">
        <f t="shared" si="106"/>
        <v>1</v>
      </c>
      <c r="G292" s="140">
        <f t="shared" si="106"/>
        <v>0</v>
      </c>
      <c r="H292" s="140">
        <f t="shared" si="106"/>
        <v>0</v>
      </c>
      <c r="I292" s="140">
        <f t="shared" si="106"/>
        <v>0</v>
      </c>
      <c r="J292" s="140">
        <f t="shared" si="106"/>
        <v>0</v>
      </c>
      <c r="K292" s="140">
        <f t="shared" si="106"/>
        <v>0</v>
      </c>
      <c r="L292" s="140">
        <f t="shared" si="106"/>
        <v>0</v>
      </c>
      <c r="M292" s="140">
        <f t="shared" si="106"/>
        <v>0</v>
      </c>
      <c r="N292" s="140">
        <f t="shared" si="106"/>
        <v>0</v>
      </c>
      <c r="O292" s="140">
        <f t="shared" si="106"/>
        <v>0</v>
      </c>
      <c r="P292" s="140">
        <f t="shared" si="106"/>
        <v>0</v>
      </c>
      <c r="Q292" s="140">
        <f t="shared" si="106"/>
        <v>0</v>
      </c>
      <c r="R292" s="140">
        <f t="shared" si="106"/>
        <v>0</v>
      </c>
      <c r="S292" s="140">
        <f t="shared" si="106"/>
        <v>1</v>
      </c>
      <c r="T292" s="140">
        <f t="shared" si="106"/>
        <v>0</v>
      </c>
      <c r="U292" s="140">
        <f t="shared" si="106"/>
        <v>0</v>
      </c>
      <c r="V292" s="140">
        <f t="shared" si="106"/>
        <v>0</v>
      </c>
      <c r="W292" s="140">
        <f t="shared" si="106"/>
        <v>1</v>
      </c>
      <c r="X292" s="140">
        <f t="shared" si="106"/>
        <v>0</v>
      </c>
      <c r="Y292" s="140">
        <f t="shared" si="106"/>
        <v>0</v>
      </c>
      <c r="AA292" s="140">
        <f t="shared" si="104"/>
        <v>0</v>
      </c>
      <c r="AB292" s="140">
        <f t="shared" si="104"/>
        <v>0</v>
      </c>
      <c r="AC292" s="140">
        <f t="shared" si="104"/>
        <v>0</v>
      </c>
      <c r="AD292" s="140">
        <f t="shared" si="104"/>
        <v>1</v>
      </c>
      <c r="AE292" s="140">
        <f t="shared" si="104"/>
        <v>1</v>
      </c>
      <c r="AF292" s="140">
        <f t="shared" si="104"/>
        <v>0</v>
      </c>
      <c r="AG292" s="140">
        <f t="shared" si="104"/>
        <v>0</v>
      </c>
      <c r="AH292" s="140">
        <f t="shared" si="104"/>
        <v>0</v>
      </c>
      <c r="AI292" s="140">
        <f t="shared" si="104"/>
        <v>0</v>
      </c>
      <c r="AJ292" s="140">
        <f t="shared" si="104"/>
        <v>0</v>
      </c>
      <c r="AK292" s="140">
        <f t="shared" si="104"/>
        <v>0</v>
      </c>
      <c r="AL292" s="140">
        <f t="shared" si="104"/>
        <v>0</v>
      </c>
      <c r="AM292" s="140">
        <f t="shared" si="104"/>
        <v>0</v>
      </c>
      <c r="AN292" s="140">
        <f t="shared" si="104"/>
        <v>0</v>
      </c>
      <c r="AO292" s="140">
        <f t="shared" si="104"/>
        <v>0</v>
      </c>
      <c r="AP292" s="140">
        <f t="shared" si="102"/>
        <v>0</v>
      </c>
      <c r="AQ292" s="140">
        <f t="shared" si="102"/>
        <v>0</v>
      </c>
      <c r="AR292" s="140">
        <f t="shared" si="102"/>
        <v>0.25</v>
      </c>
      <c r="AS292" s="140">
        <f t="shared" si="102"/>
        <v>0</v>
      </c>
      <c r="AT292" s="140">
        <f t="shared" si="102"/>
        <v>0</v>
      </c>
      <c r="AU292" s="140">
        <f t="shared" si="102"/>
        <v>0</v>
      </c>
      <c r="AV292" s="140">
        <f t="shared" si="102"/>
        <v>0.33333333333333331</v>
      </c>
      <c r="AW292" s="140">
        <f t="shared" si="102"/>
        <v>0</v>
      </c>
      <c r="AX292" s="140">
        <f t="shared" si="102"/>
        <v>0</v>
      </c>
      <c r="AY292" s="140">
        <f t="shared" si="100"/>
        <v>2.5833333333333335</v>
      </c>
      <c r="AZ292" s="22" t="s">
        <v>162</v>
      </c>
    </row>
    <row r="293" spans="1:52">
      <c r="A293" s="140" t="s">
        <v>191</v>
      </c>
      <c r="B293" s="140">
        <f t="shared" si="106"/>
        <v>0</v>
      </c>
      <c r="C293" s="140">
        <f t="shared" si="106"/>
        <v>1</v>
      </c>
      <c r="D293" s="140">
        <f t="shared" si="106"/>
        <v>0</v>
      </c>
      <c r="E293" s="140">
        <f t="shared" si="106"/>
        <v>0</v>
      </c>
      <c r="F293" s="140">
        <f t="shared" si="106"/>
        <v>0</v>
      </c>
      <c r="G293" s="140">
        <f t="shared" si="106"/>
        <v>0</v>
      </c>
      <c r="H293" s="140">
        <f t="shared" si="106"/>
        <v>1</v>
      </c>
      <c r="I293" s="140">
        <f t="shared" si="106"/>
        <v>0</v>
      </c>
      <c r="J293" s="140">
        <f t="shared" si="106"/>
        <v>0</v>
      </c>
      <c r="K293" s="140">
        <f t="shared" si="106"/>
        <v>0</v>
      </c>
      <c r="L293" s="140">
        <f t="shared" si="106"/>
        <v>0</v>
      </c>
      <c r="M293" s="140">
        <f t="shared" si="106"/>
        <v>0</v>
      </c>
      <c r="N293" s="140">
        <f t="shared" si="106"/>
        <v>0</v>
      </c>
      <c r="O293" s="140">
        <f t="shared" si="106"/>
        <v>0</v>
      </c>
      <c r="P293" s="140">
        <f t="shared" si="106"/>
        <v>0</v>
      </c>
      <c r="Q293" s="140">
        <f t="shared" si="106"/>
        <v>0</v>
      </c>
      <c r="R293" s="140">
        <f t="shared" si="106"/>
        <v>0</v>
      </c>
      <c r="S293" s="140">
        <f t="shared" si="106"/>
        <v>0</v>
      </c>
      <c r="T293" s="140">
        <f t="shared" si="106"/>
        <v>0</v>
      </c>
      <c r="U293" s="140">
        <f t="shared" si="106"/>
        <v>0</v>
      </c>
      <c r="V293" s="140">
        <f t="shared" si="106"/>
        <v>0</v>
      </c>
      <c r="W293" s="140">
        <f t="shared" si="106"/>
        <v>1</v>
      </c>
      <c r="X293" s="140">
        <f t="shared" si="106"/>
        <v>0</v>
      </c>
      <c r="Y293" s="140">
        <f t="shared" si="106"/>
        <v>0</v>
      </c>
      <c r="AA293" s="140">
        <f t="shared" si="104"/>
        <v>0</v>
      </c>
      <c r="AB293" s="140">
        <f t="shared" si="104"/>
        <v>1</v>
      </c>
      <c r="AC293" s="140">
        <f t="shared" si="104"/>
        <v>0</v>
      </c>
      <c r="AD293" s="140">
        <f t="shared" si="104"/>
        <v>0</v>
      </c>
      <c r="AE293" s="140">
        <f t="shared" si="104"/>
        <v>0</v>
      </c>
      <c r="AF293" s="140">
        <f t="shared" si="104"/>
        <v>0</v>
      </c>
      <c r="AG293" s="140">
        <f t="shared" si="104"/>
        <v>1</v>
      </c>
      <c r="AH293" s="140">
        <f t="shared" si="104"/>
        <v>0</v>
      </c>
      <c r="AI293" s="140">
        <f t="shared" si="104"/>
        <v>0</v>
      </c>
      <c r="AJ293" s="140">
        <f t="shared" si="104"/>
        <v>0</v>
      </c>
      <c r="AK293" s="140">
        <f t="shared" si="104"/>
        <v>0</v>
      </c>
      <c r="AL293" s="140">
        <f t="shared" si="104"/>
        <v>0</v>
      </c>
      <c r="AM293" s="140">
        <f t="shared" si="104"/>
        <v>0</v>
      </c>
      <c r="AN293" s="140">
        <f t="shared" si="104"/>
        <v>0</v>
      </c>
      <c r="AO293" s="140">
        <f t="shared" si="104"/>
        <v>0</v>
      </c>
      <c r="AP293" s="140">
        <f t="shared" si="102"/>
        <v>0</v>
      </c>
      <c r="AQ293" s="140">
        <f t="shared" si="102"/>
        <v>0</v>
      </c>
      <c r="AR293" s="140">
        <f t="shared" si="102"/>
        <v>0</v>
      </c>
      <c r="AS293" s="140">
        <f t="shared" si="102"/>
        <v>0</v>
      </c>
      <c r="AT293" s="140">
        <f t="shared" si="102"/>
        <v>0</v>
      </c>
      <c r="AU293" s="140">
        <f t="shared" si="102"/>
        <v>0</v>
      </c>
      <c r="AV293" s="140">
        <f t="shared" si="102"/>
        <v>1</v>
      </c>
      <c r="AW293" s="140">
        <f t="shared" si="102"/>
        <v>0</v>
      </c>
      <c r="AX293" s="140">
        <f t="shared" si="102"/>
        <v>0</v>
      </c>
      <c r="AY293" s="140">
        <f t="shared" si="100"/>
        <v>3</v>
      </c>
      <c r="AZ293" s="22" t="s">
        <v>162</v>
      </c>
    </row>
    <row r="294" spans="1:52">
      <c r="A294" s="140" t="s">
        <v>192</v>
      </c>
      <c r="B294" s="140">
        <f t="shared" si="106"/>
        <v>0</v>
      </c>
      <c r="C294" s="140">
        <f t="shared" si="106"/>
        <v>1</v>
      </c>
      <c r="D294" s="140">
        <f t="shared" si="106"/>
        <v>0</v>
      </c>
      <c r="E294" s="140">
        <f t="shared" si="106"/>
        <v>0</v>
      </c>
      <c r="F294" s="140">
        <f t="shared" si="106"/>
        <v>0</v>
      </c>
      <c r="G294" s="140">
        <f t="shared" si="106"/>
        <v>0</v>
      </c>
      <c r="H294" s="140">
        <f t="shared" si="106"/>
        <v>0</v>
      </c>
      <c r="I294" s="140">
        <f t="shared" si="106"/>
        <v>0</v>
      </c>
      <c r="J294" s="140">
        <f t="shared" si="106"/>
        <v>0</v>
      </c>
      <c r="K294" s="140">
        <f t="shared" si="106"/>
        <v>0</v>
      </c>
      <c r="L294" s="140">
        <f t="shared" si="106"/>
        <v>0</v>
      </c>
      <c r="M294" s="140">
        <f t="shared" si="106"/>
        <v>0</v>
      </c>
      <c r="N294" s="140">
        <f t="shared" si="106"/>
        <v>0</v>
      </c>
      <c r="O294" s="140">
        <f t="shared" si="106"/>
        <v>0</v>
      </c>
      <c r="P294" s="140">
        <f t="shared" si="106"/>
        <v>0</v>
      </c>
      <c r="Q294" s="140">
        <f t="shared" si="106"/>
        <v>0</v>
      </c>
      <c r="R294" s="140">
        <f t="shared" si="106"/>
        <v>0</v>
      </c>
      <c r="S294" s="140">
        <f t="shared" si="106"/>
        <v>0</v>
      </c>
      <c r="T294" s="140">
        <f t="shared" si="106"/>
        <v>0</v>
      </c>
      <c r="U294" s="140">
        <f t="shared" si="106"/>
        <v>0</v>
      </c>
      <c r="V294" s="140">
        <f t="shared" si="106"/>
        <v>1</v>
      </c>
      <c r="W294" s="140">
        <f t="shared" si="106"/>
        <v>0</v>
      </c>
      <c r="X294" s="140">
        <f t="shared" si="106"/>
        <v>0</v>
      </c>
      <c r="Y294" s="140">
        <f t="shared" si="106"/>
        <v>0</v>
      </c>
      <c r="AA294" s="140">
        <f t="shared" si="104"/>
        <v>0</v>
      </c>
      <c r="AB294" s="140">
        <f t="shared" si="104"/>
        <v>0.5</v>
      </c>
      <c r="AC294" s="140">
        <f t="shared" si="104"/>
        <v>0</v>
      </c>
      <c r="AD294" s="140">
        <f t="shared" si="104"/>
        <v>0</v>
      </c>
      <c r="AE294" s="140">
        <f t="shared" si="104"/>
        <v>0</v>
      </c>
      <c r="AF294" s="140">
        <f t="shared" si="104"/>
        <v>0</v>
      </c>
      <c r="AG294" s="140">
        <f t="shared" si="104"/>
        <v>0</v>
      </c>
      <c r="AH294" s="140">
        <f t="shared" si="104"/>
        <v>0</v>
      </c>
      <c r="AI294" s="140">
        <f t="shared" si="104"/>
        <v>0</v>
      </c>
      <c r="AJ294" s="140">
        <f t="shared" si="104"/>
        <v>0</v>
      </c>
      <c r="AK294" s="140">
        <f t="shared" si="104"/>
        <v>0</v>
      </c>
      <c r="AL294" s="140">
        <f t="shared" si="104"/>
        <v>0</v>
      </c>
      <c r="AM294" s="140">
        <f t="shared" si="104"/>
        <v>0</v>
      </c>
      <c r="AN294" s="140">
        <f t="shared" si="104"/>
        <v>0</v>
      </c>
      <c r="AO294" s="140">
        <f t="shared" si="104"/>
        <v>0</v>
      </c>
      <c r="AP294" s="140">
        <f t="shared" si="102"/>
        <v>0</v>
      </c>
      <c r="AQ294" s="140">
        <f t="shared" si="102"/>
        <v>0</v>
      </c>
      <c r="AR294" s="140">
        <f t="shared" si="102"/>
        <v>0</v>
      </c>
      <c r="AS294" s="140">
        <f t="shared" si="102"/>
        <v>0</v>
      </c>
      <c r="AT294" s="140">
        <f t="shared" si="102"/>
        <v>0</v>
      </c>
      <c r="AU294" s="140">
        <f t="shared" si="102"/>
        <v>1</v>
      </c>
      <c r="AV294" s="140">
        <f t="shared" si="102"/>
        <v>0</v>
      </c>
      <c r="AW294" s="140">
        <f t="shared" si="102"/>
        <v>0</v>
      </c>
      <c r="AX294" s="140">
        <f t="shared" si="102"/>
        <v>0</v>
      </c>
      <c r="AY294" s="140">
        <f t="shared" si="100"/>
        <v>1.5</v>
      </c>
      <c r="AZ294" s="22" t="s">
        <v>162</v>
      </c>
    </row>
    <row r="295" spans="1:52">
      <c r="A295" s="140" t="s">
        <v>193</v>
      </c>
      <c r="B295" s="140">
        <f t="shared" si="106"/>
        <v>0</v>
      </c>
      <c r="C295" s="140">
        <f t="shared" si="106"/>
        <v>0</v>
      </c>
      <c r="D295" s="140">
        <f t="shared" si="106"/>
        <v>0</v>
      </c>
      <c r="E295" s="140">
        <f t="shared" si="106"/>
        <v>0</v>
      </c>
      <c r="F295" s="140">
        <f t="shared" si="106"/>
        <v>0</v>
      </c>
      <c r="G295" s="140">
        <f t="shared" si="106"/>
        <v>1</v>
      </c>
      <c r="H295" s="140">
        <f t="shared" si="106"/>
        <v>0</v>
      </c>
      <c r="I295" s="140">
        <f t="shared" si="106"/>
        <v>0</v>
      </c>
      <c r="J295" s="140">
        <f t="shared" si="106"/>
        <v>0</v>
      </c>
      <c r="K295" s="140">
        <f t="shared" si="106"/>
        <v>0</v>
      </c>
      <c r="L295" s="140">
        <f t="shared" si="106"/>
        <v>1</v>
      </c>
      <c r="M295" s="140">
        <f t="shared" si="106"/>
        <v>0</v>
      </c>
      <c r="N295" s="140">
        <f t="shared" si="106"/>
        <v>0</v>
      </c>
      <c r="O295" s="140">
        <f t="shared" si="106"/>
        <v>0</v>
      </c>
      <c r="P295" s="140">
        <f t="shared" si="106"/>
        <v>0</v>
      </c>
      <c r="Q295" s="140">
        <f t="shared" si="106"/>
        <v>1</v>
      </c>
      <c r="R295" s="140">
        <f t="shared" si="106"/>
        <v>0</v>
      </c>
      <c r="S295" s="140">
        <f t="shared" si="106"/>
        <v>0</v>
      </c>
      <c r="T295" s="140">
        <f t="shared" si="106"/>
        <v>1</v>
      </c>
      <c r="U295" s="140">
        <f t="shared" si="106"/>
        <v>1</v>
      </c>
      <c r="V295" s="140">
        <f t="shared" si="106"/>
        <v>0</v>
      </c>
      <c r="W295" s="140">
        <f t="shared" si="106"/>
        <v>1</v>
      </c>
      <c r="X295" s="140">
        <f t="shared" si="106"/>
        <v>0</v>
      </c>
      <c r="Y295" s="140">
        <f t="shared" si="106"/>
        <v>0</v>
      </c>
      <c r="AA295" s="140">
        <f t="shared" si="104"/>
        <v>0</v>
      </c>
      <c r="AB295" s="140">
        <f t="shared" si="104"/>
        <v>0</v>
      </c>
      <c r="AC295" s="140">
        <f t="shared" si="104"/>
        <v>0</v>
      </c>
      <c r="AD295" s="140">
        <f t="shared" si="104"/>
        <v>0</v>
      </c>
      <c r="AE295" s="140">
        <f t="shared" si="104"/>
        <v>0</v>
      </c>
      <c r="AF295" s="140">
        <f t="shared" si="104"/>
        <v>1</v>
      </c>
      <c r="AG295" s="140">
        <f t="shared" si="104"/>
        <v>0</v>
      </c>
      <c r="AH295" s="140">
        <f t="shared" si="104"/>
        <v>0</v>
      </c>
      <c r="AI295" s="140">
        <f t="shared" si="104"/>
        <v>0</v>
      </c>
      <c r="AJ295" s="140">
        <f t="shared" si="104"/>
        <v>0</v>
      </c>
      <c r="AK295" s="140">
        <f t="shared" si="104"/>
        <v>1</v>
      </c>
      <c r="AL295" s="140">
        <f t="shared" si="104"/>
        <v>0</v>
      </c>
      <c r="AM295" s="140">
        <f t="shared" si="104"/>
        <v>0</v>
      </c>
      <c r="AN295" s="140">
        <f t="shared" si="104"/>
        <v>0</v>
      </c>
      <c r="AO295" s="140">
        <f t="shared" si="104"/>
        <v>0</v>
      </c>
      <c r="AP295" s="140">
        <f t="shared" si="104"/>
        <v>1</v>
      </c>
      <c r="AQ295" s="140">
        <f t="shared" ref="AQ295:AX299" si="107">IF(R295=0,0,R295/AQ31)</f>
        <v>0</v>
      </c>
      <c r="AR295" s="140">
        <f t="shared" si="107"/>
        <v>0</v>
      </c>
      <c r="AS295" s="140">
        <f t="shared" si="107"/>
        <v>1</v>
      </c>
      <c r="AT295" s="140">
        <f t="shared" si="107"/>
        <v>1</v>
      </c>
      <c r="AU295" s="140">
        <f t="shared" si="107"/>
        <v>0</v>
      </c>
      <c r="AV295" s="140">
        <f t="shared" si="107"/>
        <v>0.5</v>
      </c>
      <c r="AW295" s="140">
        <f t="shared" si="107"/>
        <v>0</v>
      </c>
      <c r="AX295" s="140">
        <f t="shared" si="107"/>
        <v>0</v>
      </c>
      <c r="AY295" s="140">
        <f t="shared" si="100"/>
        <v>5.5</v>
      </c>
      <c r="AZ295" s="22" t="s">
        <v>162</v>
      </c>
    </row>
    <row r="296" spans="1:52">
      <c r="A296" s="140" t="s">
        <v>194</v>
      </c>
      <c r="B296" s="140">
        <f t="shared" si="106"/>
        <v>0</v>
      </c>
      <c r="C296" s="140">
        <f t="shared" si="106"/>
        <v>1</v>
      </c>
      <c r="D296" s="140">
        <f t="shared" si="106"/>
        <v>1</v>
      </c>
      <c r="E296" s="140">
        <f t="shared" si="106"/>
        <v>1</v>
      </c>
      <c r="F296" s="140">
        <f t="shared" si="106"/>
        <v>1</v>
      </c>
      <c r="G296" s="140">
        <f t="shared" si="106"/>
        <v>0</v>
      </c>
      <c r="H296" s="140">
        <f t="shared" si="106"/>
        <v>1</v>
      </c>
      <c r="I296" s="140">
        <f t="shared" si="106"/>
        <v>0</v>
      </c>
      <c r="J296" s="140">
        <f t="shared" si="106"/>
        <v>0</v>
      </c>
      <c r="K296" s="140">
        <f t="shared" si="106"/>
        <v>0</v>
      </c>
      <c r="L296" s="140">
        <f t="shared" si="106"/>
        <v>0</v>
      </c>
      <c r="M296" s="140">
        <f t="shared" si="106"/>
        <v>0</v>
      </c>
      <c r="N296" s="140">
        <f t="shared" si="106"/>
        <v>0</v>
      </c>
      <c r="O296" s="140">
        <f t="shared" si="106"/>
        <v>0</v>
      </c>
      <c r="P296" s="140">
        <f t="shared" si="106"/>
        <v>0</v>
      </c>
      <c r="Q296" s="140">
        <f t="shared" si="106"/>
        <v>1</v>
      </c>
      <c r="R296" s="140">
        <f t="shared" si="106"/>
        <v>1</v>
      </c>
      <c r="S296" s="140">
        <f t="shared" si="106"/>
        <v>0</v>
      </c>
      <c r="T296" s="140">
        <f t="shared" si="106"/>
        <v>1</v>
      </c>
      <c r="U296" s="140">
        <f t="shared" si="106"/>
        <v>0</v>
      </c>
      <c r="V296" s="140">
        <f t="shared" si="106"/>
        <v>0</v>
      </c>
      <c r="W296" s="140">
        <f t="shared" si="106"/>
        <v>0</v>
      </c>
      <c r="X296" s="140">
        <f t="shared" si="106"/>
        <v>0</v>
      </c>
      <c r="Y296" s="140">
        <f t="shared" si="106"/>
        <v>0</v>
      </c>
      <c r="AA296" s="140">
        <f t="shared" ref="AA296:AP299" si="108">IF(B296=0,0,B296/AA32)</f>
        <v>0</v>
      </c>
      <c r="AB296" s="140">
        <f t="shared" si="108"/>
        <v>1</v>
      </c>
      <c r="AC296" s="140">
        <f t="shared" si="108"/>
        <v>1</v>
      </c>
      <c r="AD296" s="140">
        <f t="shared" si="108"/>
        <v>1</v>
      </c>
      <c r="AE296" s="140">
        <f t="shared" si="108"/>
        <v>1</v>
      </c>
      <c r="AF296" s="140">
        <f t="shared" si="108"/>
        <v>0</v>
      </c>
      <c r="AG296" s="140">
        <f t="shared" si="108"/>
        <v>1</v>
      </c>
      <c r="AH296" s="140">
        <f t="shared" si="108"/>
        <v>0</v>
      </c>
      <c r="AI296" s="140">
        <f t="shared" si="108"/>
        <v>0</v>
      </c>
      <c r="AJ296" s="140">
        <f t="shared" si="108"/>
        <v>0</v>
      </c>
      <c r="AK296" s="140">
        <f t="shared" si="108"/>
        <v>0</v>
      </c>
      <c r="AL296" s="140">
        <f t="shared" si="108"/>
        <v>0</v>
      </c>
      <c r="AM296" s="140">
        <f t="shared" si="108"/>
        <v>0</v>
      </c>
      <c r="AN296" s="140">
        <f t="shared" si="108"/>
        <v>0</v>
      </c>
      <c r="AO296" s="140">
        <f t="shared" si="108"/>
        <v>0</v>
      </c>
      <c r="AP296" s="140">
        <f t="shared" si="108"/>
        <v>1</v>
      </c>
      <c r="AQ296" s="140">
        <f t="shared" si="107"/>
        <v>1</v>
      </c>
      <c r="AR296" s="140">
        <f t="shared" si="107"/>
        <v>0</v>
      </c>
      <c r="AS296" s="140">
        <f t="shared" si="107"/>
        <v>1</v>
      </c>
      <c r="AT296" s="140">
        <f t="shared" si="107"/>
        <v>0</v>
      </c>
      <c r="AU296" s="140">
        <f t="shared" si="107"/>
        <v>0</v>
      </c>
      <c r="AV296" s="140">
        <f t="shared" si="107"/>
        <v>0</v>
      </c>
      <c r="AW296" s="140">
        <f t="shared" si="107"/>
        <v>0</v>
      </c>
      <c r="AX296" s="140">
        <f t="shared" si="107"/>
        <v>0</v>
      </c>
      <c r="AY296" s="140">
        <f t="shared" si="100"/>
        <v>8</v>
      </c>
      <c r="AZ296" s="22" t="s">
        <v>162</v>
      </c>
    </row>
    <row r="297" spans="1:52">
      <c r="A297" s="140" t="s">
        <v>195</v>
      </c>
      <c r="B297" s="140">
        <f t="shared" si="106"/>
        <v>0</v>
      </c>
      <c r="C297" s="140">
        <f t="shared" si="106"/>
        <v>0</v>
      </c>
      <c r="D297" s="140">
        <f t="shared" si="106"/>
        <v>1</v>
      </c>
      <c r="E297" s="140">
        <f t="shared" si="106"/>
        <v>0</v>
      </c>
      <c r="F297" s="140">
        <f t="shared" si="106"/>
        <v>1</v>
      </c>
      <c r="G297" s="140">
        <f t="shared" si="106"/>
        <v>1</v>
      </c>
      <c r="H297" s="140">
        <f t="shared" si="106"/>
        <v>1</v>
      </c>
      <c r="I297" s="140">
        <f t="shared" si="106"/>
        <v>0</v>
      </c>
      <c r="J297" s="140">
        <f t="shared" si="106"/>
        <v>0</v>
      </c>
      <c r="K297" s="140">
        <f t="shared" si="106"/>
        <v>0</v>
      </c>
      <c r="L297" s="140">
        <f t="shared" si="106"/>
        <v>0</v>
      </c>
      <c r="M297" s="140">
        <f t="shared" si="106"/>
        <v>0</v>
      </c>
      <c r="N297" s="140">
        <f t="shared" si="106"/>
        <v>0</v>
      </c>
      <c r="O297" s="140">
        <f t="shared" si="106"/>
        <v>0</v>
      </c>
      <c r="P297" s="140">
        <f t="shared" si="106"/>
        <v>1</v>
      </c>
      <c r="Q297" s="140">
        <f t="shared" si="106"/>
        <v>1</v>
      </c>
      <c r="R297" s="140">
        <f t="shared" si="106"/>
        <v>0</v>
      </c>
      <c r="S297" s="140">
        <f t="shared" si="106"/>
        <v>0</v>
      </c>
      <c r="T297" s="140">
        <f t="shared" si="106"/>
        <v>0</v>
      </c>
      <c r="U297" s="140">
        <f t="shared" si="106"/>
        <v>0</v>
      </c>
      <c r="V297" s="140">
        <f t="shared" si="106"/>
        <v>0</v>
      </c>
      <c r="W297" s="140">
        <f t="shared" si="106"/>
        <v>0</v>
      </c>
      <c r="X297" s="140">
        <f t="shared" si="106"/>
        <v>0</v>
      </c>
      <c r="Y297" s="140">
        <f t="shared" si="106"/>
        <v>1</v>
      </c>
      <c r="AA297" s="140">
        <f t="shared" si="108"/>
        <v>0</v>
      </c>
      <c r="AB297" s="140">
        <f t="shared" si="108"/>
        <v>0</v>
      </c>
      <c r="AC297" s="140">
        <f t="shared" si="108"/>
        <v>1</v>
      </c>
      <c r="AD297" s="140">
        <f t="shared" si="108"/>
        <v>0</v>
      </c>
      <c r="AE297" s="140">
        <f t="shared" si="108"/>
        <v>0.5</v>
      </c>
      <c r="AF297" s="140">
        <f t="shared" si="108"/>
        <v>1</v>
      </c>
      <c r="AG297" s="140">
        <f t="shared" si="108"/>
        <v>1</v>
      </c>
      <c r="AH297" s="140">
        <f t="shared" si="108"/>
        <v>0</v>
      </c>
      <c r="AI297" s="140">
        <f t="shared" si="108"/>
        <v>0</v>
      </c>
      <c r="AJ297" s="140">
        <f t="shared" si="108"/>
        <v>0</v>
      </c>
      <c r="AK297" s="140">
        <f t="shared" si="108"/>
        <v>0</v>
      </c>
      <c r="AL297" s="140">
        <f t="shared" si="108"/>
        <v>0</v>
      </c>
      <c r="AM297" s="140">
        <f t="shared" si="108"/>
        <v>0</v>
      </c>
      <c r="AN297" s="140">
        <f t="shared" si="108"/>
        <v>0</v>
      </c>
      <c r="AO297" s="140">
        <f t="shared" si="108"/>
        <v>1</v>
      </c>
      <c r="AP297" s="140">
        <f t="shared" si="108"/>
        <v>1</v>
      </c>
      <c r="AQ297" s="140">
        <f t="shared" si="107"/>
        <v>0</v>
      </c>
      <c r="AR297" s="140">
        <f t="shared" si="107"/>
        <v>0</v>
      </c>
      <c r="AS297" s="140">
        <f t="shared" si="107"/>
        <v>0</v>
      </c>
      <c r="AT297" s="140">
        <f t="shared" si="107"/>
        <v>0</v>
      </c>
      <c r="AU297" s="140">
        <f t="shared" si="107"/>
        <v>0</v>
      </c>
      <c r="AV297" s="140">
        <f t="shared" si="107"/>
        <v>0</v>
      </c>
      <c r="AW297" s="140">
        <f t="shared" si="107"/>
        <v>0</v>
      </c>
      <c r="AX297" s="140">
        <f t="shared" si="107"/>
        <v>1</v>
      </c>
      <c r="AY297" s="140">
        <f t="shared" si="100"/>
        <v>6.5</v>
      </c>
      <c r="AZ297" s="22" t="s">
        <v>162</v>
      </c>
    </row>
    <row r="298" spans="1:52">
      <c r="A298" s="140" t="s">
        <v>196</v>
      </c>
      <c r="B298" s="140">
        <f t="shared" si="106"/>
        <v>1</v>
      </c>
      <c r="C298" s="140">
        <f t="shared" si="106"/>
        <v>1</v>
      </c>
      <c r="D298" s="140">
        <f t="shared" si="106"/>
        <v>1</v>
      </c>
      <c r="E298" s="140">
        <f t="shared" si="106"/>
        <v>1</v>
      </c>
      <c r="F298" s="140">
        <f t="shared" si="106"/>
        <v>1</v>
      </c>
      <c r="G298" s="140">
        <f t="shared" si="106"/>
        <v>0</v>
      </c>
      <c r="H298" s="140">
        <f t="shared" si="106"/>
        <v>1</v>
      </c>
      <c r="I298" s="140">
        <f t="shared" si="106"/>
        <v>0</v>
      </c>
      <c r="J298" s="140">
        <f t="shared" si="106"/>
        <v>0</v>
      </c>
      <c r="K298" s="140">
        <f t="shared" si="106"/>
        <v>1</v>
      </c>
      <c r="L298" s="140">
        <f t="shared" si="106"/>
        <v>0</v>
      </c>
      <c r="M298" s="140">
        <f t="shared" si="106"/>
        <v>0</v>
      </c>
      <c r="N298" s="140">
        <f t="shared" si="106"/>
        <v>0</v>
      </c>
      <c r="O298" s="140">
        <f t="shared" si="106"/>
        <v>0</v>
      </c>
      <c r="P298" s="140">
        <f t="shared" si="106"/>
        <v>1</v>
      </c>
      <c r="Q298" s="140">
        <f t="shared" si="106"/>
        <v>1</v>
      </c>
      <c r="R298" s="140">
        <f t="shared" si="106"/>
        <v>0</v>
      </c>
      <c r="S298" s="140">
        <f t="shared" si="106"/>
        <v>0</v>
      </c>
      <c r="T298" s="140">
        <f t="shared" si="106"/>
        <v>0</v>
      </c>
      <c r="U298" s="140">
        <f t="shared" si="106"/>
        <v>0</v>
      </c>
      <c r="V298" s="140">
        <f t="shared" si="106"/>
        <v>0</v>
      </c>
      <c r="W298" s="140">
        <f t="shared" si="106"/>
        <v>0</v>
      </c>
      <c r="X298" s="140">
        <f t="shared" si="106"/>
        <v>0</v>
      </c>
      <c r="Y298" s="140">
        <f t="shared" si="106"/>
        <v>0</v>
      </c>
      <c r="AA298" s="140">
        <f t="shared" si="108"/>
        <v>1</v>
      </c>
      <c r="AB298" s="140">
        <f t="shared" si="108"/>
        <v>1</v>
      </c>
      <c r="AC298" s="140">
        <f t="shared" si="108"/>
        <v>1</v>
      </c>
      <c r="AD298" s="140">
        <f t="shared" si="108"/>
        <v>1</v>
      </c>
      <c r="AE298" s="140">
        <f t="shared" si="108"/>
        <v>1</v>
      </c>
      <c r="AF298" s="140">
        <f t="shared" si="108"/>
        <v>0</v>
      </c>
      <c r="AG298" s="140">
        <f t="shared" si="108"/>
        <v>1</v>
      </c>
      <c r="AH298" s="140">
        <f t="shared" si="108"/>
        <v>0</v>
      </c>
      <c r="AI298" s="140">
        <f t="shared" si="108"/>
        <v>0</v>
      </c>
      <c r="AJ298" s="140">
        <f t="shared" si="108"/>
        <v>1</v>
      </c>
      <c r="AK298" s="140">
        <f t="shared" si="108"/>
        <v>0</v>
      </c>
      <c r="AL298" s="140">
        <f t="shared" si="108"/>
        <v>0</v>
      </c>
      <c r="AM298" s="140">
        <f t="shared" si="108"/>
        <v>0</v>
      </c>
      <c r="AN298" s="140">
        <f t="shared" si="108"/>
        <v>0</v>
      </c>
      <c r="AO298" s="140">
        <f t="shared" si="108"/>
        <v>1</v>
      </c>
      <c r="AP298" s="140">
        <f t="shared" si="108"/>
        <v>1</v>
      </c>
      <c r="AQ298" s="140">
        <f t="shared" si="107"/>
        <v>0</v>
      </c>
      <c r="AR298" s="140">
        <f t="shared" si="107"/>
        <v>0</v>
      </c>
      <c r="AS298" s="140">
        <f t="shared" si="107"/>
        <v>0</v>
      </c>
      <c r="AT298" s="140">
        <f t="shared" si="107"/>
        <v>0</v>
      </c>
      <c r="AU298" s="140">
        <f t="shared" si="107"/>
        <v>0</v>
      </c>
      <c r="AV298" s="140">
        <f t="shared" si="107"/>
        <v>0</v>
      </c>
      <c r="AW298" s="140">
        <f t="shared" si="107"/>
        <v>0</v>
      </c>
      <c r="AX298" s="140">
        <f t="shared" si="107"/>
        <v>0</v>
      </c>
      <c r="AY298" s="140">
        <f t="shared" si="100"/>
        <v>9</v>
      </c>
      <c r="AZ298" s="22" t="s">
        <v>162</v>
      </c>
    </row>
    <row r="299" spans="1:52">
      <c r="A299" s="140" t="s">
        <v>197</v>
      </c>
      <c r="B299" s="140">
        <f t="shared" si="106"/>
        <v>0</v>
      </c>
      <c r="C299" s="140">
        <f t="shared" si="106"/>
        <v>0</v>
      </c>
      <c r="D299" s="140">
        <f t="shared" si="106"/>
        <v>0</v>
      </c>
      <c r="E299" s="140">
        <f t="shared" si="106"/>
        <v>1</v>
      </c>
      <c r="F299" s="140">
        <f t="shared" si="106"/>
        <v>1</v>
      </c>
      <c r="G299" s="140">
        <f t="shared" si="106"/>
        <v>1</v>
      </c>
      <c r="H299" s="140">
        <f t="shared" si="106"/>
        <v>0</v>
      </c>
      <c r="I299" s="140">
        <f t="shared" si="106"/>
        <v>0</v>
      </c>
      <c r="J299" s="140">
        <f t="shared" si="106"/>
        <v>0</v>
      </c>
      <c r="K299" s="140">
        <f t="shared" si="106"/>
        <v>0</v>
      </c>
      <c r="L299" s="140">
        <f t="shared" si="106"/>
        <v>0</v>
      </c>
      <c r="M299" s="140">
        <f t="shared" si="106"/>
        <v>0</v>
      </c>
      <c r="N299" s="140">
        <f t="shared" si="106"/>
        <v>1</v>
      </c>
      <c r="O299" s="140">
        <f t="shared" si="106"/>
        <v>0</v>
      </c>
      <c r="P299" s="140">
        <f t="shared" si="106"/>
        <v>1</v>
      </c>
      <c r="Q299" s="140">
        <f t="shared" si="106"/>
        <v>0</v>
      </c>
      <c r="R299" s="140">
        <f t="shared" si="106"/>
        <v>0</v>
      </c>
      <c r="S299" s="140">
        <f t="shared" si="106"/>
        <v>1</v>
      </c>
      <c r="T299" s="140">
        <f t="shared" si="106"/>
        <v>0</v>
      </c>
      <c r="U299" s="140">
        <f t="shared" si="106"/>
        <v>1</v>
      </c>
      <c r="V299" s="140">
        <f t="shared" si="106"/>
        <v>0</v>
      </c>
      <c r="W299" s="140">
        <f t="shared" si="106"/>
        <v>1</v>
      </c>
      <c r="X299" s="140">
        <f t="shared" si="106"/>
        <v>0</v>
      </c>
      <c r="Y299" s="140">
        <f>IF(IFERROR(FIND($A$268,Y35,1),0)=0,0,1)+1</f>
        <v>2</v>
      </c>
      <c r="AA299" s="140">
        <f t="shared" si="108"/>
        <v>0</v>
      </c>
      <c r="AB299" s="140">
        <f t="shared" si="108"/>
        <v>0</v>
      </c>
      <c r="AC299" s="140">
        <f t="shared" si="108"/>
        <v>0</v>
      </c>
      <c r="AD299" s="140">
        <f t="shared" si="108"/>
        <v>1</v>
      </c>
      <c r="AE299" s="140">
        <f t="shared" si="108"/>
        <v>1</v>
      </c>
      <c r="AF299" s="140">
        <f t="shared" si="108"/>
        <v>1</v>
      </c>
      <c r="AG299" s="140">
        <f t="shared" si="108"/>
        <v>0</v>
      </c>
      <c r="AH299" s="140">
        <f t="shared" si="108"/>
        <v>0</v>
      </c>
      <c r="AI299" s="140">
        <f t="shared" si="108"/>
        <v>0</v>
      </c>
      <c r="AJ299" s="140">
        <f t="shared" si="108"/>
        <v>0</v>
      </c>
      <c r="AK299" s="140">
        <f t="shared" si="108"/>
        <v>0</v>
      </c>
      <c r="AL299" s="140">
        <f t="shared" si="108"/>
        <v>0</v>
      </c>
      <c r="AM299" s="140">
        <f t="shared" si="108"/>
        <v>1</v>
      </c>
      <c r="AN299" s="140">
        <f t="shared" si="108"/>
        <v>0</v>
      </c>
      <c r="AO299" s="140">
        <f t="shared" si="108"/>
        <v>1</v>
      </c>
      <c r="AP299" s="140">
        <f t="shared" si="108"/>
        <v>0</v>
      </c>
      <c r="AQ299" s="140">
        <f t="shared" si="107"/>
        <v>0</v>
      </c>
      <c r="AR299" s="140">
        <f t="shared" si="107"/>
        <v>0.5</v>
      </c>
      <c r="AS299" s="140">
        <f t="shared" si="107"/>
        <v>0</v>
      </c>
      <c r="AT299" s="140">
        <f t="shared" si="107"/>
        <v>0.33333333333333331</v>
      </c>
      <c r="AU299" s="140">
        <f t="shared" si="107"/>
        <v>0</v>
      </c>
      <c r="AV299" s="140">
        <f t="shared" si="107"/>
        <v>0.5</v>
      </c>
      <c r="AW299" s="140">
        <f t="shared" si="107"/>
        <v>0</v>
      </c>
      <c r="AX299" s="140">
        <f>IF(Y299=0,0,Y299/AX35)</f>
        <v>2</v>
      </c>
      <c r="AY299" s="140">
        <f t="shared" si="100"/>
        <v>8.3333333333333321</v>
      </c>
      <c r="AZ299" s="22" t="s">
        <v>162</v>
      </c>
    </row>
    <row r="301" spans="1:52">
      <c r="A301" s="157" t="s">
        <v>163</v>
      </c>
    </row>
    <row r="302" spans="1:52">
      <c r="A302" s="140" t="s">
        <v>167</v>
      </c>
      <c r="B302" s="140">
        <f t="shared" ref="B302:Y312" si="109">IF(IFERROR(FIND($A$301,B5,1),0)=0,0,1)</f>
        <v>0</v>
      </c>
      <c r="C302" s="140">
        <f t="shared" si="109"/>
        <v>0</v>
      </c>
      <c r="D302" s="140">
        <f t="shared" si="109"/>
        <v>0</v>
      </c>
      <c r="E302" s="140">
        <f t="shared" si="109"/>
        <v>0</v>
      </c>
      <c r="F302" s="140">
        <f t="shared" si="109"/>
        <v>0</v>
      </c>
      <c r="G302" s="140">
        <f t="shared" si="109"/>
        <v>0</v>
      </c>
      <c r="H302" s="140">
        <f t="shared" si="109"/>
        <v>0</v>
      </c>
      <c r="I302" s="140">
        <f t="shared" si="109"/>
        <v>0</v>
      </c>
      <c r="J302" s="140">
        <f t="shared" si="109"/>
        <v>0</v>
      </c>
      <c r="K302" s="140">
        <f t="shared" si="109"/>
        <v>0</v>
      </c>
      <c r="L302" s="140">
        <f t="shared" si="109"/>
        <v>0</v>
      </c>
      <c r="M302" s="140">
        <f t="shared" si="109"/>
        <v>0</v>
      </c>
      <c r="N302" s="140">
        <f t="shared" si="109"/>
        <v>0</v>
      </c>
      <c r="O302" s="140">
        <f t="shared" si="109"/>
        <v>0</v>
      </c>
      <c r="P302" s="140">
        <f t="shared" si="109"/>
        <v>0</v>
      </c>
      <c r="Q302" s="140">
        <f t="shared" si="109"/>
        <v>0</v>
      </c>
      <c r="R302" s="140">
        <f t="shared" si="109"/>
        <v>0</v>
      </c>
      <c r="S302" s="140">
        <f t="shared" si="109"/>
        <v>0</v>
      </c>
      <c r="T302" s="140">
        <f t="shared" si="109"/>
        <v>0</v>
      </c>
      <c r="U302" s="140">
        <f t="shared" si="109"/>
        <v>0</v>
      </c>
      <c r="V302" s="140">
        <f t="shared" si="109"/>
        <v>0</v>
      </c>
      <c r="W302" s="140">
        <f t="shared" si="109"/>
        <v>0</v>
      </c>
      <c r="X302" s="140">
        <f t="shared" si="109"/>
        <v>0</v>
      </c>
      <c r="Y302" s="140">
        <f t="shared" si="109"/>
        <v>0</v>
      </c>
      <c r="AA302" s="140">
        <f t="shared" ref="AA302:AX312" si="110">IF(B302=0,0,B302/AA5)</f>
        <v>0</v>
      </c>
      <c r="AB302" s="140">
        <f t="shared" si="110"/>
        <v>0</v>
      </c>
      <c r="AC302" s="140">
        <f t="shared" si="110"/>
        <v>0</v>
      </c>
      <c r="AD302" s="140">
        <f t="shared" si="110"/>
        <v>0</v>
      </c>
      <c r="AE302" s="140">
        <f t="shared" si="110"/>
        <v>0</v>
      </c>
      <c r="AF302" s="140">
        <f t="shared" si="110"/>
        <v>0</v>
      </c>
      <c r="AG302" s="140">
        <f t="shared" si="110"/>
        <v>0</v>
      </c>
      <c r="AH302" s="140">
        <f t="shared" si="110"/>
        <v>0</v>
      </c>
      <c r="AI302" s="140">
        <f t="shared" si="110"/>
        <v>0</v>
      </c>
      <c r="AJ302" s="140">
        <f t="shared" si="110"/>
        <v>0</v>
      </c>
      <c r="AK302" s="140">
        <f t="shared" si="110"/>
        <v>0</v>
      </c>
      <c r="AL302" s="140">
        <f t="shared" si="110"/>
        <v>0</v>
      </c>
      <c r="AM302" s="140">
        <f t="shared" si="110"/>
        <v>0</v>
      </c>
      <c r="AN302" s="140">
        <f t="shared" si="110"/>
        <v>0</v>
      </c>
      <c r="AO302" s="140">
        <f t="shared" si="110"/>
        <v>0</v>
      </c>
      <c r="AP302" s="140">
        <f t="shared" si="110"/>
        <v>0</v>
      </c>
      <c r="AQ302" s="140">
        <f t="shared" si="110"/>
        <v>0</v>
      </c>
      <c r="AR302" s="140">
        <f t="shared" si="110"/>
        <v>0</v>
      </c>
      <c r="AS302" s="140">
        <f t="shared" si="110"/>
        <v>0</v>
      </c>
      <c r="AT302" s="140">
        <f t="shared" si="110"/>
        <v>0</v>
      </c>
      <c r="AU302" s="140">
        <f t="shared" si="110"/>
        <v>0</v>
      </c>
      <c r="AV302" s="140">
        <f t="shared" si="110"/>
        <v>0</v>
      </c>
      <c r="AW302" s="140">
        <f t="shared" si="110"/>
        <v>0</v>
      </c>
      <c r="AX302" s="140">
        <f t="shared" si="110"/>
        <v>0</v>
      </c>
      <c r="AY302" s="140">
        <f t="shared" ref="AY302:AY332" si="111">SUM(AA302:AX302)</f>
        <v>0</v>
      </c>
      <c r="AZ302" s="22" t="s">
        <v>163</v>
      </c>
    </row>
    <row r="303" spans="1:52">
      <c r="A303" s="140" t="s">
        <v>168</v>
      </c>
      <c r="B303" s="140">
        <f t="shared" si="109"/>
        <v>0</v>
      </c>
      <c r="C303" s="140">
        <f t="shared" si="109"/>
        <v>0</v>
      </c>
      <c r="D303" s="140">
        <f t="shared" si="109"/>
        <v>0</v>
      </c>
      <c r="E303" s="140">
        <f t="shared" si="109"/>
        <v>0</v>
      </c>
      <c r="F303" s="140">
        <f t="shared" si="109"/>
        <v>0</v>
      </c>
      <c r="G303" s="140">
        <f t="shared" si="109"/>
        <v>0</v>
      </c>
      <c r="H303" s="140">
        <f t="shared" si="109"/>
        <v>0</v>
      </c>
      <c r="I303" s="140">
        <f t="shared" si="109"/>
        <v>0</v>
      </c>
      <c r="J303" s="140">
        <f t="shared" si="109"/>
        <v>0</v>
      </c>
      <c r="K303" s="140">
        <f t="shared" si="109"/>
        <v>0</v>
      </c>
      <c r="L303" s="140">
        <f t="shared" si="109"/>
        <v>0</v>
      </c>
      <c r="M303" s="140">
        <f t="shared" si="109"/>
        <v>1</v>
      </c>
      <c r="N303" s="140">
        <f t="shared" si="109"/>
        <v>1</v>
      </c>
      <c r="O303" s="140">
        <f t="shared" si="109"/>
        <v>0</v>
      </c>
      <c r="P303" s="140">
        <f t="shared" si="109"/>
        <v>0</v>
      </c>
      <c r="Q303" s="140">
        <f t="shared" si="109"/>
        <v>0</v>
      </c>
      <c r="R303" s="140">
        <f t="shared" si="109"/>
        <v>0</v>
      </c>
      <c r="S303" s="140">
        <f t="shared" si="109"/>
        <v>1</v>
      </c>
      <c r="T303" s="140">
        <f t="shared" si="109"/>
        <v>0</v>
      </c>
      <c r="U303" s="140">
        <f t="shared" si="109"/>
        <v>0</v>
      </c>
      <c r="V303" s="140">
        <f t="shared" si="109"/>
        <v>0</v>
      </c>
      <c r="W303" s="140">
        <f t="shared" si="109"/>
        <v>0</v>
      </c>
      <c r="X303" s="140">
        <f t="shared" si="109"/>
        <v>1</v>
      </c>
      <c r="Y303" s="140">
        <f t="shared" si="109"/>
        <v>0</v>
      </c>
      <c r="AA303" s="140">
        <f t="shared" si="110"/>
        <v>0</v>
      </c>
      <c r="AB303" s="140">
        <f t="shared" si="110"/>
        <v>0</v>
      </c>
      <c r="AC303" s="140">
        <f t="shared" si="110"/>
        <v>0</v>
      </c>
      <c r="AD303" s="140">
        <f t="shared" si="110"/>
        <v>0</v>
      </c>
      <c r="AE303" s="140">
        <f t="shared" si="110"/>
        <v>0</v>
      </c>
      <c r="AF303" s="140">
        <f t="shared" si="110"/>
        <v>0</v>
      </c>
      <c r="AG303" s="140">
        <f t="shared" si="110"/>
        <v>0</v>
      </c>
      <c r="AH303" s="140">
        <f t="shared" si="110"/>
        <v>0</v>
      </c>
      <c r="AI303" s="140">
        <f t="shared" si="110"/>
        <v>0</v>
      </c>
      <c r="AJ303" s="140">
        <f t="shared" si="110"/>
        <v>0</v>
      </c>
      <c r="AK303" s="140">
        <f t="shared" si="110"/>
        <v>0</v>
      </c>
      <c r="AL303" s="140">
        <f t="shared" si="110"/>
        <v>1</v>
      </c>
      <c r="AM303" s="140">
        <f t="shared" si="110"/>
        <v>1</v>
      </c>
      <c r="AN303" s="140">
        <f t="shared" si="110"/>
        <v>0</v>
      </c>
      <c r="AO303" s="140">
        <f t="shared" si="110"/>
        <v>0</v>
      </c>
      <c r="AP303" s="140">
        <f t="shared" si="110"/>
        <v>0</v>
      </c>
      <c r="AQ303" s="140">
        <f t="shared" si="110"/>
        <v>0</v>
      </c>
      <c r="AR303" s="140">
        <f t="shared" si="110"/>
        <v>1</v>
      </c>
      <c r="AS303" s="140">
        <f t="shared" si="110"/>
        <v>0</v>
      </c>
      <c r="AT303" s="140">
        <f t="shared" si="110"/>
        <v>0</v>
      </c>
      <c r="AU303" s="140">
        <f t="shared" si="110"/>
        <v>0</v>
      </c>
      <c r="AV303" s="140">
        <f t="shared" si="110"/>
        <v>0</v>
      </c>
      <c r="AW303" s="140">
        <f t="shared" si="110"/>
        <v>1</v>
      </c>
      <c r="AX303" s="140">
        <f t="shared" si="110"/>
        <v>0</v>
      </c>
      <c r="AY303" s="140">
        <f t="shared" si="111"/>
        <v>4</v>
      </c>
      <c r="AZ303" s="22" t="s">
        <v>163</v>
      </c>
    </row>
    <row r="304" spans="1:52">
      <c r="A304" s="140" t="s">
        <v>169</v>
      </c>
      <c r="B304" s="140">
        <f t="shared" si="109"/>
        <v>0</v>
      </c>
      <c r="C304" s="140">
        <f t="shared" si="109"/>
        <v>0</v>
      </c>
      <c r="D304" s="140">
        <f t="shared" si="109"/>
        <v>1</v>
      </c>
      <c r="E304" s="140">
        <f t="shared" si="109"/>
        <v>0</v>
      </c>
      <c r="F304" s="140">
        <f t="shared" si="109"/>
        <v>1</v>
      </c>
      <c r="G304" s="140">
        <f t="shared" si="109"/>
        <v>0</v>
      </c>
      <c r="H304" s="140">
        <f t="shared" si="109"/>
        <v>0</v>
      </c>
      <c r="I304" s="140">
        <f t="shared" si="109"/>
        <v>0</v>
      </c>
      <c r="J304" s="140">
        <f t="shared" si="109"/>
        <v>0</v>
      </c>
      <c r="K304" s="140">
        <f t="shared" si="109"/>
        <v>0</v>
      </c>
      <c r="L304" s="140">
        <f t="shared" si="109"/>
        <v>0</v>
      </c>
      <c r="M304" s="140">
        <f t="shared" si="109"/>
        <v>0</v>
      </c>
      <c r="N304" s="140">
        <f t="shared" si="109"/>
        <v>0</v>
      </c>
      <c r="O304" s="140">
        <f t="shared" si="109"/>
        <v>1</v>
      </c>
      <c r="P304" s="140">
        <f t="shared" si="109"/>
        <v>0</v>
      </c>
      <c r="Q304" s="140">
        <f t="shared" si="109"/>
        <v>0</v>
      </c>
      <c r="R304" s="140">
        <f t="shared" si="109"/>
        <v>1</v>
      </c>
      <c r="S304" s="140">
        <f t="shared" si="109"/>
        <v>0</v>
      </c>
      <c r="T304" s="140">
        <f t="shared" si="109"/>
        <v>0</v>
      </c>
      <c r="U304" s="140">
        <f t="shared" si="109"/>
        <v>0</v>
      </c>
      <c r="V304" s="140">
        <f t="shared" si="109"/>
        <v>0</v>
      </c>
      <c r="W304" s="140">
        <f t="shared" si="109"/>
        <v>1</v>
      </c>
      <c r="X304" s="140">
        <f t="shared" si="109"/>
        <v>0</v>
      </c>
      <c r="Y304" s="140">
        <f t="shared" si="109"/>
        <v>0</v>
      </c>
      <c r="AA304" s="140">
        <f t="shared" si="110"/>
        <v>0</v>
      </c>
      <c r="AB304" s="140">
        <f t="shared" si="110"/>
        <v>0</v>
      </c>
      <c r="AC304" s="140">
        <f t="shared" si="110"/>
        <v>1</v>
      </c>
      <c r="AD304" s="140">
        <f t="shared" si="110"/>
        <v>0</v>
      </c>
      <c r="AE304" s="140">
        <f t="shared" si="110"/>
        <v>1</v>
      </c>
      <c r="AF304" s="140">
        <f t="shared" si="110"/>
        <v>0</v>
      </c>
      <c r="AG304" s="140">
        <f t="shared" si="110"/>
        <v>0</v>
      </c>
      <c r="AH304" s="140">
        <f t="shared" si="110"/>
        <v>0</v>
      </c>
      <c r="AI304" s="140">
        <f t="shared" si="110"/>
        <v>0</v>
      </c>
      <c r="AJ304" s="140">
        <f t="shared" si="110"/>
        <v>0</v>
      </c>
      <c r="AK304" s="140">
        <f t="shared" si="110"/>
        <v>0</v>
      </c>
      <c r="AL304" s="140">
        <f t="shared" si="110"/>
        <v>0</v>
      </c>
      <c r="AM304" s="140">
        <f t="shared" si="110"/>
        <v>0</v>
      </c>
      <c r="AN304" s="140">
        <f t="shared" si="110"/>
        <v>1</v>
      </c>
      <c r="AO304" s="140">
        <f t="shared" si="110"/>
        <v>0</v>
      </c>
      <c r="AP304" s="140">
        <f t="shared" si="110"/>
        <v>0</v>
      </c>
      <c r="AQ304" s="140">
        <f t="shared" si="110"/>
        <v>1</v>
      </c>
      <c r="AR304" s="140">
        <f t="shared" si="110"/>
        <v>0</v>
      </c>
      <c r="AS304" s="140">
        <f t="shared" si="110"/>
        <v>0</v>
      </c>
      <c r="AT304" s="140">
        <f t="shared" si="110"/>
        <v>0</v>
      </c>
      <c r="AU304" s="140">
        <f t="shared" si="110"/>
        <v>0</v>
      </c>
      <c r="AV304" s="140">
        <f t="shared" si="110"/>
        <v>1</v>
      </c>
      <c r="AW304" s="140">
        <f t="shared" si="110"/>
        <v>0</v>
      </c>
      <c r="AX304" s="140">
        <f t="shared" si="110"/>
        <v>0</v>
      </c>
      <c r="AY304" s="140">
        <f t="shared" si="111"/>
        <v>5</v>
      </c>
      <c r="AZ304" s="22" t="s">
        <v>163</v>
      </c>
    </row>
    <row r="305" spans="1:52">
      <c r="A305" s="140" t="s">
        <v>170</v>
      </c>
      <c r="B305" s="140">
        <f t="shared" si="109"/>
        <v>0</v>
      </c>
      <c r="C305" s="140">
        <f t="shared" si="109"/>
        <v>0</v>
      </c>
      <c r="D305" s="140">
        <f t="shared" si="109"/>
        <v>0</v>
      </c>
      <c r="E305" s="140">
        <f t="shared" si="109"/>
        <v>0</v>
      </c>
      <c r="F305" s="140">
        <f t="shared" si="109"/>
        <v>0</v>
      </c>
      <c r="G305" s="140">
        <f t="shared" si="109"/>
        <v>0</v>
      </c>
      <c r="H305" s="140">
        <f t="shared" si="109"/>
        <v>0</v>
      </c>
      <c r="I305" s="140">
        <f t="shared" si="109"/>
        <v>0</v>
      </c>
      <c r="J305" s="140">
        <f t="shared" si="109"/>
        <v>0</v>
      </c>
      <c r="K305" s="140">
        <f t="shared" si="109"/>
        <v>0</v>
      </c>
      <c r="L305" s="140">
        <f t="shared" si="109"/>
        <v>0</v>
      </c>
      <c r="M305" s="140">
        <f t="shared" si="109"/>
        <v>0</v>
      </c>
      <c r="N305" s="140">
        <f t="shared" si="109"/>
        <v>0</v>
      </c>
      <c r="O305" s="140">
        <f t="shared" si="109"/>
        <v>0</v>
      </c>
      <c r="P305" s="140">
        <f t="shared" si="109"/>
        <v>1</v>
      </c>
      <c r="Q305" s="140">
        <f t="shared" si="109"/>
        <v>0</v>
      </c>
      <c r="R305" s="140">
        <f t="shared" si="109"/>
        <v>0</v>
      </c>
      <c r="S305" s="140">
        <f t="shared" si="109"/>
        <v>0</v>
      </c>
      <c r="T305" s="140">
        <f t="shared" si="109"/>
        <v>0</v>
      </c>
      <c r="U305" s="140">
        <f t="shared" si="109"/>
        <v>0</v>
      </c>
      <c r="V305" s="140">
        <f t="shared" si="109"/>
        <v>0</v>
      </c>
      <c r="W305" s="140">
        <f t="shared" si="109"/>
        <v>0</v>
      </c>
      <c r="X305" s="140">
        <f t="shared" si="109"/>
        <v>1</v>
      </c>
      <c r="Y305" s="140">
        <f t="shared" si="109"/>
        <v>0</v>
      </c>
      <c r="AA305" s="140">
        <f t="shared" si="110"/>
        <v>0</v>
      </c>
      <c r="AB305" s="140">
        <f t="shared" si="110"/>
        <v>0</v>
      </c>
      <c r="AC305" s="140">
        <f t="shared" si="110"/>
        <v>0</v>
      </c>
      <c r="AD305" s="140">
        <f t="shared" si="110"/>
        <v>0</v>
      </c>
      <c r="AE305" s="140">
        <f t="shared" si="110"/>
        <v>0</v>
      </c>
      <c r="AF305" s="140">
        <f t="shared" si="110"/>
        <v>0</v>
      </c>
      <c r="AG305" s="140">
        <f t="shared" si="110"/>
        <v>0</v>
      </c>
      <c r="AH305" s="140">
        <f t="shared" si="110"/>
        <v>0</v>
      </c>
      <c r="AI305" s="140">
        <f t="shared" si="110"/>
        <v>0</v>
      </c>
      <c r="AJ305" s="140">
        <f t="shared" si="110"/>
        <v>0</v>
      </c>
      <c r="AK305" s="140">
        <f t="shared" si="110"/>
        <v>0</v>
      </c>
      <c r="AL305" s="140">
        <f t="shared" si="110"/>
        <v>0</v>
      </c>
      <c r="AM305" s="140">
        <f t="shared" si="110"/>
        <v>0</v>
      </c>
      <c r="AN305" s="140">
        <f t="shared" si="110"/>
        <v>0</v>
      </c>
      <c r="AO305" s="140">
        <f t="shared" si="110"/>
        <v>1</v>
      </c>
      <c r="AP305" s="140">
        <f t="shared" si="110"/>
        <v>0</v>
      </c>
      <c r="AQ305" s="140">
        <f t="shared" si="110"/>
        <v>0</v>
      </c>
      <c r="AR305" s="140">
        <f t="shared" si="110"/>
        <v>0</v>
      </c>
      <c r="AS305" s="140">
        <f t="shared" si="110"/>
        <v>0</v>
      </c>
      <c r="AT305" s="140">
        <f t="shared" si="110"/>
        <v>0</v>
      </c>
      <c r="AU305" s="140">
        <f t="shared" si="110"/>
        <v>0</v>
      </c>
      <c r="AV305" s="140">
        <f t="shared" si="110"/>
        <v>0</v>
      </c>
      <c r="AW305" s="140">
        <f t="shared" si="110"/>
        <v>1</v>
      </c>
      <c r="AX305" s="140">
        <f t="shared" si="110"/>
        <v>0</v>
      </c>
      <c r="AY305" s="140">
        <f t="shared" si="111"/>
        <v>2</v>
      </c>
      <c r="AZ305" s="22" t="s">
        <v>163</v>
      </c>
    </row>
    <row r="306" spans="1:52">
      <c r="A306" s="140" t="s">
        <v>171</v>
      </c>
      <c r="B306" s="140">
        <f t="shared" si="109"/>
        <v>0</v>
      </c>
      <c r="C306" s="140">
        <f t="shared" si="109"/>
        <v>1</v>
      </c>
      <c r="D306" s="140">
        <f t="shared" si="109"/>
        <v>0</v>
      </c>
      <c r="E306" s="140">
        <f t="shared" si="109"/>
        <v>0</v>
      </c>
      <c r="F306" s="140">
        <f t="shared" si="109"/>
        <v>0</v>
      </c>
      <c r="G306" s="140">
        <f t="shared" si="109"/>
        <v>0</v>
      </c>
      <c r="H306" s="140">
        <f t="shared" si="109"/>
        <v>0</v>
      </c>
      <c r="I306" s="140">
        <f t="shared" si="109"/>
        <v>0</v>
      </c>
      <c r="J306" s="140">
        <f t="shared" si="109"/>
        <v>1</v>
      </c>
      <c r="K306" s="140">
        <f t="shared" si="109"/>
        <v>0</v>
      </c>
      <c r="L306" s="140">
        <f t="shared" si="109"/>
        <v>0</v>
      </c>
      <c r="M306" s="140">
        <f t="shared" si="109"/>
        <v>0</v>
      </c>
      <c r="N306" s="140">
        <f t="shared" si="109"/>
        <v>0</v>
      </c>
      <c r="O306" s="140">
        <f t="shared" si="109"/>
        <v>0</v>
      </c>
      <c r="P306" s="140">
        <f t="shared" si="109"/>
        <v>0</v>
      </c>
      <c r="Q306" s="140">
        <f t="shared" si="109"/>
        <v>1</v>
      </c>
      <c r="R306" s="140">
        <f t="shared" si="109"/>
        <v>0</v>
      </c>
      <c r="S306" s="140">
        <f t="shared" si="109"/>
        <v>1</v>
      </c>
      <c r="T306" s="140">
        <f t="shared" si="109"/>
        <v>0</v>
      </c>
      <c r="U306" s="140">
        <f t="shared" si="109"/>
        <v>0</v>
      </c>
      <c r="V306" s="140">
        <f t="shared" si="109"/>
        <v>0</v>
      </c>
      <c r="W306" s="140">
        <f t="shared" si="109"/>
        <v>0</v>
      </c>
      <c r="X306" s="140">
        <f t="shared" si="109"/>
        <v>0</v>
      </c>
      <c r="Y306" s="140">
        <f t="shared" si="109"/>
        <v>1</v>
      </c>
      <c r="AA306" s="140">
        <f t="shared" si="110"/>
        <v>0</v>
      </c>
      <c r="AB306" s="140">
        <f t="shared" si="110"/>
        <v>0.5</v>
      </c>
      <c r="AC306" s="140">
        <f t="shared" si="110"/>
        <v>0</v>
      </c>
      <c r="AD306" s="140">
        <f t="shared" si="110"/>
        <v>0</v>
      </c>
      <c r="AE306" s="140">
        <f t="shared" si="110"/>
        <v>0</v>
      </c>
      <c r="AF306" s="140">
        <f t="shared" si="110"/>
        <v>0</v>
      </c>
      <c r="AG306" s="140">
        <f t="shared" si="110"/>
        <v>0</v>
      </c>
      <c r="AH306" s="140">
        <f t="shared" si="110"/>
        <v>0</v>
      </c>
      <c r="AI306" s="140">
        <f t="shared" si="110"/>
        <v>1</v>
      </c>
      <c r="AJ306" s="140">
        <f t="shared" si="110"/>
        <v>0</v>
      </c>
      <c r="AK306" s="140">
        <f t="shared" si="110"/>
        <v>0</v>
      </c>
      <c r="AL306" s="140">
        <f t="shared" si="110"/>
        <v>0</v>
      </c>
      <c r="AM306" s="140">
        <f t="shared" si="110"/>
        <v>0</v>
      </c>
      <c r="AN306" s="140">
        <f t="shared" si="110"/>
        <v>0</v>
      </c>
      <c r="AO306" s="140">
        <f t="shared" si="110"/>
        <v>0</v>
      </c>
      <c r="AP306" s="140">
        <f t="shared" si="110"/>
        <v>0.5</v>
      </c>
      <c r="AQ306" s="140">
        <f t="shared" si="110"/>
        <v>0</v>
      </c>
      <c r="AR306" s="140">
        <f t="shared" si="110"/>
        <v>1</v>
      </c>
      <c r="AS306" s="140">
        <f t="shared" si="110"/>
        <v>0</v>
      </c>
      <c r="AT306" s="140">
        <f t="shared" si="110"/>
        <v>0</v>
      </c>
      <c r="AU306" s="140">
        <f t="shared" si="110"/>
        <v>0</v>
      </c>
      <c r="AV306" s="140">
        <f t="shared" si="110"/>
        <v>0</v>
      </c>
      <c r="AW306" s="140">
        <f t="shared" si="110"/>
        <v>0</v>
      </c>
      <c r="AX306" s="140">
        <f t="shared" si="110"/>
        <v>0.5</v>
      </c>
      <c r="AY306" s="140">
        <f t="shared" si="111"/>
        <v>3.5</v>
      </c>
      <c r="AZ306" s="22" t="s">
        <v>163</v>
      </c>
    </row>
    <row r="307" spans="1:52">
      <c r="A307" s="140" t="s">
        <v>172</v>
      </c>
      <c r="B307" s="140">
        <f t="shared" si="109"/>
        <v>0</v>
      </c>
      <c r="C307" s="140">
        <f t="shared" si="109"/>
        <v>1</v>
      </c>
      <c r="D307" s="140">
        <f t="shared" si="109"/>
        <v>0</v>
      </c>
      <c r="E307" s="140">
        <f t="shared" si="109"/>
        <v>0</v>
      </c>
      <c r="F307" s="140">
        <f t="shared" si="109"/>
        <v>0</v>
      </c>
      <c r="G307" s="140">
        <f t="shared" si="109"/>
        <v>1</v>
      </c>
      <c r="H307" s="140">
        <f t="shared" si="109"/>
        <v>1</v>
      </c>
      <c r="I307" s="140">
        <f t="shared" si="109"/>
        <v>0</v>
      </c>
      <c r="J307" s="140">
        <f t="shared" si="109"/>
        <v>0</v>
      </c>
      <c r="K307" s="140">
        <f t="shared" si="109"/>
        <v>0</v>
      </c>
      <c r="L307" s="140">
        <f t="shared" si="109"/>
        <v>1</v>
      </c>
      <c r="M307" s="140">
        <f t="shared" si="109"/>
        <v>0</v>
      </c>
      <c r="N307" s="140">
        <f t="shared" si="109"/>
        <v>0</v>
      </c>
      <c r="O307" s="140">
        <f t="shared" si="109"/>
        <v>0</v>
      </c>
      <c r="P307" s="140">
        <f t="shared" si="109"/>
        <v>0</v>
      </c>
      <c r="Q307" s="140">
        <f t="shared" si="109"/>
        <v>0</v>
      </c>
      <c r="R307" s="140">
        <f t="shared" si="109"/>
        <v>0</v>
      </c>
      <c r="S307" s="140">
        <f t="shared" si="109"/>
        <v>1</v>
      </c>
      <c r="T307" s="140">
        <f t="shared" si="109"/>
        <v>0</v>
      </c>
      <c r="U307" s="140">
        <f t="shared" si="109"/>
        <v>0</v>
      </c>
      <c r="V307" s="140">
        <f t="shared" si="109"/>
        <v>0</v>
      </c>
      <c r="W307" s="140">
        <f t="shared" si="109"/>
        <v>0</v>
      </c>
      <c r="X307" s="140">
        <f t="shared" si="109"/>
        <v>0</v>
      </c>
      <c r="Y307" s="140">
        <f t="shared" si="109"/>
        <v>0</v>
      </c>
      <c r="AA307" s="140">
        <f t="shared" si="110"/>
        <v>0</v>
      </c>
      <c r="AB307" s="140">
        <f t="shared" si="110"/>
        <v>1</v>
      </c>
      <c r="AC307" s="140">
        <f t="shared" si="110"/>
        <v>0</v>
      </c>
      <c r="AD307" s="140">
        <f t="shared" si="110"/>
        <v>0</v>
      </c>
      <c r="AE307" s="140">
        <f t="shared" si="110"/>
        <v>0</v>
      </c>
      <c r="AF307" s="140">
        <f t="shared" si="110"/>
        <v>1</v>
      </c>
      <c r="AG307" s="140">
        <f t="shared" si="110"/>
        <v>1</v>
      </c>
      <c r="AH307" s="140">
        <f t="shared" si="110"/>
        <v>0</v>
      </c>
      <c r="AI307" s="140">
        <f t="shared" si="110"/>
        <v>0</v>
      </c>
      <c r="AJ307" s="140">
        <f t="shared" si="110"/>
        <v>0</v>
      </c>
      <c r="AK307" s="140">
        <f t="shared" si="110"/>
        <v>1</v>
      </c>
      <c r="AL307" s="140">
        <f t="shared" si="110"/>
        <v>0</v>
      </c>
      <c r="AM307" s="140">
        <f t="shared" si="110"/>
        <v>0</v>
      </c>
      <c r="AN307" s="140">
        <f t="shared" si="110"/>
        <v>0</v>
      </c>
      <c r="AO307" s="140">
        <f t="shared" si="110"/>
        <v>0</v>
      </c>
      <c r="AP307" s="140">
        <f t="shared" si="110"/>
        <v>0</v>
      </c>
      <c r="AQ307" s="140">
        <f t="shared" si="110"/>
        <v>0</v>
      </c>
      <c r="AR307" s="140">
        <f t="shared" si="110"/>
        <v>1</v>
      </c>
      <c r="AS307" s="140">
        <f t="shared" si="110"/>
        <v>0</v>
      </c>
      <c r="AT307" s="140">
        <f t="shared" si="110"/>
        <v>0</v>
      </c>
      <c r="AU307" s="140">
        <f t="shared" si="110"/>
        <v>0</v>
      </c>
      <c r="AV307" s="140">
        <f t="shared" si="110"/>
        <v>0</v>
      </c>
      <c r="AW307" s="140">
        <f t="shared" si="110"/>
        <v>0</v>
      </c>
      <c r="AX307" s="140">
        <f t="shared" si="110"/>
        <v>0</v>
      </c>
      <c r="AY307" s="140">
        <f t="shared" si="111"/>
        <v>5</v>
      </c>
      <c r="AZ307" s="22" t="s">
        <v>163</v>
      </c>
    </row>
    <row r="308" spans="1:52">
      <c r="A308" s="140" t="s">
        <v>173</v>
      </c>
      <c r="B308" s="140">
        <f t="shared" si="109"/>
        <v>0</v>
      </c>
      <c r="C308" s="140">
        <f t="shared" si="109"/>
        <v>0</v>
      </c>
      <c r="D308" s="140">
        <f t="shared" si="109"/>
        <v>0</v>
      </c>
      <c r="E308" s="140">
        <f t="shared" si="109"/>
        <v>0</v>
      </c>
      <c r="F308" s="140">
        <f t="shared" si="109"/>
        <v>0</v>
      </c>
      <c r="G308" s="140">
        <f t="shared" si="109"/>
        <v>0</v>
      </c>
      <c r="H308" s="140">
        <f t="shared" si="109"/>
        <v>0</v>
      </c>
      <c r="I308" s="140">
        <f t="shared" si="109"/>
        <v>0</v>
      </c>
      <c r="J308" s="140">
        <f t="shared" si="109"/>
        <v>0</v>
      </c>
      <c r="K308" s="140">
        <f>IF(IFERROR(FIND($A$301,#REF!,1),0)=0,0,1)</f>
        <v>0</v>
      </c>
      <c r="L308" s="140">
        <f t="shared" si="109"/>
        <v>0</v>
      </c>
      <c r="M308" s="140">
        <f t="shared" si="109"/>
        <v>0</v>
      </c>
      <c r="N308" s="140">
        <f t="shared" si="109"/>
        <v>0</v>
      </c>
      <c r="O308" s="140">
        <f t="shared" si="109"/>
        <v>1</v>
      </c>
      <c r="P308" s="140">
        <f t="shared" si="109"/>
        <v>0</v>
      </c>
      <c r="Q308" s="140">
        <f t="shared" si="109"/>
        <v>0</v>
      </c>
      <c r="R308" s="140">
        <f t="shared" si="109"/>
        <v>0</v>
      </c>
      <c r="S308" s="140">
        <f t="shared" si="109"/>
        <v>0</v>
      </c>
      <c r="T308" s="140">
        <f t="shared" si="109"/>
        <v>0</v>
      </c>
      <c r="U308" s="140">
        <f t="shared" si="109"/>
        <v>0</v>
      </c>
      <c r="V308" s="140">
        <f t="shared" si="109"/>
        <v>0</v>
      </c>
      <c r="W308" s="140">
        <f t="shared" si="109"/>
        <v>0</v>
      </c>
      <c r="X308" s="140">
        <f t="shared" si="109"/>
        <v>0</v>
      </c>
      <c r="Y308" s="140">
        <f t="shared" si="109"/>
        <v>1</v>
      </c>
      <c r="AA308" s="140">
        <f t="shared" si="110"/>
        <v>0</v>
      </c>
      <c r="AB308" s="140">
        <f t="shared" si="110"/>
        <v>0</v>
      </c>
      <c r="AC308" s="140">
        <f t="shared" si="110"/>
        <v>0</v>
      </c>
      <c r="AD308" s="140">
        <f t="shared" si="110"/>
        <v>0</v>
      </c>
      <c r="AE308" s="140">
        <f t="shared" si="110"/>
        <v>0</v>
      </c>
      <c r="AF308" s="140">
        <f t="shared" si="110"/>
        <v>0</v>
      </c>
      <c r="AG308" s="140">
        <f t="shared" si="110"/>
        <v>0</v>
      </c>
      <c r="AH308" s="140">
        <f t="shared" si="110"/>
        <v>0</v>
      </c>
      <c r="AI308" s="140">
        <f t="shared" si="110"/>
        <v>0</v>
      </c>
      <c r="AJ308" s="140">
        <f t="shared" si="110"/>
        <v>0</v>
      </c>
      <c r="AK308" s="140">
        <f t="shared" si="110"/>
        <v>0</v>
      </c>
      <c r="AL308" s="140">
        <f t="shared" si="110"/>
        <v>0</v>
      </c>
      <c r="AM308" s="140">
        <f t="shared" si="110"/>
        <v>0</v>
      </c>
      <c r="AN308" s="140">
        <f t="shared" si="110"/>
        <v>1</v>
      </c>
      <c r="AO308" s="140">
        <f t="shared" si="110"/>
        <v>0</v>
      </c>
      <c r="AP308" s="140">
        <f t="shared" si="110"/>
        <v>0</v>
      </c>
      <c r="AQ308" s="140">
        <f t="shared" si="110"/>
        <v>0</v>
      </c>
      <c r="AR308" s="140">
        <f t="shared" si="110"/>
        <v>0</v>
      </c>
      <c r="AS308" s="140">
        <f t="shared" si="110"/>
        <v>0</v>
      </c>
      <c r="AT308" s="140">
        <f t="shared" si="110"/>
        <v>0</v>
      </c>
      <c r="AU308" s="140">
        <f t="shared" si="110"/>
        <v>0</v>
      </c>
      <c r="AV308" s="140">
        <f t="shared" si="110"/>
        <v>0</v>
      </c>
      <c r="AW308" s="140">
        <f t="shared" si="110"/>
        <v>0</v>
      </c>
      <c r="AX308" s="140">
        <f t="shared" si="110"/>
        <v>1</v>
      </c>
      <c r="AY308" s="140">
        <f t="shared" si="111"/>
        <v>2</v>
      </c>
      <c r="AZ308" s="22" t="s">
        <v>163</v>
      </c>
    </row>
    <row r="309" spans="1:52">
      <c r="A309" s="140" t="s">
        <v>174</v>
      </c>
      <c r="B309" s="140">
        <f t="shared" si="109"/>
        <v>0</v>
      </c>
      <c r="C309" s="140">
        <f t="shared" si="109"/>
        <v>0</v>
      </c>
      <c r="D309" s="140">
        <f t="shared" si="109"/>
        <v>0</v>
      </c>
      <c r="E309" s="140">
        <f t="shared" si="109"/>
        <v>0</v>
      </c>
      <c r="F309" s="140">
        <f t="shared" si="109"/>
        <v>0</v>
      </c>
      <c r="G309" s="140">
        <f t="shared" si="109"/>
        <v>0</v>
      </c>
      <c r="H309" s="140">
        <f t="shared" si="109"/>
        <v>1</v>
      </c>
      <c r="I309" s="140">
        <f t="shared" si="109"/>
        <v>0</v>
      </c>
      <c r="J309" s="140">
        <f t="shared" si="109"/>
        <v>0</v>
      </c>
      <c r="K309" s="140">
        <f t="shared" si="109"/>
        <v>0</v>
      </c>
      <c r="L309" s="140">
        <f t="shared" si="109"/>
        <v>0</v>
      </c>
      <c r="M309" s="140">
        <f t="shared" si="109"/>
        <v>0</v>
      </c>
      <c r="N309" s="140">
        <f t="shared" si="109"/>
        <v>0</v>
      </c>
      <c r="O309" s="140">
        <f t="shared" si="109"/>
        <v>0</v>
      </c>
      <c r="P309" s="140">
        <f t="shared" si="109"/>
        <v>0</v>
      </c>
      <c r="Q309" s="140">
        <f t="shared" si="109"/>
        <v>0</v>
      </c>
      <c r="R309" s="140">
        <f t="shared" si="109"/>
        <v>0</v>
      </c>
      <c r="S309" s="140">
        <f t="shared" si="109"/>
        <v>0</v>
      </c>
      <c r="T309" s="140">
        <f t="shared" si="109"/>
        <v>0</v>
      </c>
      <c r="U309" s="140">
        <f t="shared" si="109"/>
        <v>0</v>
      </c>
      <c r="V309" s="140">
        <f t="shared" si="109"/>
        <v>0</v>
      </c>
      <c r="W309" s="140">
        <f t="shared" si="109"/>
        <v>0</v>
      </c>
      <c r="X309" s="140">
        <f t="shared" si="109"/>
        <v>0</v>
      </c>
      <c r="Y309" s="140">
        <f t="shared" si="109"/>
        <v>0</v>
      </c>
      <c r="AA309" s="140">
        <f t="shared" si="110"/>
        <v>0</v>
      </c>
      <c r="AB309" s="140">
        <f t="shared" si="110"/>
        <v>0</v>
      </c>
      <c r="AC309" s="140">
        <f t="shared" si="110"/>
        <v>0</v>
      </c>
      <c r="AD309" s="140">
        <f t="shared" si="110"/>
        <v>0</v>
      </c>
      <c r="AE309" s="140">
        <f t="shared" si="110"/>
        <v>0</v>
      </c>
      <c r="AF309" s="140">
        <f t="shared" si="110"/>
        <v>0</v>
      </c>
      <c r="AG309" s="140">
        <f t="shared" si="110"/>
        <v>1</v>
      </c>
      <c r="AH309" s="140">
        <f t="shared" si="110"/>
        <v>0</v>
      </c>
      <c r="AI309" s="140">
        <f t="shared" si="110"/>
        <v>0</v>
      </c>
      <c r="AJ309" s="140">
        <f t="shared" si="110"/>
        <v>0</v>
      </c>
      <c r="AK309" s="140">
        <f t="shared" si="110"/>
        <v>0</v>
      </c>
      <c r="AL309" s="140">
        <f t="shared" si="110"/>
        <v>0</v>
      </c>
      <c r="AM309" s="140">
        <f t="shared" si="110"/>
        <v>0</v>
      </c>
      <c r="AN309" s="140">
        <f t="shared" si="110"/>
        <v>0</v>
      </c>
      <c r="AO309" s="140">
        <f t="shared" si="110"/>
        <v>0</v>
      </c>
      <c r="AP309" s="140">
        <f t="shared" si="110"/>
        <v>0</v>
      </c>
      <c r="AQ309" s="140">
        <f t="shared" si="110"/>
        <v>0</v>
      </c>
      <c r="AR309" s="140">
        <f t="shared" si="110"/>
        <v>0</v>
      </c>
      <c r="AS309" s="140">
        <f t="shared" si="110"/>
        <v>0</v>
      </c>
      <c r="AT309" s="140">
        <f t="shared" si="110"/>
        <v>0</v>
      </c>
      <c r="AU309" s="140">
        <f t="shared" si="110"/>
        <v>0</v>
      </c>
      <c r="AV309" s="140">
        <f t="shared" si="110"/>
        <v>0</v>
      </c>
      <c r="AW309" s="140">
        <f t="shared" si="110"/>
        <v>0</v>
      </c>
      <c r="AX309" s="140">
        <f t="shared" si="110"/>
        <v>0</v>
      </c>
      <c r="AY309" s="140">
        <f t="shared" si="111"/>
        <v>1</v>
      </c>
      <c r="AZ309" s="22" t="s">
        <v>163</v>
      </c>
    </row>
    <row r="310" spans="1:52">
      <c r="A310" s="140" t="s">
        <v>175</v>
      </c>
      <c r="B310" s="140">
        <f t="shared" si="109"/>
        <v>0</v>
      </c>
      <c r="C310" s="140">
        <f t="shared" si="109"/>
        <v>0</v>
      </c>
      <c r="D310" s="140">
        <f t="shared" si="109"/>
        <v>0</v>
      </c>
      <c r="E310" s="140">
        <f t="shared" si="109"/>
        <v>0</v>
      </c>
      <c r="F310" s="140">
        <f t="shared" si="109"/>
        <v>0</v>
      </c>
      <c r="G310" s="140">
        <f t="shared" si="109"/>
        <v>0</v>
      </c>
      <c r="H310" s="140">
        <f t="shared" si="109"/>
        <v>0</v>
      </c>
      <c r="I310" s="140">
        <f t="shared" si="109"/>
        <v>0</v>
      </c>
      <c r="J310" s="140">
        <f>IF(IFERROR(FIND($A$301,K11,1),0)=0,0,1)</f>
        <v>0</v>
      </c>
      <c r="K310" s="140">
        <f t="shared" si="109"/>
        <v>0</v>
      </c>
      <c r="L310" s="140">
        <f t="shared" si="109"/>
        <v>0</v>
      </c>
      <c r="M310" s="140">
        <f t="shared" si="109"/>
        <v>0</v>
      </c>
      <c r="N310" s="140">
        <f t="shared" si="109"/>
        <v>0</v>
      </c>
      <c r="O310" s="140">
        <f t="shared" si="109"/>
        <v>0</v>
      </c>
      <c r="P310" s="140">
        <f t="shared" si="109"/>
        <v>0</v>
      </c>
      <c r="Q310" s="140">
        <f t="shared" si="109"/>
        <v>0</v>
      </c>
      <c r="R310" s="140">
        <f t="shared" si="109"/>
        <v>0</v>
      </c>
      <c r="S310" s="140">
        <f t="shared" si="109"/>
        <v>0</v>
      </c>
      <c r="T310" s="140">
        <f t="shared" si="109"/>
        <v>0</v>
      </c>
      <c r="U310" s="140">
        <f t="shared" si="109"/>
        <v>0</v>
      </c>
      <c r="V310" s="140">
        <f t="shared" si="109"/>
        <v>0</v>
      </c>
      <c r="W310" s="140">
        <f t="shared" si="109"/>
        <v>0</v>
      </c>
      <c r="X310" s="140">
        <f t="shared" si="109"/>
        <v>0</v>
      </c>
      <c r="Y310" s="140">
        <f t="shared" si="109"/>
        <v>0</v>
      </c>
      <c r="AA310" s="140">
        <f t="shared" si="110"/>
        <v>0</v>
      </c>
      <c r="AB310" s="140">
        <f t="shared" si="110"/>
        <v>0</v>
      </c>
      <c r="AC310" s="140">
        <f t="shared" si="110"/>
        <v>0</v>
      </c>
      <c r="AD310" s="140">
        <f t="shared" si="110"/>
        <v>0</v>
      </c>
      <c r="AE310" s="140">
        <f t="shared" si="110"/>
        <v>0</v>
      </c>
      <c r="AF310" s="140">
        <f t="shared" si="110"/>
        <v>0</v>
      </c>
      <c r="AG310" s="140">
        <f t="shared" si="110"/>
        <v>0</v>
      </c>
      <c r="AH310" s="140">
        <f t="shared" si="110"/>
        <v>0</v>
      </c>
      <c r="AI310" s="140">
        <f t="shared" si="110"/>
        <v>0</v>
      </c>
      <c r="AJ310" s="140">
        <f t="shared" si="110"/>
        <v>0</v>
      </c>
      <c r="AK310" s="140">
        <f t="shared" si="110"/>
        <v>0</v>
      </c>
      <c r="AL310" s="140">
        <f t="shared" si="110"/>
        <v>0</v>
      </c>
      <c r="AM310" s="140">
        <f t="shared" si="110"/>
        <v>0</v>
      </c>
      <c r="AN310" s="140">
        <f t="shared" si="110"/>
        <v>0</v>
      </c>
      <c r="AO310" s="140">
        <f t="shared" si="110"/>
        <v>0</v>
      </c>
      <c r="AP310" s="140">
        <f t="shared" si="110"/>
        <v>0</v>
      </c>
      <c r="AQ310" s="140">
        <f t="shared" si="110"/>
        <v>0</v>
      </c>
      <c r="AR310" s="140">
        <f t="shared" si="110"/>
        <v>0</v>
      </c>
      <c r="AS310" s="140">
        <f t="shared" si="110"/>
        <v>0</v>
      </c>
      <c r="AT310" s="140">
        <f t="shared" si="110"/>
        <v>0</v>
      </c>
      <c r="AU310" s="140">
        <f t="shared" si="110"/>
        <v>0</v>
      </c>
      <c r="AV310" s="140">
        <f t="shared" si="110"/>
        <v>0</v>
      </c>
      <c r="AW310" s="140">
        <f t="shared" si="110"/>
        <v>0</v>
      </c>
      <c r="AX310" s="140">
        <f t="shared" si="110"/>
        <v>0</v>
      </c>
      <c r="AY310" s="140">
        <f t="shared" si="111"/>
        <v>0</v>
      </c>
      <c r="AZ310" s="22" t="s">
        <v>163</v>
      </c>
    </row>
    <row r="311" spans="1:52">
      <c r="A311" s="140" t="s">
        <v>176</v>
      </c>
      <c r="B311" s="140">
        <f t="shared" si="109"/>
        <v>0</v>
      </c>
      <c r="C311" s="140">
        <f t="shared" si="109"/>
        <v>0</v>
      </c>
      <c r="D311" s="140">
        <f t="shared" si="109"/>
        <v>0</v>
      </c>
      <c r="E311" s="140">
        <f t="shared" si="109"/>
        <v>0</v>
      </c>
      <c r="F311" s="140">
        <f t="shared" si="109"/>
        <v>0</v>
      </c>
      <c r="G311" s="140">
        <f t="shared" si="109"/>
        <v>0</v>
      </c>
      <c r="H311" s="140">
        <f t="shared" si="109"/>
        <v>0</v>
      </c>
      <c r="I311" s="140">
        <f t="shared" si="109"/>
        <v>0</v>
      </c>
      <c r="J311" s="140">
        <f t="shared" si="109"/>
        <v>1</v>
      </c>
      <c r="K311" s="140">
        <f t="shared" si="109"/>
        <v>0</v>
      </c>
      <c r="L311" s="140">
        <f t="shared" si="109"/>
        <v>0</v>
      </c>
      <c r="M311" s="140">
        <f t="shared" si="109"/>
        <v>0</v>
      </c>
      <c r="N311" s="140">
        <f t="shared" si="109"/>
        <v>1</v>
      </c>
      <c r="O311" s="140">
        <f t="shared" si="109"/>
        <v>0</v>
      </c>
      <c r="P311" s="140">
        <f t="shared" si="109"/>
        <v>1</v>
      </c>
      <c r="Q311" s="140">
        <f t="shared" si="109"/>
        <v>0</v>
      </c>
      <c r="R311" s="140">
        <f t="shared" si="109"/>
        <v>0</v>
      </c>
      <c r="S311" s="140">
        <f t="shared" si="109"/>
        <v>0</v>
      </c>
      <c r="T311" s="140">
        <f t="shared" si="109"/>
        <v>1</v>
      </c>
      <c r="U311" s="140">
        <f t="shared" si="109"/>
        <v>0</v>
      </c>
      <c r="V311" s="140">
        <f t="shared" si="109"/>
        <v>0</v>
      </c>
      <c r="W311" s="140">
        <f t="shared" si="109"/>
        <v>0</v>
      </c>
      <c r="X311" s="140">
        <f t="shared" si="109"/>
        <v>1</v>
      </c>
      <c r="Y311" s="140">
        <f t="shared" si="109"/>
        <v>1</v>
      </c>
      <c r="AA311" s="140">
        <f t="shared" si="110"/>
        <v>0</v>
      </c>
      <c r="AB311" s="140">
        <f t="shared" si="110"/>
        <v>0</v>
      </c>
      <c r="AC311" s="140">
        <f t="shared" si="110"/>
        <v>0</v>
      </c>
      <c r="AD311" s="140">
        <f t="shared" si="110"/>
        <v>0</v>
      </c>
      <c r="AE311" s="140">
        <f t="shared" si="110"/>
        <v>0</v>
      </c>
      <c r="AF311" s="140">
        <f t="shared" si="110"/>
        <v>0</v>
      </c>
      <c r="AG311" s="140">
        <f t="shared" si="110"/>
        <v>0</v>
      </c>
      <c r="AH311" s="140">
        <f t="shared" si="110"/>
        <v>0</v>
      </c>
      <c r="AI311" s="140">
        <f t="shared" si="110"/>
        <v>1</v>
      </c>
      <c r="AJ311" s="140">
        <f t="shared" si="110"/>
        <v>0</v>
      </c>
      <c r="AK311" s="140">
        <f t="shared" si="110"/>
        <v>0</v>
      </c>
      <c r="AL311" s="140">
        <f t="shared" si="110"/>
        <v>0</v>
      </c>
      <c r="AM311" s="140">
        <f t="shared" si="110"/>
        <v>1</v>
      </c>
      <c r="AN311" s="140">
        <f t="shared" si="110"/>
        <v>0</v>
      </c>
      <c r="AO311" s="140">
        <f t="shared" si="110"/>
        <v>1</v>
      </c>
      <c r="AP311" s="140">
        <f t="shared" si="110"/>
        <v>0</v>
      </c>
      <c r="AQ311" s="140">
        <f t="shared" si="110"/>
        <v>0</v>
      </c>
      <c r="AR311" s="140">
        <f t="shared" si="110"/>
        <v>0</v>
      </c>
      <c r="AS311" s="140">
        <f t="shared" si="110"/>
        <v>1</v>
      </c>
      <c r="AT311" s="140">
        <f t="shared" si="110"/>
        <v>0</v>
      </c>
      <c r="AU311" s="140">
        <f t="shared" si="110"/>
        <v>0</v>
      </c>
      <c r="AV311" s="140">
        <f t="shared" si="110"/>
        <v>0</v>
      </c>
      <c r="AW311" s="140">
        <f t="shared" si="110"/>
        <v>1</v>
      </c>
      <c r="AX311" s="140">
        <f t="shared" si="110"/>
        <v>1</v>
      </c>
      <c r="AY311" s="140">
        <f t="shared" si="111"/>
        <v>6</v>
      </c>
      <c r="AZ311" s="22" t="s">
        <v>163</v>
      </c>
    </row>
    <row r="312" spans="1:52">
      <c r="A312" s="140" t="s">
        <v>177</v>
      </c>
      <c r="B312" s="140">
        <f t="shared" si="109"/>
        <v>0</v>
      </c>
      <c r="C312" s="140">
        <f t="shared" si="109"/>
        <v>1</v>
      </c>
      <c r="D312" s="140">
        <f t="shared" si="109"/>
        <v>0</v>
      </c>
      <c r="E312" s="140">
        <f t="shared" si="109"/>
        <v>0</v>
      </c>
      <c r="F312" s="140">
        <f t="shared" si="109"/>
        <v>0</v>
      </c>
      <c r="G312" s="140">
        <f t="shared" si="109"/>
        <v>1</v>
      </c>
      <c r="H312" s="140">
        <f t="shared" si="109"/>
        <v>0</v>
      </c>
      <c r="I312" s="140">
        <f t="shared" si="109"/>
        <v>0</v>
      </c>
      <c r="J312" s="140">
        <f t="shared" si="109"/>
        <v>0</v>
      </c>
      <c r="K312" s="140">
        <f t="shared" si="109"/>
        <v>0</v>
      </c>
      <c r="L312" s="140">
        <f t="shared" si="109"/>
        <v>0</v>
      </c>
      <c r="M312" s="140">
        <f t="shared" si="109"/>
        <v>1</v>
      </c>
      <c r="N312" s="140">
        <f t="shared" si="109"/>
        <v>1</v>
      </c>
      <c r="O312" s="140">
        <f t="shared" si="109"/>
        <v>1</v>
      </c>
      <c r="P312" s="140">
        <f t="shared" si="109"/>
        <v>1</v>
      </c>
      <c r="Q312" s="140">
        <f t="shared" ref="Q312:Y312" si="112">IF(IFERROR(FIND($A$301,Q15,1),0)=0,0,1)</f>
        <v>1</v>
      </c>
      <c r="R312" s="140">
        <f t="shared" si="112"/>
        <v>1</v>
      </c>
      <c r="S312" s="140">
        <f t="shared" si="112"/>
        <v>0</v>
      </c>
      <c r="T312" s="140">
        <f t="shared" si="112"/>
        <v>0</v>
      </c>
      <c r="U312" s="140">
        <f t="shared" si="112"/>
        <v>0</v>
      </c>
      <c r="V312" s="140">
        <f t="shared" si="112"/>
        <v>0</v>
      </c>
      <c r="W312" s="140">
        <f t="shared" si="112"/>
        <v>0</v>
      </c>
      <c r="X312" s="140">
        <f t="shared" si="112"/>
        <v>1</v>
      </c>
      <c r="Y312" s="140">
        <f t="shared" si="112"/>
        <v>1</v>
      </c>
      <c r="AA312" s="140">
        <f t="shared" si="110"/>
        <v>0</v>
      </c>
      <c r="AB312" s="140">
        <f t="shared" si="110"/>
        <v>1</v>
      </c>
      <c r="AC312" s="140">
        <f t="shared" si="110"/>
        <v>0</v>
      </c>
      <c r="AD312" s="140">
        <f t="shared" si="110"/>
        <v>0</v>
      </c>
      <c r="AE312" s="140">
        <f t="shared" si="110"/>
        <v>0</v>
      </c>
      <c r="AF312" s="140">
        <f t="shared" si="110"/>
        <v>1</v>
      </c>
      <c r="AG312" s="140">
        <f t="shared" si="110"/>
        <v>0</v>
      </c>
      <c r="AH312" s="140">
        <f t="shared" si="110"/>
        <v>0</v>
      </c>
      <c r="AI312" s="140">
        <f t="shared" si="110"/>
        <v>0</v>
      </c>
      <c r="AJ312" s="140">
        <f t="shared" si="110"/>
        <v>0</v>
      </c>
      <c r="AK312" s="140">
        <f t="shared" si="110"/>
        <v>0</v>
      </c>
      <c r="AL312" s="140">
        <f t="shared" si="110"/>
        <v>1</v>
      </c>
      <c r="AM312" s="140">
        <f t="shared" si="110"/>
        <v>1</v>
      </c>
      <c r="AN312" s="140">
        <f t="shared" si="110"/>
        <v>1</v>
      </c>
      <c r="AO312" s="140">
        <f t="shared" si="110"/>
        <v>1</v>
      </c>
      <c r="AP312" s="140">
        <f t="shared" ref="AP312:AX327" si="113">IF(Q312=0,0,Q312/AP15)</f>
        <v>1</v>
      </c>
      <c r="AQ312" s="140">
        <f t="shared" si="113"/>
        <v>1</v>
      </c>
      <c r="AR312" s="140">
        <f t="shared" si="113"/>
        <v>0</v>
      </c>
      <c r="AS312" s="140">
        <f t="shared" si="113"/>
        <v>0</v>
      </c>
      <c r="AT312" s="140">
        <f t="shared" si="113"/>
        <v>0</v>
      </c>
      <c r="AU312" s="140">
        <f t="shared" si="113"/>
        <v>0</v>
      </c>
      <c r="AV312" s="140">
        <f t="shared" si="113"/>
        <v>0</v>
      </c>
      <c r="AW312" s="140">
        <f t="shared" si="113"/>
        <v>1</v>
      </c>
      <c r="AX312" s="140">
        <f t="shared" si="113"/>
        <v>1</v>
      </c>
      <c r="AY312" s="140">
        <f t="shared" si="111"/>
        <v>10</v>
      </c>
      <c r="AZ312" s="22" t="s">
        <v>163</v>
      </c>
    </row>
    <row r="313" spans="1:52">
      <c r="A313" s="140" t="s">
        <v>178</v>
      </c>
      <c r="B313" s="140">
        <f t="shared" ref="B313:Y323" si="114">IF(IFERROR(FIND($A$301,B16,1),0)=0,0,1)</f>
        <v>1</v>
      </c>
      <c r="C313" s="140">
        <f t="shared" si="114"/>
        <v>1</v>
      </c>
      <c r="D313" s="140">
        <f t="shared" si="114"/>
        <v>1</v>
      </c>
      <c r="E313" s="140">
        <f t="shared" si="114"/>
        <v>0</v>
      </c>
      <c r="F313" s="140">
        <f t="shared" si="114"/>
        <v>0</v>
      </c>
      <c r="G313" s="140">
        <f t="shared" si="114"/>
        <v>1</v>
      </c>
      <c r="H313" s="140">
        <f t="shared" si="114"/>
        <v>1</v>
      </c>
      <c r="I313" s="140">
        <f t="shared" si="114"/>
        <v>1</v>
      </c>
      <c r="J313" s="140">
        <f t="shared" si="114"/>
        <v>1</v>
      </c>
      <c r="K313" s="140">
        <f t="shared" si="114"/>
        <v>0</v>
      </c>
      <c r="L313" s="140">
        <f t="shared" si="114"/>
        <v>1</v>
      </c>
      <c r="M313" s="140">
        <f t="shared" si="114"/>
        <v>0</v>
      </c>
      <c r="N313" s="140">
        <f t="shared" si="114"/>
        <v>0</v>
      </c>
      <c r="O313" s="140">
        <f t="shared" si="114"/>
        <v>0</v>
      </c>
      <c r="P313" s="140">
        <f t="shared" si="114"/>
        <v>1</v>
      </c>
      <c r="Q313" s="140">
        <f t="shared" si="114"/>
        <v>1</v>
      </c>
      <c r="R313" s="140">
        <f t="shared" si="114"/>
        <v>0</v>
      </c>
      <c r="S313" s="140">
        <f t="shared" si="114"/>
        <v>0</v>
      </c>
      <c r="T313" s="140">
        <f t="shared" si="114"/>
        <v>0</v>
      </c>
      <c r="U313" s="140">
        <f t="shared" si="114"/>
        <v>0</v>
      </c>
      <c r="V313" s="140">
        <f t="shared" si="114"/>
        <v>0</v>
      </c>
      <c r="W313" s="140">
        <f t="shared" si="114"/>
        <v>1</v>
      </c>
      <c r="X313" s="140">
        <f t="shared" si="114"/>
        <v>0</v>
      </c>
      <c r="Y313" s="140">
        <f t="shared" si="114"/>
        <v>0</v>
      </c>
      <c r="AA313" s="140">
        <f t="shared" ref="AA313:AP328" si="115">IF(B313=0,0,B313/AA16)</f>
        <v>1</v>
      </c>
      <c r="AB313" s="140">
        <f t="shared" si="115"/>
        <v>1</v>
      </c>
      <c r="AC313" s="140">
        <f t="shared" si="115"/>
        <v>1</v>
      </c>
      <c r="AD313" s="140">
        <f t="shared" si="115"/>
        <v>0</v>
      </c>
      <c r="AE313" s="140">
        <f t="shared" si="115"/>
        <v>0</v>
      </c>
      <c r="AF313" s="140">
        <f t="shared" si="115"/>
        <v>1</v>
      </c>
      <c r="AG313" s="140">
        <f t="shared" si="115"/>
        <v>1</v>
      </c>
      <c r="AH313" s="140">
        <f t="shared" si="115"/>
        <v>1</v>
      </c>
      <c r="AI313" s="140">
        <f t="shared" si="115"/>
        <v>1</v>
      </c>
      <c r="AJ313" s="140">
        <f t="shared" si="115"/>
        <v>0</v>
      </c>
      <c r="AK313" s="140">
        <f t="shared" si="115"/>
        <v>1</v>
      </c>
      <c r="AL313" s="140">
        <f t="shared" si="115"/>
        <v>0</v>
      </c>
      <c r="AM313" s="140">
        <f t="shared" si="115"/>
        <v>0</v>
      </c>
      <c r="AN313" s="140">
        <f t="shared" si="115"/>
        <v>0</v>
      </c>
      <c r="AO313" s="140">
        <f t="shared" si="115"/>
        <v>1</v>
      </c>
      <c r="AP313" s="140">
        <f t="shared" si="113"/>
        <v>1</v>
      </c>
      <c r="AQ313" s="140">
        <f t="shared" si="113"/>
        <v>0</v>
      </c>
      <c r="AR313" s="140">
        <f t="shared" si="113"/>
        <v>0</v>
      </c>
      <c r="AS313" s="140">
        <f t="shared" si="113"/>
        <v>0</v>
      </c>
      <c r="AT313" s="140">
        <f t="shared" si="113"/>
        <v>0</v>
      </c>
      <c r="AU313" s="140">
        <f t="shared" si="113"/>
        <v>0</v>
      </c>
      <c r="AV313" s="140">
        <f t="shared" si="113"/>
        <v>1</v>
      </c>
      <c r="AW313" s="140">
        <f t="shared" si="113"/>
        <v>0</v>
      </c>
      <c r="AX313" s="140">
        <f t="shared" si="113"/>
        <v>0</v>
      </c>
      <c r="AY313" s="140">
        <f t="shared" si="111"/>
        <v>11</v>
      </c>
      <c r="AZ313" s="22" t="s">
        <v>163</v>
      </c>
    </row>
    <row r="314" spans="1:52">
      <c r="A314" s="140" t="s">
        <v>179</v>
      </c>
      <c r="B314" s="140">
        <f t="shared" si="114"/>
        <v>0</v>
      </c>
      <c r="C314" s="140">
        <f t="shared" si="114"/>
        <v>0</v>
      </c>
      <c r="D314" s="140">
        <f t="shared" si="114"/>
        <v>0</v>
      </c>
      <c r="E314" s="140">
        <f t="shared" si="114"/>
        <v>1</v>
      </c>
      <c r="F314" s="140">
        <f t="shared" si="114"/>
        <v>1</v>
      </c>
      <c r="G314" s="140">
        <f t="shared" si="114"/>
        <v>0</v>
      </c>
      <c r="H314" s="140">
        <f t="shared" si="114"/>
        <v>1</v>
      </c>
      <c r="I314" s="140">
        <f t="shared" si="114"/>
        <v>0</v>
      </c>
      <c r="J314" s="140">
        <f t="shared" si="114"/>
        <v>0</v>
      </c>
      <c r="K314" s="140">
        <f t="shared" si="114"/>
        <v>0</v>
      </c>
      <c r="L314" s="140">
        <f t="shared" si="114"/>
        <v>0</v>
      </c>
      <c r="M314" s="140">
        <f t="shared" si="114"/>
        <v>0</v>
      </c>
      <c r="N314" s="140">
        <f t="shared" si="114"/>
        <v>0</v>
      </c>
      <c r="O314" s="140">
        <f t="shared" si="114"/>
        <v>0</v>
      </c>
      <c r="P314" s="140">
        <f t="shared" si="114"/>
        <v>0</v>
      </c>
      <c r="Q314" s="140">
        <f t="shared" si="114"/>
        <v>1</v>
      </c>
      <c r="R314" s="140">
        <f t="shared" si="114"/>
        <v>0</v>
      </c>
      <c r="S314" s="140">
        <f t="shared" si="114"/>
        <v>1</v>
      </c>
      <c r="T314" s="140">
        <f t="shared" si="114"/>
        <v>0</v>
      </c>
      <c r="U314" s="140">
        <f t="shared" si="114"/>
        <v>0</v>
      </c>
      <c r="V314" s="140">
        <f t="shared" si="114"/>
        <v>0</v>
      </c>
      <c r="W314" s="140">
        <f t="shared" si="114"/>
        <v>1</v>
      </c>
      <c r="X314" s="140">
        <f t="shared" si="114"/>
        <v>0</v>
      </c>
      <c r="Y314" s="140">
        <f t="shared" si="114"/>
        <v>0</v>
      </c>
      <c r="AA314" s="140">
        <f t="shared" si="115"/>
        <v>0</v>
      </c>
      <c r="AB314" s="140">
        <f t="shared" si="115"/>
        <v>0</v>
      </c>
      <c r="AC314" s="140">
        <f t="shared" si="115"/>
        <v>0</v>
      </c>
      <c r="AD314" s="140">
        <f t="shared" si="115"/>
        <v>1</v>
      </c>
      <c r="AE314" s="140">
        <f t="shared" si="115"/>
        <v>1</v>
      </c>
      <c r="AF314" s="140">
        <f t="shared" si="115"/>
        <v>0</v>
      </c>
      <c r="AG314" s="140">
        <f t="shared" si="115"/>
        <v>1</v>
      </c>
      <c r="AH314" s="140">
        <f t="shared" si="115"/>
        <v>0</v>
      </c>
      <c r="AI314" s="140">
        <f t="shared" si="115"/>
        <v>0</v>
      </c>
      <c r="AJ314" s="140">
        <f t="shared" si="115"/>
        <v>0</v>
      </c>
      <c r="AK314" s="140">
        <f t="shared" si="115"/>
        <v>0</v>
      </c>
      <c r="AL314" s="140">
        <f t="shared" si="115"/>
        <v>0</v>
      </c>
      <c r="AM314" s="140">
        <f t="shared" si="115"/>
        <v>0</v>
      </c>
      <c r="AN314" s="140">
        <f t="shared" si="115"/>
        <v>0</v>
      </c>
      <c r="AO314" s="140">
        <f t="shared" si="115"/>
        <v>0</v>
      </c>
      <c r="AP314" s="140">
        <f t="shared" si="113"/>
        <v>1</v>
      </c>
      <c r="AQ314" s="140">
        <f t="shared" si="113"/>
        <v>0</v>
      </c>
      <c r="AR314" s="140">
        <f t="shared" si="113"/>
        <v>1</v>
      </c>
      <c r="AS314" s="140">
        <f t="shared" si="113"/>
        <v>0</v>
      </c>
      <c r="AT314" s="140">
        <f t="shared" si="113"/>
        <v>0</v>
      </c>
      <c r="AU314" s="140">
        <f t="shared" si="113"/>
        <v>0</v>
      </c>
      <c r="AV314" s="140">
        <f t="shared" si="113"/>
        <v>1</v>
      </c>
      <c r="AW314" s="140">
        <f t="shared" si="113"/>
        <v>0</v>
      </c>
      <c r="AX314" s="140">
        <f t="shared" si="113"/>
        <v>0</v>
      </c>
      <c r="AY314" s="140">
        <f t="shared" si="111"/>
        <v>6</v>
      </c>
      <c r="AZ314" s="22" t="s">
        <v>163</v>
      </c>
    </row>
    <row r="315" spans="1:52">
      <c r="A315" s="140" t="s">
        <v>180</v>
      </c>
      <c r="B315" s="140">
        <f t="shared" si="114"/>
        <v>0</v>
      </c>
      <c r="C315" s="140">
        <f t="shared" si="114"/>
        <v>1</v>
      </c>
      <c r="D315" s="140">
        <f t="shared" si="114"/>
        <v>0</v>
      </c>
      <c r="E315" s="140">
        <f t="shared" si="114"/>
        <v>1</v>
      </c>
      <c r="F315" s="140">
        <f t="shared" si="114"/>
        <v>1</v>
      </c>
      <c r="G315" s="140">
        <f t="shared" si="114"/>
        <v>0</v>
      </c>
      <c r="H315" s="140">
        <f t="shared" si="114"/>
        <v>0</v>
      </c>
      <c r="I315" s="140">
        <f t="shared" si="114"/>
        <v>0</v>
      </c>
      <c r="J315" s="140">
        <f t="shared" si="114"/>
        <v>1</v>
      </c>
      <c r="K315" s="140">
        <f t="shared" si="114"/>
        <v>0</v>
      </c>
      <c r="L315" s="140">
        <f t="shared" si="114"/>
        <v>1</v>
      </c>
      <c r="M315" s="140">
        <f t="shared" si="114"/>
        <v>1</v>
      </c>
      <c r="N315" s="140">
        <f t="shared" si="114"/>
        <v>0</v>
      </c>
      <c r="O315" s="140">
        <f t="shared" si="114"/>
        <v>0</v>
      </c>
      <c r="P315" s="140">
        <f t="shared" si="114"/>
        <v>0</v>
      </c>
      <c r="Q315" s="140">
        <f t="shared" si="114"/>
        <v>1</v>
      </c>
      <c r="R315" s="140">
        <f t="shared" si="114"/>
        <v>1</v>
      </c>
      <c r="S315" s="140">
        <f t="shared" si="114"/>
        <v>1</v>
      </c>
      <c r="T315" s="140">
        <f t="shared" si="114"/>
        <v>0</v>
      </c>
      <c r="U315" s="140">
        <f t="shared" si="114"/>
        <v>0</v>
      </c>
      <c r="V315" s="140">
        <f t="shared" si="114"/>
        <v>0</v>
      </c>
      <c r="W315" s="140">
        <f t="shared" si="114"/>
        <v>0</v>
      </c>
      <c r="X315" s="140">
        <f t="shared" si="114"/>
        <v>0</v>
      </c>
      <c r="Y315" s="140">
        <f t="shared" si="114"/>
        <v>0</v>
      </c>
      <c r="AA315" s="140">
        <f t="shared" si="115"/>
        <v>0</v>
      </c>
      <c r="AB315" s="140">
        <f t="shared" si="115"/>
        <v>1</v>
      </c>
      <c r="AC315" s="140">
        <f t="shared" si="115"/>
        <v>0</v>
      </c>
      <c r="AD315" s="140">
        <f t="shared" si="115"/>
        <v>1</v>
      </c>
      <c r="AE315" s="140">
        <f t="shared" si="115"/>
        <v>1</v>
      </c>
      <c r="AF315" s="140">
        <f t="shared" si="115"/>
        <v>0</v>
      </c>
      <c r="AG315" s="140">
        <f t="shared" si="115"/>
        <v>0</v>
      </c>
      <c r="AH315" s="140">
        <f t="shared" si="115"/>
        <v>0</v>
      </c>
      <c r="AI315" s="140">
        <f t="shared" si="115"/>
        <v>1</v>
      </c>
      <c r="AJ315" s="140">
        <f t="shared" si="115"/>
        <v>0</v>
      </c>
      <c r="AK315" s="140">
        <f t="shared" si="115"/>
        <v>1</v>
      </c>
      <c r="AL315" s="140">
        <f t="shared" si="115"/>
        <v>1</v>
      </c>
      <c r="AM315" s="140">
        <f t="shared" si="115"/>
        <v>0</v>
      </c>
      <c r="AN315" s="140">
        <f t="shared" si="115"/>
        <v>0</v>
      </c>
      <c r="AO315" s="140">
        <f t="shared" si="115"/>
        <v>0</v>
      </c>
      <c r="AP315" s="140">
        <f t="shared" si="113"/>
        <v>1</v>
      </c>
      <c r="AQ315" s="140">
        <f t="shared" si="113"/>
        <v>1</v>
      </c>
      <c r="AR315" s="140">
        <f t="shared" si="113"/>
        <v>1</v>
      </c>
      <c r="AS315" s="140">
        <f t="shared" si="113"/>
        <v>0</v>
      </c>
      <c r="AT315" s="140">
        <f t="shared" si="113"/>
        <v>0</v>
      </c>
      <c r="AU315" s="140">
        <f t="shared" si="113"/>
        <v>0</v>
      </c>
      <c r="AV315" s="140">
        <f t="shared" si="113"/>
        <v>0</v>
      </c>
      <c r="AW315" s="140">
        <f t="shared" si="113"/>
        <v>0</v>
      </c>
      <c r="AX315" s="140">
        <f t="shared" si="113"/>
        <v>0</v>
      </c>
      <c r="AY315" s="140">
        <f t="shared" si="111"/>
        <v>9</v>
      </c>
      <c r="AZ315" s="22" t="s">
        <v>163</v>
      </c>
    </row>
    <row r="316" spans="1:52">
      <c r="A316" s="140" t="s">
        <v>181</v>
      </c>
      <c r="B316" s="140">
        <f t="shared" si="114"/>
        <v>1</v>
      </c>
      <c r="C316" s="140">
        <f t="shared" si="114"/>
        <v>0</v>
      </c>
      <c r="D316" s="140">
        <f t="shared" si="114"/>
        <v>0</v>
      </c>
      <c r="E316" s="140">
        <f t="shared" si="114"/>
        <v>1</v>
      </c>
      <c r="F316" s="140">
        <f t="shared" si="114"/>
        <v>1</v>
      </c>
      <c r="G316" s="140">
        <f t="shared" si="114"/>
        <v>0</v>
      </c>
      <c r="H316" s="140">
        <f t="shared" si="114"/>
        <v>0</v>
      </c>
      <c r="I316" s="140">
        <f t="shared" si="114"/>
        <v>0</v>
      </c>
      <c r="J316" s="140">
        <f t="shared" si="114"/>
        <v>0</v>
      </c>
      <c r="K316" s="140">
        <f t="shared" si="114"/>
        <v>0</v>
      </c>
      <c r="L316" s="140">
        <f t="shared" si="114"/>
        <v>0</v>
      </c>
      <c r="M316" s="140">
        <f t="shared" si="114"/>
        <v>0</v>
      </c>
      <c r="N316" s="140">
        <f t="shared" si="114"/>
        <v>0</v>
      </c>
      <c r="O316" s="140">
        <f t="shared" si="114"/>
        <v>0</v>
      </c>
      <c r="P316" s="140">
        <f t="shared" si="114"/>
        <v>0</v>
      </c>
      <c r="Q316" s="140">
        <f t="shared" si="114"/>
        <v>0</v>
      </c>
      <c r="R316" s="140">
        <f t="shared" si="114"/>
        <v>0</v>
      </c>
      <c r="S316" s="140">
        <f t="shared" si="114"/>
        <v>0</v>
      </c>
      <c r="T316" s="140">
        <f t="shared" si="114"/>
        <v>0</v>
      </c>
      <c r="U316" s="140">
        <f t="shared" si="114"/>
        <v>0</v>
      </c>
      <c r="V316" s="140">
        <f t="shared" si="114"/>
        <v>0</v>
      </c>
      <c r="W316" s="140">
        <f t="shared" si="114"/>
        <v>0</v>
      </c>
      <c r="X316" s="140">
        <f t="shared" si="114"/>
        <v>1</v>
      </c>
      <c r="Y316" s="140">
        <f t="shared" si="114"/>
        <v>1</v>
      </c>
      <c r="AA316" s="140">
        <f t="shared" si="115"/>
        <v>1</v>
      </c>
      <c r="AB316" s="140">
        <f t="shared" si="115"/>
        <v>0</v>
      </c>
      <c r="AC316" s="140">
        <f t="shared" si="115"/>
        <v>0</v>
      </c>
      <c r="AD316" s="140">
        <f t="shared" si="115"/>
        <v>1</v>
      </c>
      <c r="AE316" s="140">
        <f t="shared" si="115"/>
        <v>1</v>
      </c>
      <c r="AF316" s="140">
        <f t="shared" si="115"/>
        <v>0</v>
      </c>
      <c r="AG316" s="140">
        <f t="shared" si="115"/>
        <v>0</v>
      </c>
      <c r="AH316" s="140">
        <f t="shared" si="115"/>
        <v>0</v>
      </c>
      <c r="AI316" s="140">
        <f t="shared" si="115"/>
        <v>0</v>
      </c>
      <c r="AJ316" s="140">
        <f t="shared" si="115"/>
        <v>0</v>
      </c>
      <c r="AK316" s="140">
        <f t="shared" si="115"/>
        <v>0</v>
      </c>
      <c r="AL316" s="140">
        <f t="shared" si="115"/>
        <v>0</v>
      </c>
      <c r="AM316" s="140">
        <f t="shared" si="115"/>
        <v>0</v>
      </c>
      <c r="AN316" s="140">
        <f t="shared" si="115"/>
        <v>0</v>
      </c>
      <c r="AO316" s="140">
        <f t="shared" si="115"/>
        <v>0</v>
      </c>
      <c r="AP316" s="140">
        <f t="shared" si="113"/>
        <v>0</v>
      </c>
      <c r="AQ316" s="140">
        <f t="shared" si="113"/>
        <v>0</v>
      </c>
      <c r="AR316" s="140">
        <f t="shared" si="113"/>
        <v>0</v>
      </c>
      <c r="AS316" s="140">
        <f t="shared" si="113"/>
        <v>0</v>
      </c>
      <c r="AT316" s="140">
        <f t="shared" si="113"/>
        <v>0</v>
      </c>
      <c r="AU316" s="140">
        <f t="shared" si="113"/>
        <v>0</v>
      </c>
      <c r="AV316" s="140">
        <f t="shared" si="113"/>
        <v>0</v>
      </c>
      <c r="AW316" s="140">
        <f t="shared" si="113"/>
        <v>1</v>
      </c>
      <c r="AX316" s="140">
        <f t="shared" si="113"/>
        <v>1</v>
      </c>
      <c r="AY316" s="140">
        <f t="shared" si="111"/>
        <v>5</v>
      </c>
      <c r="AZ316" s="22" t="s">
        <v>163</v>
      </c>
    </row>
    <row r="317" spans="1:52">
      <c r="A317" s="140" t="s">
        <v>182</v>
      </c>
      <c r="B317" s="140">
        <f t="shared" si="114"/>
        <v>0</v>
      </c>
      <c r="C317" s="140">
        <f t="shared" si="114"/>
        <v>0</v>
      </c>
      <c r="D317" s="140">
        <f t="shared" si="114"/>
        <v>1</v>
      </c>
      <c r="E317" s="140">
        <f t="shared" si="114"/>
        <v>0</v>
      </c>
      <c r="F317" s="140">
        <f t="shared" si="114"/>
        <v>0</v>
      </c>
      <c r="G317" s="140">
        <f t="shared" si="114"/>
        <v>0</v>
      </c>
      <c r="H317" s="140">
        <f t="shared" si="114"/>
        <v>0</v>
      </c>
      <c r="I317" s="140">
        <f t="shared" si="114"/>
        <v>0</v>
      </c>
      <c r="J317" s="140">
        <f t="shared" si="114"/>
        <v>0</v>
      </c>
      <c r="K317" s="140">
        <f t="shared" si="114"/>
        <v>1</v>
      </c>
      <c r="L317" s="140">
        <f t="shared" si="114"/>
        <v>1</v>
      </c>
      <c r="M317" s="140">
        <f t="shared" si="114"/>
        <v>1</v>
      </c>
      <c r="N317" s="140">
        <f t="shared" si="114"/>
        <v>0</v>
      </c>
      <c r="O317" s="140">
        <f t="shared" si="114"/>
        <v>0</v>
      </c>
      <c r="P317" s="140">
        <f t="shared" si="114"/>
        <v>1</v>
      </c>
      <c r="Q317" s="140">
        <f t="shared" si="114"/>
        <v>0</v>
      </c>
      <c r="R317" s="140">
        <f t="shared" si="114"/>
        <v>1</v>
      </c>
      <c r="S317" s="140">
        <f t="shared" si="114"/>
        <v>0</v>
      </c>
      <c r="T317" s="140">
        <f t="shared" si="114"/>
        <v>0</v>
      </c>
      <c r="U317" s="140">
        <f t="shared" si="114"/>
        <v>0</v>
      </c>
      <c r="V317" s="140">
        <f t="shared" si="114"/>
        <v>0</v>
      </c>
      <c r="W317" s="140">
        <f t="shared" si="114"/>
        <v>0</v>
      </c>
      <c r="X317" s="140">
        <f t="shared" si="114"/>
        <v>0</v>
      </c>
      <c r="Y317" s="140">
        <f t="shared" si="114"/>
        <v>0</v>
      </c>
      <c r="AA317" s="140">
        <f t="shared" si="115"/>
        <v>0</v>
      </c>
      <c r="AB317" s="140">
        <f t="shared" si="115"/>
        <v>0</v>
      </c>
      <c r="AC317" s="140">
        <f t="shared" si="115"/>
        <v>1</v>
      </c>
      <c r="AD317" s="140">
        <f t="shared" si="115"/>
        <v>0</v>
      </c>
      <c r="AE317" s="140">
        <f t="shared" si="115"/>
        <v>0</v>
      </c>
      <c r="AF317" s="140">
        <f t="shared" si="115"/>
        <v>0</v>
      </c>
      <c r="AG317" s="140">
        <f t="shared" si="115"/>
        <v>0</v>
      </c>
      <c r="AH317" s="140">
        <f t="shared" si="115"/>
        <v>0</v>
      </c>
      <c r="AI317" s="140">
        <f t="shared" si="115"/>
        <v>0</v>
      </c>
      <c r="AJ317" s="140">
        <f t="shared" si="115"/>
        <v>1</v>
      </c>
      <c r="AK317" s="140">
        <f t="shared" si="115"/>
        <v>1</v>
      </c>
      <c r="AL317" s="140">
        <f t="shared" si="115"/>
        <v>1</v>
      </c>
      <c r="AM317" s="140">
        <f t="shared" si="115"/>
        <v>0</v>
      </c>
      <c r="AN317" s="140">
        <f t="shared" si="115"/>
        <v>0</v>
      </c>
      <c r="AO317" s="140">
        <f t="shared" si="115"/>
        <v>1</v>
      </c>
      <c r="AP317" s="140">
        <f t="shared" si="113"/>
        <v>0</v>
      </c>
      <c r="AQ317" s="140">
        <f t="shared" si="113"/>
        <v>1</v>
      </c>
      <c r="AR317" s="140">
        <f t="shared" si="113"/>
        <v>0</v>
      </c>
      <c r="AS317" s="140">
        <f t="shared" si="113"/>
        <v>0</v>
      </c>
      <c r="AT317" s="140">
        <f t="shared" si="113"/>
        <v>0</v>
      </c>
      <c r="AU317" s="140">
        <f t="shared" si="113"/>
        <v>0</v>
      </c>
      <c r="AV317" s="140">
        <f t="shared" si="113"/>
        <v>0</v>
      </c>
      <c r="AW317" s="140">
        <f t="shared" si="113"/>
        <v>0</v>
      </c>
      <c r="AX317" s="140">
        <f t="shared" si="113"/>
        <v>0</v>
      </c>
      <c r="AY317" s="140">
        <f t="shared" si="111"/>
        <v>6</v>
      </c>
      <c r="AZ317" s="22" t="s">
        <v>163</v>
      </c>
    </row>
    <row r="318" spans="1:52">
      <c r="A318" s="140" t="s">
        <v>183</v>
      </c>
      <c r="B318" s="140">
        <f t="shared" si="114"/>
        <v>0</v>
      </c>
      <c r="C318" s="140">
        <f t="shared" si="114"/>
        <v>0</v>
      </c>
      <c r="D318" s="140">
        <f t="shared" si="114"/>
        <v>0</v>
      </c>
      <c r="E318" s="140">
        <f t="shared" si="114"/>
        <v>0</v>
      </c>
      <c r="F318" s="140">
        <f t="shared" si="114"/>
        <v>1</v>
      </c>
      <c r="G318" s="140">
        <f t="shared" si="114"/>
        <v>0</v>
      </c>
      <c r="H318" s="140">
        <f t="shared" si="114"/>
        <v>0</v>
      </c>
      <c r="I318" s="140">
        <f t="shared" si="114"/>
        <v>0</v>
      </c>
      <c r="J318" s="140">
        <f t="shared" si="114"/>
        <v>0</v>
      </c>
      <c r="K318" s="140">
        <f t="shared" si="114"/>
        <v>0</v>
      </c>
      <c r="L318" s="140">
        <f t="shared" si="114"/>
        <v>0</v>
      </c>
      <c r="M318" s="140">
        <f t="shared" si="114"/>
        <v>0</v>
      </c>
      <c r="N318" s="140">
        <f t="shared" si="114"/>
        <v>0</v>
      </c>
      <c r="O318" s="140">
        <f t="shared" si="114"/>
        <v>0</v>
      </c>
      <c r="P318" s="140">
        <f t="shared" si="114"/>
        <v>0</v>
      </c>
      <c r="Q318" s="140">
        <f t="shared" si="114"/>
        <v>0</v>
      </c>
      <c r="R318" s="140">
        <f t="shared" si="114"/>
        <v>1</v>
      </c>
      <c r="S318" s="140">
        <f t="shared" si="114"/>
        <v>0</v>
      </c>
      <c r="T318" s="140">
        <f t="shared" si="114"/>
        <v>0</v>
      </c>
      <c r="U318" s="140">
        <f t="shared" si="114"/>
        <v>0</v>
      </c>
      <c r="V318" s="140">
        <f t="shared" si="114"/>
        <v>0</v>
      </c>
      <c r="W318" s="140">
        <f t="shared" si="114"/>
        <v>0</v>
      </c>
      <c r="X318" s="140">
        <f t="shared" si="114"/>
        <v>0</v>
      </c>
      <c r="Y318" s="140">
        <f t="shared" si="114"/>
        <v>0</v>
      </c>
      <c r="AA318" s="140">
        <f t="shared" si="115"/>
        <v>0</v>
      </c>
      <c r="AB318" s="140">
        <f t="shared" si="115"/>
        <v>0</v>
      </c>
      <c r="AC318" s="140">
        <f t="shared" si="115"/>
        <v>0</v>
      </c>
      <c r="AD318" s="140">
        <f t="shared" si="115"/>
        <v>0</v>
      </c>
      <c r="AE318" s="140">
        <f t="shared" si="115"/>
        <v>0.5</v>
      </c>
      <c r="AF318" s="140">
        <f t="shared" si="115"/>
        <v>0</v>
      </c>
      <c r="AG318" s="140">
        <f t="shared" si="115"/>
        <v>0</v>
      </c>
      <c r="AH318" s="140">
        <f t="shared" si="115"/>
        <v>0</v>
      </c>
      <c r="AI318" s="140">
        <f t="shared" si="115"/>
        <v>0</v>
      </c>
      <c r="AJ318" s="140">
        <f t="shared" si="115"/>
        <v>0</v>
      </c>
      <c r="AK318" s="140">
        <f t="shared" si="115"/>
        <v>0</v>
      </c>
      <c r="AL318" s="140">
        <f t="shared" si="115"/>
        <v>0</v>
      </c>
      <c r="AM318" s="140">
        <f t="shared" si="115"/>
        <v>0</v>
      </c>
      <c r="AN318" s="140">
        <f t="shared" si="115"/>
        <v>0</v>
      </c>
      <c r="AO318" s="140">
        <f t="shared" si="115"/>
        <v>0</v>
      </c>
      <c r="AP318" s="140">
        <f t="shared" si="113"/>
        <v>0</v>
      </c>
      <c r="AQ318" s="140">
        <f t="shared" si="113"/>
        <v>1</v>
      </c>
      <c r="AR318" s="140">
        <f t="shared" si="113"/>
        <v>0</v>
      </c>
      <c r="AS318" s="140">
        <f t="shared" si="113"/>
        <v>0</v>
      </c>
      <c r="AT318" s="140">
        <f t="shared" si="113"/>
        <v>0</v>
      </c>
      <c r="AU318" s="140">
        <f t="shared" si="113"/>
        <v>0</v>
      </c>
      <c r="AV318" s="140">
        <f t="shared" si="113"/>
        <v>0</v>
      </c>
      <c r="AW318" s="140">
        <f t="shared" si="113"/>
        <v>0</v>
      </c>
      <c r="AX318" s="140">
        <f t="shared" si="113"/>
        <v>0</v>
      </c>
      <c r="AY318" s="140">
        <f t="shared" si="111"/>
        <v>1.5</v>
      </c>
      <c r="AZ318" s="22" t="s">
        <v>163</v>
      </c>
    </row>
    <row r="319" spans="1:52">
      <c r="A319" s="140" t="s">
        <v>184</v>
      </c>
      <c r="B319" s="140">
        <f t="shared" si="114"/>
        <v>0</v>
      </c>
      <c r="C319" s="140">
        <f t="shared" si="114"/>
        <v>1</v>
      </c>
      <c r="D319" s="140">
        <f t="shared" si="114"/>
        <v>0</v>
      </c>
      <c r="E319" s="140">
        <f t="shared" si="114"/>
        <v>1</v>
      </c>
      <c r="F319" s="140">
        <f t="shared" si="114"/>
        <v>1</v>
      </c>
      <c r="G319" s="140">
        <f t="shared" si="114"/>
        <v>0</v>
      </c>
      <c r="H319" s="140">
        <f t="shared" si="114"/>
        <v>0</v>
      </c>
      <c r="I319" s="140">
        <f t="shared" si="114"/>
        <v>0</v>
      </c>
      <c r="J319" s="140">
        <f t="shared" si="114"/>
        <v>1</v>
      </c>
      <c r="K319" s="140">
        <f t="shared" si="114"/>
        <v>0</v>
      </c>
      <c r="L319" s="140">
        <f t="shared" si="114"/>
        <v>0</v>
      </c>
      <c r="M319" s="140">
        <f t="shared" si="114"/>
        <v>0</v>
      </c>
      <c r="N319" s="140">
        <f t="shared" si="114"/>
        <v>0</v>
      </c>
      <c r="O319" s="140">
        <f t="shared" si="114"/>
        <v>0</v>
      </c>
      <c r="P319" s="140">
        <f t="shared" si="114"/>
        <v>0</v>
      </c>
      <c r="Q319" s="140">
        <f t="shared" si="114"/>
        <v>0</v>
      </c>
      <c r="R319" s="140">
        <f t="shared" si="114"/>
        <v>1</v>
      </c>
      <c r="S319" s="140">
        <f t="shared" si="114"/>
        <v>0</v>
      </c>
      <c r="T319" s="140">
        <f t="shared" si="114"/>
        <v>0</v>
      </c>
      <c r="U319" s="140">
        <f t="shared" si="114"/>
        <v>0</v>
      </c>
      <c r="V319" s="140">
        <f t="shared" si="114"/>
        <v>0</v>
      </c>
      <c r="W319" s="140">
        <f t="shared" si="114"/>
        <v>0</v>
      </c>
      <c r="X319" s="140">
        <f t="shared" si="114"/>
        <v>0</v>
      </c>
      <c r="Y319" s="140">
        <f t="shared" si="114"/>
        <v>0</v>
      </c>
      <c r="AA319" s="140">
        <f t="shared" si="115"/>
        <v>0</v>
      </c>
      <c r="AB319" s="140">
        <f t="shared" si="115"/>
        <v>1</v>
      </c>
      <c r="AC319" s="140">
        <f t="shared" si="115"/>
        <v>0</v>
      </c>
      <c r="AD319" s="140">
        <f t="shared" si="115"/>
        <v>1</v>
      </c>
      <c r="AE319" s="140">
        <f t="shared" si="115"/>
        <v>1</v>
      </c>
      <c r="AF319" s="140">
        <f t="shared" si="115"/>
        <v>0</v>
      </c>
      <c r="AG319" s="140">
        <f t="shared" si="115"/>
        <v>0</v>
      </c>
      <c r="AH319" s="140">
        <f t="shared" si="115"/>
        <v>0</v>
      </c>
      <c r="AI319" s="140">
        <f t="shared" si="115"/>
        <v>1</v>
      </c>
      <c r="AJ319" s="140">
        <f t="shared" si="115"/>
        <v>0</v>
      </c>
      <c r="AK319" s="140">
        <f t="shared" si="115"/>
        <v>0</v>
      </c>
      <c r="AL319" s="140">
        <f t="shared" si="115"/>
        <v>0</v>
      </c>
      <c r="AM319" s="140">
        <f t="shared" si="115"/>
        <v>0</v>
      </c>
      <c r="AN319" s="140">
        <f t="shared" si="115"/>
        <v>0</v>
      </c>
      <c r="AO319" s="140">
        <f t="shared" si="115"/>
        <v>0</v>
      </c>
      <c r="AP319" s="140">
        <f t="shared" si="113"/>
        <v>0</v>
      </c>
      <c r="AQ319" s="140">
        <f t="shared" si="113"/>
        <v>1</v>
      </c>
      <c r="AR319" s="140">
        <f t="shared" si="113"/>
        <v>0</v>
      </c>
      <c r="AS319" s="140">
        <f t="shared" si="113"/>
        <v>0</v>
      </c>
      <c r="AT319" s="140">
        <f t="shared" si="113"/>
        <v>0</v>
      </c>
      <c r="AU319" s="140">
        <f t="shared" si="113"/>
        <v>0</v>
      </c>
      <c r="AV319" s="140">
        <f t="shared" si="113"/>
        <v>0</v>
      </c>
      <c r="AW319" s="140">
        <f t="shared" si="113"/>
        <v>0</v>
      </c>
      <c r="AX319" s="140">
        <f t="shared" si="113"/>
        <v>0</v>
      </c>
      <c r="AY319" s="140">
        <f t="shared" si="111"/>
        <v>5</v>
      </c>
      <c r="AZ319" s="22" t="s">
        <v>163</v>
      </c>
    </row>
    <row r="320" spans="1:52">
      <c r="A320" s="140" t="s">
        <v>185</v>
      </c>
      <c r="B320" s="140">
        <f t="shared" si="114"/>
        <v>1</v>
      </c>
      <c r="C320" s="140">
        <f t="shared" si="114"/>
        <v>0</v>
      </c>
      <c r="D320" s="140">
        <f t="shared" si="114"/>
        <v>0</v>
      </c>
      <c r="E320" s="140">
        <f t="shared" si="114"/>
        <v>0</v>
      </c>
      <c r="F320" s="140">
        <f t="shared" si="114"/>
        <v>0</v>
      </c>
      <c r="G320" s="140">
        <f t="shared" si="114"/>
        <v>0</v>
      </c>
      <c r="H320" s="140">
        <f t="shared" si="114"/>
        <v>0</v>
      </c>
      <c r="I320" s="140">
        <f t="shared" si="114"/>
        <v>0</v>
      </c>
      <c r="J320" s="140">
        <f t="shared" si="114"/>
        <v>0</v>
      </c>
      <c r="K320" s="140">
        <f t="shared" si="114"/>
        <v>0</v>
      </c>
      <c r="L320" s="140">
        <f t="shared" si="114"/>
        <v>1</v>
      </c>
      <c r="M320" s="140">
        <f t="shared" si="114"/>
        <v>1</v>
      </c>
      <c r="N320" s="140">
        <f t="shared" si="114"/>
        <v>1</v>
      </c>
      <c r="O320" s="140">
        <f t="shared" si="114"/>
        <v>1</v>
      </c>
      <c r="P320" s="140">
        <f t="shared" si="114"/>
        <v>0</v>
      </c>
      <c r="Q320" s="140">
        <f t="shared" si="114"/>
        <v>0</v>
      </c>
      <c r="R320" s="140">
        <f t="shared" si="114"/>
        <v>1</v>
      </c>
      <c r="S320" s="140">
        <f t="shared" si="114"/>
        <v>0</v>
      </c>
      <c r="T320" s="140">
        <f t="shared" si="114"/>
        <v>0</v>
      </c>
      <c r="U320" s="140">
        <f t="shared" si="114"/>
        <v>0</v>
      </c>
      <c r="V320" s="140">
        <f t="shared" si="114"/>
        <v>0</v>
      </c>
      <c r="W320" s="140">
        <f t="shared" si="114"/>
        <v>1</v>
      </c>
      <c r="X320" s="140">
        <f t="shared" si="114"/>
        <v>1</v>
      </c>
      <c r="Y320" s="140">
        <f t="shared" si="114"/>
        <v>0</v>
      </c>
      <c r="AA320" s="140">
        <f t="shared" si="115"/>
        <v>1</v>
      </c>
      <c r="AB320" s="140">
        <f t="shared" si="115"/>
        <v>0</v>
      </c>
      <c r="AC320" s="140">
        <f t="shared" si="115"/>
        <v>0</v>
      </c>
      <c r="AD320" s="140">
        <f t="shared" si="115"/>
        <v>0</v>
      </c>
      <c r="AE320" s="140">
        <f t="shared" si="115"/>
        <v>0</v>
      </c>
      <c r="AF320" s="140">
        <f t="shared" si="115"/>
        <v>0</v>
      </c>
      <c r="AG320" s="140">
        <f t="shared" si="115"/>
        <v>0</v>
      </c>
      <c r="AH320" s="140">
        <f t="shared" si="115"/>
        <v>0</v>
      </c>
      <c r="AI320" s="140">
        <f t="shared" si="115"/>
        <v>0</v>
      </c>
      <c r="AJ320" s="140">
        <f t="shared" si="115"/>
        <v>0</v>
      </c>
      <c r="AK320" s="140">
        <f t="shared" si="115"/>
        <v>1</v>
      </c>
      <c r="AL320" s="140">
        <f t="shared" si="115"/>
        <v>1</v>
      </c>
      <c r="AM320" s="140">
        <f t="shared" si="115"/>
        <v>1</v>
      </c>
      <c r="AN320" s="140">
        <f t="shared" si="115"/>
        <v>1</v>
      </c>
      <c r="AO320" s="140">
        <f t="shared" si="115"/>
        <v>0</v>
      </c>
      <c r="AP320" s="140">
        <f t="shared" si="113"/>
        <v>0</v>
      </c>
      <c r="AQ320" s="140">
        <f t="shared" si="113"/>
        <v>1</v>
      </c>
      <c r="AR320" s="140">
        <f t="shared" si="113"/>
        <v>0</v>
      </c>
      <c r="AS320" s="140">
        <f t="shared" si="113"/>
        <v>0</v>
      </c>
      <c r="AT320" s="140">
        <f t="shared" si="113"/>
        <v>0</v>
      </c>
      <c r="AU320" s="140">
        <f t="shared" si="113"/>
        <v>0</v>
      </c>
      <c r="AV320" s="140">
        <f t="shared" si="113"/>
        <v>1</v>
      </c>
      <c r="AW320" s="140">
        <f t="shared" si="113"/>
        <v>1</v>
      </c>
      <c r="AX320" s="140">
        <f t="shared" si="113"/>
        <v>0</v>
      </c>
      <c r="AY320" s="140">
        <f t="shared" si="111"/>
        <v>8</v>
      </c>
      <c r="AZ320" s="22" t="s">
        <v>163</v>
      </c>
    </row>
    <row r="321" spans="1:52">
      <c r="A321" s="140" t="s">
        <v>186</v>
      </c>
      <c r="B321" s="140">
        <f t="shared" si="114"/>
        <v>0</v>
      </c>
      <c r="C321" s="140">
        <f t="shared" si="114"/>
        <v>0</v>
      </c>
      <c r="D321" s="140">
        <f t="shared" si="114"/>
        <v>1</v>
      </c>
      <c r="E321" s="140">
        <f t="shared" si="114"/>
        <v>1</v>
      </c>
      <c r="F321" s="140">
        <f t="shared" si="114"/>
        <v>0</v>
      </c>
      <c r="G321" s="140">
        <f t="shared" si="114"/>
        <v>1</v>
      </c>
      <c r="H321" s="140">
        <f t="shared" si="114"/>
        <v>0</v>
      </c>
      <c r="I321" s="140">
        <f t="shared" si="114"/>
        <v>0</v>
      </c>
      <c r="J321" s="140">
        <f t="shared" si="114"/>
        <v>0</v>
      </c>
      <c r="K321" s="140">
        <f t="shared" si="114"/>
        <v>0</v>
      </c>
      <c r="L321" s="140">
        <f t="shared" si="114"/>
        <v>0</v>
      </c>
      <c r="M321" s="140">
        <f t="shared" si="114"/>
        <v>0</v>
      </c>
      <c r="N321" s="140">
        <f t="shared" si="114"/>
        <v>1</v>
      </c>
      <c r="O321" s="140">
        <f t="shared" si="114"/>
        <v>0</v>
      </c>
      <c r="P321" s="140">
        <f t="shared" si="114"/>
        <v>0</v>
      </c>
      <c r="Q321" s="140">
        <f t="shared" si="114"/>
        <v>0</v>
      </c>
      <c r="R321" s="140">
        <f t="shared" si="114"/>
        <v>0</v>
      </c>
      <c r="S321" s="140">
        <f t="shared" si="114"/>
        <v>0</v>
      </c>
      <c r="T321" s="140">
        <f t="shared" si="114"/>
        <v>0</v>
      </c>
      <c r="U321" s="140">
        <f t="shared" si="114"/>
        <v>0</v>
      </c>
      <c r="V321" s="140">
        <f t="shared" si="114"/>
        <v>0</v>
      </c>
      <c r="W321" s="140">
        <f t="shared" si="114"/>
        <v>0</v>
      </c>
      <c r="X321" s="140">
        <f t="shared" si="114"/>
        <v>1</v>
      </c>
      <c r="Y321" s="140">
        <f t="shared" si="114"/>
        <v>1</v>
      </c>
      <c r="AA321" s="140">
        <f t="shared" si="115"/>
        <v>0</v>
      </c>
      <c r="AB321" s="140">
        <f t="shared" si="115"/>
        <v>0</v>
      </c>
      <c r="AC321" s="140">
        <f t="shared" si="115"/>
        <v>1</v>
      </c>
      <c r="AD321" s="140">
        <f t="shared" si="115"/>
        <v>1</v>
      </c>
      <c r="AE321" s="140">
        <f t="shared" si="115"/>
        <v>0</v>
      </c>
      <c r="AF321" s="140">
        <f t="shared" si="115"/>
        <v>1</v>
      </c>
      <c r="AG321" s="140">
        <f t="shared" si="115"/>
        <v>0</v>
      </c>
      <c r="AH321" s="140">
        <f t="shared" si="115"/>
        <v>0</v>
      </c>
      <c r="AI321" s="140">
        <f t="shared" si="115"/>
        <v>0</v>
      </c>
      <c r="AJ321" s="140">
        <f t="shared" si="115"/>
        <v>0</v>
      </c>
      <c r="AK321" s="140">
        <f t="shared" si="115"/>
        <v>0</v>
      </c>
      <c r="AL321" s="140">
        <f t="shared" si="115"/>
        <v>0</v>
      </c>
      <c r="AM321" s="140">
        <f t="shared" si="115"/>
        <v>1</v>
      </c>
      <c r="AN321" s="140">
        <f t="shared" si="115"/>
        <v>0</v>
      </c>
      <c r="AO321" s="140">
        <f t="shared" si="115"/>
        <v>0</v>
      </c>
      <c r="AP321" s="140">
        <f t="shared" si="113"/>
        <v>0</v>
      </c>
      <c r="AQ321" s="140">
        <f t="shared" si="113"/>
        <v>0</v>
      </c>
      <c r="AR321" s="140">
        <f t="shared" si="113"/>
        <v>0</v>
      </c>
      <c r="AS321" s="140">
        <f t="shared" si="113"/>
        <v>0</v>
      </c>
      <c r="AT321" s="140">
        <f t="shared" si="113"/>
        <v>0</v>
      </c>
      <c r="AU321" s="140">
        <f t="shared" si="113"/>
        <v>0</v>
      </c>
      <c r="AV321" s="140">
        <f t="shared" si="113"/>
        <v>0</v>
      </c>
      <c r="AW321" s="140">
        <f t="shared" si="113"/>
        <v>1</v>
      </c>
      <c r="AX321" s="140">
        <f t="shared" si="113"/>
        <v>1</v>
      </c>
      <c r="AY321" s="140">
        <f t="shared" si="111"/>
        <v>6</v>
      </c>
      <c r="AZ321" s="22" t="s">
        <v>163</v>
      </c>
    </row>
    <row r="322" spans="1:52">
      <c r="A322" s="140" t="s">
        <v>187</v>
      </c>
      <c r="B322" s="140">
        <f t="shared" si="114"/>
        <v>1</v>
      </c>
      <c r="C322" s="140">
        <f t="shared" si="114"/>
        <v>1</v>
      </c>
      <c r="D322" s="140">
        <f t="shared" si="114"/>
        <v>0</v>
      </c>
      <c r="E322" s="140">
        <f t="shared" si="114"/>
        <v>0</v>
      </c>
      <c r="F322" s="140">
        <f t="shared" si="114"/>
        <v>0</v>
      </c>
      <c r="G322" s="140">
        <f t="shared" si="114"/>
        <v>0</v>
      </c>
      <c r="H322" s="140">
        <f t="shared" si="114"/>
        <v>0</v>
      </c>
      <c r="I322" s="140">
        <f t="shared" si="114"/>
        <v>0</v>
      </c>
      <c r="J322" s="140">
        <f t="shared" si="114"/>
        <v>0</v>
      </c>
      <c r="K322" s="140">
        <f t="shared" si="114"/>
        <v>0</v>
      </c>
      <c r="L322" s="140">
        <f t="shared" si="114"/>
        <v>1</v>
      </c>
      <c r="M322" s="140">
        <f t="shared" si="114"/>
        <v>0</v>
      </c>
      <c r="N322" s="140">
        <f t="shared" si="114"/>
        <v>1</v>
      </c>
      <c r="O322" s="140">
        <f t="shared" si="114"/>
        <v>1</v>
      </c>
      <c r="P322" s="140">
        <f t="shared" si="114"/>
        <v>0</v>
      </c>
      <c r="Q322" s="140">
        <f t="shared" si="114"/>
        <v>0</v>
      </c>
      <c r="R322" s="140">
        <f t="shared" si="114"/>
        <v>0</v>
      </c>
      <c r="S322" s="140">
        <f t="shared" si="114"/>
        <v>1</v>
      </c>
      <c r="T322" s="140">
        <f t="shared" si="114"/>
        <v>0</v>
      </c>
      <c r="U322" s="140">
        <f t="shared" si="114"/>
        <v>0</v>
      </c>
      <c r="V322" s="140">
        <f t="shared" si="114"/>
        <v>0</v>
      </c>
      <c r="W322" s="140">
        <f t="shared" si="114"/>
        <v>0</v>
      </c>
      <c r="X322" s="140">
        <f t="shared" si="114"/>
        <v>0</v>
      </c>
      <c r="Y322" s="140">
        <f t="shared" si="114"/>
        <v>0</v>
      </c>
      <c r="AA322" s="140">
        <f t="shared" si="115"/>
        <v>0.33333333333333331</v>
      </c>
      <c r="AB322" s="140">
        <f t="shared" si="115"/>
        <v>1</v>
      </c>
      <c r="AC322" s="140">
        <f t="shared" si="115"/>
        <v>0</v>
      </c>
      <c r="AD322" s="140">
        <f t="shared" si="115"/>
        <v>0</v>
      </c>
      <c r="AE322" s="140">
        <f t="shared" si="115"/>
        <v>0</v>
      </c>
      <c r="AF322" s="140">
        <f t="shared" si="115"/>
        <v>0</v>
      </c>
      <c r="AG322" s="140">
        <f t="shared" si="115"/>
        <v>0</v>
      </c>
      <c r="AH322" s="140">
        <f t="shared" si="115"/>
        <v>0</v>
      </c>
      <c r="AI322" s="140">
        <f t="shared" si="115"/>
        <v>0</v>
      </c>
      <c r="AJ322" s="140">
        <f t="shared" si="115"/>
        <v>0</v>
      </c>
      <c r="AK322" s="140">
        <f t="shared" si="115"/>
        <v>1</v>
      </c>
      <c r="AL322" s="140">
        <f t="shared" si="115"/>
        <v>0</v>
      </c>
      <c r="AM322" s="140">
        <f t="shared" si="115"/>
        <v>1</v>
      </c>
      <c r="AN322" s="140">
        <f t="shared" si="115"/>
        <v>1</v>
      </c>
      <c r="AO322" s="140">
        <f t="shared" si="115"/>
        <v>0</v>
      </c>
      <c r="AP322" s="140">
        <f t="shared" si="113"/>
        <v>0</v>
      </c>
      <c r="AQ322" s="140">
        <f t="shared" si="113"/>
        <v>0</v>
      </c>
      <c r="AR322" s="140">
        <f t="shared" si="113"/>
        <v>1</v>
      </c>
      <c r="AS322" s="140">
        <f t="shared" si="113"/>
        <v>0</v>
      </c>
      <c r="AT322" s="140">
        <f t="shared" si="113"/>
        <v>0</v>
      </c>
      <c r="AU322" s="140">
        <f t="shared" si="113"/>
        <v>0</v>
      </c>
      <c r="AV322" s="140">
        <f t="shared" si="113"/>
        <v>0</v>
      </c>
      <c r="AW322" s="140">
        <f t="shared" si="113"/>
        <v>0</v>
      </c>
      <c r="AX322" s="140">
        <f t="shared" si="113"/>
        <v>0</v>
      </c>
      <c r="AY322" s="140">
        <f t="shared" si="111"/>
        <v>5.333333333333333</v>
      </c>
      <c r="AZ322" s="22" t="s">
        <v>163</v>
      </c>
    </row>
    <row r="323" spans="1:52">
      <c r="A323" s="140" t="s">
        <v>188</v>
      </c>
      <c r="B323" s="140">
        <f t="shared" si="114"/>
        <v>1</v>
      </c>
      <c r="C323" s="140">
        <f t="shared" si="114"/>
        <v>1</v>
      </c>
      <c r="D323" s="140">
        <f t="shared" si="114"/>
        <v>1</v>
      </c>
      <c r="E323" s="140">
        <f t="shared" si="114"/>
        <v>0</v>
      </c>
      <c r="F323" s="140">
        <f t="shared" si="114"/>
        <v>0</v>
      </c>
      <c r="G323" s="140">
        <f t="shared" si="114"/>
        <v>1</v>
      </c>
      <c r="H323" s="140">
        <f t="shared" si="114"/>
        <v>0</v>
      </c>
      <c r="I323" s="140">
        <f t="shared" si="114"/>
        <v>0</v>
      </c>
      <c r="J323" s="140">
        <f t="shared" si="114"/>
        <v>0</v>
      </c>
      <c r="K323" s="140">
        <f t="shared" si="114"/>
        <v>1</v>
      </c>
      <c r="L323" s="140">
        <f t="shared" si="114"/>
        <v>0</v>
      </c>
      <c r="M323" s="140">
        <f t="shared" si="114"/>
        <v>1</v>
      </c>
      <c r="N323" s="140">
        <f t="shared" si="114"/>
        <v>1</v>
      </c>
      <c r="O323" s="140">
        <f t="shared" si="114"/>
        <v>0</v>
      </c>
      <c r="P323" s="140">
        <f t="shared" si="114"/>
        <v>0</v>
      </c>
      <c r="Q323" s="140">
        <f t="shared" ref="Q323:Y323" si="116">IF(IFERROR(FIND($A$301,Q26,1),0)=0,0,1)</f>
        <v>1</v>
      </c>
      <c r="R323" s="140">
        <f t="shared" si="116"/>
        <v>0</v>
      </c>
      <c r="S323" s="140">
        <f t="shared" si="116"/>
        <v>0</v>
      </c>
      <c r="T323" s="140">
        <f t="shared" si="116"/>
        <v>0</v>
      </c>
      <c r="U323" s="140">
        <f t="shared" si="116"/>
        <v>0</v>
      </c>
      <c r="V323" s="140">
        <f t="shared" si="116"/>
        <v>0</v>
      </c>
      <c r="W323" s="140">
        <f t="shared" si="116"/>
        <v>0</v>
      </c>
      <c r="X323" s="140">
        <f t="shared" si="116"/>
        <v>0</v>
      </c>
      <c r="Y323" s="140">
        <f t="shared" si="116"/>
        <v>0</v>
      </c>
      <c r="AA323" s="140">
        <f t="shared" si="115"/>
        <v>1</v>
      </c>
      <c r="AB323" s="140">
        <f t="shared" si="115"/>
        <v>1</v>
      </c>
      <c r="AC323" s="140">
        <f t="shared" si="115"/>
        <v>1</v>
      </c>
      <c r="AD323" s="140">
        <f t="shared" si="115"/>
        <v>0</v>
      </c>
      <c r="AE323" s="140">
        <f t="shared" si="115"/>
        <v>0</v>
      </c>
      <c r="AF323" s="140">
        <f t="shared" si="115"/>
        <v>1</v>
      </c>
      <c r="AG323" s="140">
        <f t="shared" si="115"/>
        <v>0</v>
      </c>
      <c r="AH323" s="140">
        <f t="shared" si="115"/>
        <v>0</v>
      </c>
      <c r="AI323" s="140">
        <f t="shared" si="115"/>
        <v>0</v>
      </c>
      <c r="AJ323" s="140">
        <f t="shared" si="115"/>
        <v>1</v>
      </c>
      <c r="AK323" s="140">
        <f t="shared" si="115"/>
        <v>0</v>
      </c>
      <c r="AL323" s="140">
        <f t="shared" si="115"/>
        <v>1</v>
      </c>
      <c r="AM323" s="140">
        <f t="shared" si="115"/>
        <v>1</v>
      </c>
      <c r="AN323" s="140">
        <f t="shared" si="115"/>
        <v>0</v>
      </c>
      <c r="AO323" s="140">
        <f t="shared" si="115"/>
        <v>0</v>
      </c>
      <c r="AP323" s="140">
        <f t="shared" si="113"/>
        <v>1</v>
      </c>
      <c r="AQ323" s="140">
        <f t="shared" si="113"/>
        <v>0</v>
      </c>
      <c r="AR323" s="140">
        <f t="shared" si="113"/>
        <v>0</v>
      </c>
      <c r="AS323" s="140">
        <f t="shared" si="113"/>
        <v>0</v>
      </c>
      <c r="AT323" s="140">
        <f t="shared" si="113"/>
        <v>0</v>
      </c>
      <c r="AU323" s="140">
        <f t="shared" si="113"/>
        <v>0</v>
      </c>
      <c r="AV323" s="140">
        <f t="shared" si="113"/>
        <v>0</v>
      </c>
      <c r="AW323" s="140">
        <f t="shared" si="113"/>
        <v>0</v>
      </c>
      <c r="AX323" s="140">
        <f t="shared" si="113"/>
        <v>0</v>
      </c>
      <c r="AY323" s="140">
        <f t="shared" si="111"/>
        <v>8</v>
      </c>
      <c r="AZ323" s="22" t="s">
        <v>163</v>
      </c>
    </row>
    <row r="324" spans="1:52">
      <c r="A324" s="140" t="s">
        <v>189</v>
      </c>
      <c r="B324" s="140">
        <f t="shared" ref="B324:Y332" si="117">IF(IFERROR(FIND($A$301,B27,1),0)=0,0,1)</f>
        <v>1</v>
      </c>
      <c r="C324" s="140">
        <f t="shared" si="117"/>
        <v>0</v>
      </c>
      <c r="D324" s="140">
        <f t="shared" si="117"/>
        <v>1</v>
      </c>
      <c r="E324" s="140">
        <f t="shared" si="117"/>
        <v>1</v>
      </c>
      <c r="F324" s="140">
        <f t="shared" si="117"/>
        <v>1</v>
      </c>
      <c r="G324" s="140">
        <f t="shared" si="117"/>
        <v>1</v>
      </c>
      <c r="H324" s="140">
        <f t="shared" si="117"/>
        <v>0</v>
      </c>
      <c r="I324" s="140">
        <f t="shared" si="117"/>
        <v>1</v>
      </c>
      <c r="J324" s="140">
        <f t="shared" si="117"/>
        <v>0</v>
      </c>
      <c r="K324" s="140">
        <f t="shared" si="117"/>
        <v>1</v>
      </c>
      <c r="L324" s="140">
        <f t="shared" si="117"/>
        <v>1</v>
      </c>
      <c r="M324" s="140">
        <f t="shared" si="117"/>
        <v>1</v>
      </c>
      <c r="N324" s="140">
        <f t="shared" si="117"/>
        <v>1</v>
      </c>
      <c r="O324" s="140">
        <f t="shared" si="117"/>
        <v>1</v>
      </c>
      <c r="P324" s="140">
        <f t="shared" si="117"/>
        <v>0</v>
      </c>
      <c r="Q324" s="140">
        <f t="shared" si="117"/>
        <v>0</v>
      </c>
      <c r="R324" s="140">
        <f t="shared" si="117"/>
        <v>0</v>
      </c>
      <c r="S324" s="140">
        <f t="shared" si="117"/>
        <v>1</v>
      </c>
      <c r="T324" s="140">
        <f t="shared" si="117"/>
        <v>0</v>
      </c>
      <c r="U324" s="140">
        <f t="shared" si="117"/>
        <v>0</v>
      </c>
      <c r="V324" s="140">
        <f t="shared" si="117"/>
        <v>0</v>
      </c>
      <c r="W324" s="140">
        <f t="shared" si="117"/>
        <v>0</v>
      </c>
      <c r="X324" s="140">
        <f t="shared" si="117"/>
        <v>0</v>
      </c>
      <c r="Y324" s="140">
        <f t="shared" si="117"/>
        <v>0</v>
      </c>
      <c r="AA324" s="140">
        <f t="shared" si="115"/>
        <v>1</v>
      </c>
      <c r="AB324" s="140">
        <f t="shared" si="115"/>
        <v>0</v>
      </c>
      <c r="AC324" s="140">
        <f t="shared" si="115"/>
        <v>1</v>
      </c>
      <c r="AD324" s="140">
        <f t="shared" si="115"/>
        <v>1</v>
      </c>
      <c r="AE324" s="140">
        <f t="shared" si="115"/>
        <v>1</v>
      </c>
      <c r="AF324" s="140">
        <f t="shared" si="115"/>
        <v>1</v>
      </c>
      <c r="AG324" s="140">
        <f t="shared" si="115"/>
        <v>0</v>
      </c>
      <c r="AH324" s="140">
        <f t="shared" si="115"/>
        <v>1</v>
      </c>
      <c r="AI324" s="140">
        <f t="shared" si="115"/>
        <v>0</v>
      </c>
      <c r="AJ324" s="140">
        <f t="shared" si="115"/>
        <v>1</v>
      </c>
      <c r="AK324" s="140">
        <f t="shared" si="115"/>
        <v>1</v>
      </c>
      <c r="AL324" s="140">
        <f t="shared" si="115"/>
        <v>1</v>
      </c>
      <c r="AM324" s="140">
        <f t="shared" si="115"/>
        <v>1</v>
      </c>
      <c r="AN324" s="140">
        <f t="shared" si="115"/>
        <v>1</v>
      </c>
      <c r="AO324" s="140">
        <f t="shared" si="115"/>
        <v>0</v>
      </c>
      <c r="AP324" s="140">
        <f t="shared" si="113"/>
        <v>0</v>
      </c>
      <c r="AQ324" s="140">
        <f t="shared" si="113"/>
        <v>0</v>
      </c>
      <c r="AR324" s="140">
        <f t="shared" si="113"/>
        <v>1</v>
      </c>
      <c r="AS324" s="140">
        <f t="shared" si="113"/>
        <v>0</v>
      </c>
      <c r="AT324" s="140">
        <f t="shared" si="113"/>
        <v>0</v>
      </c>
      <c r="AU324" s="140">
        <f t="shared" si="113"/>
        <v>0</v>
      </c>
      <c r="AV324" s="140">
        <f t="shared" si="113"/>
        <v>0</v>
      </c>
      <c r="AW324" s="140">
        <f t="shared" si="113"/>
        <v>0</v>
      </c>
      <c r="AX324" s="140">
        <f t="shared" si="113"/>
        <v>0</v>
      </c>
      <c r="AY324" s="140">
        <f t="shared" si="111"/>
        <v>12</v>
      </c>
      <c r="AZ324" s="22" t="s">
        <v>163</v>
      </c>
    </row>
    <row r="325" spans="1:52">
      <c r="A325" s="140" t="s">
        <v>190</v>
      </c>
      <c r="B325" s="140">
        <f t="shared" si="117"/>
        <v>1</v>
      </c>
      <c r="C325" s="140">
        <f t="shared" si="117"/>
        <v>1</v>
      </c>
      <c r="D325" s="140">
        <f t="shared" si="117"/>
        <v>1</v>
      </c>
      <c r="E325" s="140">
        <f t="shared" si="117"/>
        <v>0</v>
      </c>
      <c r="F325" s="140">
        <f t="shared" si="117"/>
        <v>0</v>
      </c>
      <c r="G325" s="140">
        <f t="shared" si="117"/>
        <v>0</v>
      </c>
      <c r="H325" s="140">
        <f t="shared" si="117"/>
        <v>0</v>
      </c>
      <c r="I325" s="140">
        <f t="shared" si="117"/>
        <v>0</v>
      </c>
      <c r="J325" s="140">
        <f t="shared" si="117"/>
        <v>1</v>
      </c>
      <c r="K325" s="140">
        <f t="shared" si="117"/>
        <v>1</v>
      </c>
      <c r="L325" s="140">
        <f t="shared" si="117"/>
        <v>0</v>
      </c>
      <c r="M325" s="140">
        <f t="shared" si="117"/>
        <v>0</v>
      </c>
      <c r="N325" s="140">
        <f t="shared" si="117"/>
        <v>0</v>
      </c>
      <c r="O325" s="140">
        <f t="shared" si="117"/>
        <v>0</v>
      </c>
      <c r="P325" s="140">
        <f t="shared" si="117"/>
        <v>1</v>
      </c>
      <c r="Q325" s="140">
        <f t="shared" si="117"/>
        <v>0</v>
      </c>
      <c r="R325" s="140">
        <f t="shared" si="117"/>
        <v>0</v>
      </c>
      <c r="S325" s="140">
        <f t="shared" si="117"/>
        <v>1</v>
      </c>
      <c r="T325" s="140">
        <f t="shared" si="117"/>
        <v>1</v>
      </c>
      <c r="U325" s="140">
        <f t="shared" si="117"/>
        <v>0</v>
      </c>
      <c r="V325" s="140">
        <f t="shared" si="117"/>
        <v>0</v>
      </c>
      <c r="W325" s="140">
        <f t="shared" si="117"/>
        <v>0</v>
      </c>
      <c r="X325" s="140">
        <f t="shared" si="117"/>
        <v>0</v>
      </c>
      <c r="Y325" s="140">
        <f t="shared" si="117"/>
        <v>0</v>
      </c>
      <c r="AA325" s="140">
        <f t="shared" si="115"/>
        <v>1</v>
      </c>
      <c r="AB325" s="140">
        <f t="shared" si="115"/>
        <v>1</v>
      </c>
      <c r="AC325" s="140">
        <f t="shared" si="115"/>
        <v>1</v>
      </c>
      <c r="AD325" s="140">
        <f t="shared" si="115"/>
        <v>0</v>
      </c>
      <c r="AE325" s="140">
        <f t="shared" si="115"/>
        <v>0</v>
      </c>
      <c r="AF325" s="140">
        <f t="shared" si="115"/>
        <v>0</v>
      </c>
      <c r="AG325" s="140">
        <f t="shared" si="115"/>
        <v>0</v>
      </c>
      <c r="AH325" s="140">
        <f t="shared" si="115"/>
        <v>0</v>
      </c>
      <c r="AI325" s="140">
        <f t="shared" si="115"/>
        <v>1</v>
      </c>
      <c r="AJ325" s="140">
        <f t="shared" si="115"/>
        <v>1</v>
      </c>
      <c r="AK325" s="140">
        <f t="shared" si="115"/>
        <v>0</v>
      </c>
      <c r="AL325" s="140">
        <f t="shared" si="115"/>
        <v>0</v>
      </c>
      <c r="AM325" s="140">
        <f t="shared" si="115"/>
        <v>0</v>
      </c>
      <c r="AN325" s="140">
        <f t="shared" si="115"/>
        <v>0</v>
      </c>
      <c r="AO325" s="140">
        <f t="shared" si="115"/>
        <v>1</v>
      </c>
      <c r="AP325" s="140">
        <f t="shared" si="113"/>
        <v>0</v>
      </c>
      <c r="AQ325" s="140">
        <f t="shared" si="113"/>
        <v>0</v>
      </c>
      <c r="AR325" s="140">
        <f t="shared" si="113"/>
        <v>0.25</v>
      </c>
      <c r="AS325" s="140">
        <f t="shared" si="113"/>
        <v>0.5</v>
      </c>
      <c r="AT325" s="140">
        <f t="shared" si="113"/>
        <v>0</v>
      </c>
      <c r="AU325" s="140">
        <f t="shared" si="113"/>
        <v>0</v>
      </c>
      <c r="AV325" s="140">
        <f t="shared" si="113"/>
        <v>0</v>
      </c>
      <c r="AW325" s="140">
        <f t="shared" si="113"/>
        <v>0</v>
      </c>
      <c r="AX325" s="140">
        <f t="shared" si="113"/>
        <v>0</v>
      </c>
      <c r="AY325" s="140">
        <f t="shared" si="111"/>
        <v>6.75</v>
      </c>
      <c r="AZ325" s="22" t="s">
        <v>163</v>
      </c>
    </row>
    <row r="326" spans="1:52">
      <c r="A326" s="140" t="s">
        <v>191</v>
      </c>
      <c r="B326" s="140">
        <f t="shared" si="117"/>
        <v>0</v>
      </c>
      <c r="C326" s="140">
        <f t="shared" si="117"/>
        <v>0</v>
      </c>
      <c r="D326" s="140">
        <f t="shared" si="117"/>
        <v>1</v>
      </c>
      <c r="E326" s="140">
        <f t="shared" si="117"/>
        <v>1</v>
      </c>
      <c r="F326" s="140">
        <f t="shared" si="117"/>
        <v>1</v>
      </c>
      <c r="G326" s="140">
        <f t="shared" si="117"/>
        <v>1</v>
      </c>
      <c r="H326" s="140">
        <f t="shared" si="117"/>
        <v>0</v>
      </c>
      <c r="I326" s="140">
        <f t="shared" si="117"/>
        <v>0</v>
      </c>
      <c r="J326" s="140">
        <f t="shared" si="117"/>
        <v>0</v>
      </c>
      <c r="K326" s="140">
        <f t="shared" si="117"/>
        <v>0</v>
      </c>
      <c r="L326" s="140">
        <f t="shared" si="117"/>
        <v>0</v>
      </c>
      <c r="M326" s="140">
        <f t="shared" si="117"/>
        <v>1</v>
      </c>
      <c r="N326" s="140">
        <f t="shared" si="117"/>
        <v>0</v>
      </c>
      <c r="O326" s="140">
        <f t="shared" si="117"/>
        <v>0</v>
      </c>
      <c r="P326" s="140">
        <f t="shared" si="117"/>
        <v>1</v>
      </c>
      <c r="Q326" s="140">
        <f t="shared" si="117"/>
        <v>1</v>
      </c>
      <c r="R326" s="140">
        <f t="shared" si="117"/>
        <v>0</v>
      </c>
      <c r="S326" s="140">
        <f t="shared" si="117"/>
        <v>0</v>
      </c>
      <c r="T326" s="140">
        <f t="shared" si="117"/>
        <v>0</v>
      </c>
      <c r="U326" s="140">
        <f t="shared" si="117"/>
        <v>0</v>
      </c>
      <c r="V326" s="140">
        <f t="shared" si="117"/>
        <v>0</v>
      </c>
      <c r="W326" s="140">
        <f t="shared" si="117"/>
        <v>0</v>
      </c>
      <c r="X326" s="140">
        <f t="shared" si="117"/>
        <v>0</v>
      </c>
      <c r="Y326" s="140">
        <f t="shared" si="117"/>
        <v>1</v>
      </c>
      <c r="AA326" s="140">
        <f t="shared" si="115"/>
        <v>0</v>
      </c>
      <c r="AB326" s="140">
        <f t="shared" si="115"/>
        <v>0</v>
      </c>
      <c r="AC326" s="140">
        <f t="shared" si="115"/>
        <v>1</v>
      </c>
      <c r="AD326" s="140">
        <f t="shared" si="115"/>
        <v>1</v>
      </c>
      <c r="AE326" s="140">
        <f t="shared" si="115"/>
        <v>1</v>
      </c>
      <c r="AF326" s="140">
        <f t="shared" si="115"/>
        <v>1</v>
      </c>
      <c r="AG326" s="140">
        <f t="shared" si="115"/>
        <v>0</v>
      </c>
      <c r="AH326" s="140">
        <f t="shared" si="115"/>
        <v>0</v>
      </c>
      <c r="AI326" s="140">
        <f t="shared" si="115"/>
        <v>0</v>
      </c>
      <c r="AJ326" s="140">
        <f t="shared" si="115"/>
        <v>0</v>
      </c>
      <c r="AK326" s="140">
        <f t="shared" si="115"/>
        <v>0</v>
      </c>
      <c r="AL326" s="140">
        <f t="shared" si="115"/>
        <v>0.5</v>
      </c>
      <c r="AM326" s="140">
        <f t="shared" si="115"/>
        <v>0</v>
      </c>
      <c r="AN326" s="140">
        <f t="shared" si="115"/>
        <v>0</v>
      </c>
      <c r="AO326" s="140">
        <f t="shared" si="115"/>
        <v>1</v>
      </c>
      <c r="AP326" s="140">
        <f t="shared" si="113"/>
        <v>1</v>
      </c>
      <c r="AQ326" s="140">
        <f t="shared" si="113"/>
        <v>0</v>
      </c>
      <c r="AR326" s="140">
        <f t="shared" si="113"/>
        <v>0</v>
      </c>
      <c r="AS326" s="140">
        <f t="shared" si="113"/>
        <v>0</v>
      </c>
      <c r="AT326" s="140">
        <f t="shared" si="113"/>
        <v>0</v>
      </c>
      <c r="AU326" s="140">
        <f t="shared" si="113"/>
        <v>0</v>
      </c>
      <c r="AV326" s="140">
        <f t="shared" si="113"/>
        <v>0</v>
      </c>
      <c r="AW326" s="140">
        <f t="shared" si="113"/>
        <v>0</v>
      </c>
      <c r="AX326" s="140">
        <f t="shared" si="113"/>
        <v>1</v>
      </c>
      <c r="AY326" s="140">
        <f t="shared" si="111"/>
        <v>7.5</v>
      </c>
      <c r="AZ326" s="22" t="s">
        <v>163</v>
      </c>
    </row>
    <row r="327" spans="1:52">
      <c r="A327" s="140" t="s">
        <v>192</v>
      </c>
      <c r="B327" s="140">
        <f t="shared" si="117"/>
        <v>0</v>
      </c>
      <c r="C327" s="140">
        <f t="shared" si="117"/>
        <v>0</v>
      </c>
      <c r="D327" s="140">
        <f t="shared" si="117"/>
        <v>0</v>
      </c>
      <c r="E327" s="140">
        <f t="shared" si="117"/>
        <v>0</v>
      </c>
      <c r="F327" s="140">
        <f t="shared" si="117"/>
        <v>0</v>
      </c>
      <c r="G327" s="140">
        <f t="shared" si="117"/>
        <v>0</v>
      </c>
      <c r="H327" s="140">
        <f t="shared" si="117"/>
        <v>0</v>
      </c>
      <c r="I327" s="140">
        <f t="shared" si="117"/>
        <v>1</v>
      </c>
      <c r="J327" s="140">
        <f t="shared" si="117"/>
        <v>0</v>
      </c>
      <c r="K327" s="140">
        <f t="shared" si="117"/>
        <v>0</v>
      </c>
      <c r="L327" s="140">
        <f t="shared" si="117"/>
        <v>0</v>
      </c>
      <c r="M327" s="140">
        <f t="shared" si="117"/>
        <v>1</v>
      </c>
      <c r="N327" s="140">
        <f t="shared" si="117"/>
        <v>0</v>
      </c>
      <c r="O327" s="140">
        <f t="shared" si="117"/>
        <v>0</v>
      </c>
      <c r="P327" s="140">
        <f t="shared" si="117"/>
        <v>1</v>
      </c>
      <c r="Q327" s="140">
        <f t="shared" si="117"/>
        <v>1</v>
      </c>
      <c r="R327" s="140">
        <f t="shared" si="117"/>
        <v>0</v>
      </c>
      <c r="S327" s="140">
        <f t="shared" si="117"/>
        <v>0</v>
      </c>
      <c r="T327" s="140">
        <f t="shared" si="117"/>
        <v>0</v>
      </c>
      <c r="U327" s="140">
        <f t="shared" si="117"/>
        <v>0</v>
      </c>
      <c r="V327" s="140">
        <f t="shared" si="117"/>
        <v>0</v>
      </c>
      <c r="W327" s="140">
        <f t="shared" si="117"/>
        <v>0</v>
      </c>
      <c r="X327" s="140">
        <f t="shared" si="117"/>
        <v>1</v>
      </c>
      <c r="Y327" s="140">
        <f t="shared" si="117"/>
        <v>1</v>
      </c>
      <c r="AA327" s="140">
        <f t="shared" si="115"/>
        <v>0</v>
      </c>
      <c r="AB327" s="140">
        <f t="shared" si="115"/>
        <v>0</v>
      </c>
      <c r="AC327" s="140">
        <f t="shared" si="115"/>
        <v>0</v>
      </c>
      <c r="AD327" s="140">
        <f t="shared" si="115"/>
        <v>0</v>
      </c>
      <c r="AE327" s="140">
        <f t="shared" si="115"/>
        <v>0</v>
      </c>
      <c r="AF327" s="140">
        <f t="shared" si="115"/>
        <v>0</v>
      </c>
      <c r="AG327" s="140">
        <f t="shared" si="115"/>
        <v>0</v>
      </c>
      <c r="AH327" s="140">
        <f t="shared" si="115"/>
        <v>1</v>
      </c>
      <c r="AI327" s="140">
        <f t="shared" si="115"/>
        <v>0</v>
      </c>
      <c r="AJ327" s="140">
        <f t="shared" si="115"/>
        <v>0</v>
      </c>
      <c r="AK327" s="140">
        <f t="shared" si="115"/>
        <v>0</v>
      </c>
      <c r="AL327" s="140">
        <f t="shared" si="115"/>
        <v>1</v>
      </c>
      <c r="AM327" s="140">
        <f t="shared" si="115"/>
        <v>0</v>
      </c>
      <c r="AN327" s="140">
        <f t="shared" si="115"/>
        <v>0</v>
      </c>
      <c r="AO327" s="140">
        <f t="shared" si="115"/>
        <v>1</v>
      </c>
      <c r="AP327" s="140">
        <f t="shared" si="113"/>
        <v>1</v>
      </c>
      <c r="AQ327" s="140">
        <f t="shared" si="113"/>
        <v>0</v>
      </c>
      <c r="AR327" s="140">
        <f t="shared" si="113"/>
        <v>0</v>
      </c>
      <c r="AS327" s="140">
        <f t="shared" si="113"/>
        <v>0</v>
      </c>
      <c r="AT327" s="140">
        <f t="shared" si="113"/>
        <v>0</v>
      </c>
      <c r="AU327" s="140">
        <f t="shared" si="113"/>
        <v>0</v>
      </c>
      <c r="AV327" s="140">
        <f t="shared" si="113"/>
        <v>0</v>
      </c>
      <c r="AW327" s="140">
        <f t="shared" si="113"/>
        <v>1</v>
      </c>
      <c r="AX327" s="140">
        <f t="shared" si="113"/>
        <v>1</v>
      </c>
      <c r="AY327" s="140">
        <f t="shared" si="111"/>
        <v>6</v>
      </c>
      <c r="AZ327" s="22" t="s">
        <v>163</v>
      </c>
    </row>
    <row r="328" spans="1:52">
      <c r="A328" s="140" t="s">
        <v>193</v>
      </c>
      <c r="B328" s="140">
        <f t="shared" si="117"/>
        <v>1</v>
      </c>
      <c r="C328" s="140">
        <f t="shared" si="117"/>
        <v>1</v>
      </c>
      <c r="D328" s="140">
        <f t="shared" si="117"/>
        <v>0</v>
      </c>
      <c r="E328" s="140">
        <f t="shared" si="117"/>
        <v>0</v>
      </c>
      <c r="F328" s="140">
        <f t="shared" si="117"/>
        <v>1</v>
      </c>
      <c r="G328" s="140">
        <f t="shared" si="117"/>
        <v>0</v>
      </c>
      <c r="H328" s="140">
        <f t="shared" si="117"/>
        <v>1</v>
      </c>
      <c r="I328" s="140">
        <f t="shared" si="117"/>
        <v>0</v>
      </c>
      <c r="J328" s="140">
        <f t="shared" si="117"/>
        <v>0</v>
      </c>
      <c r="K328" s="140">
        <f t="shared" si="117"/>
        <v>0</v>
      </c>
      <c r="L328" s="140">
        <f t="shared" si="117"/>
        <v>0</v>
      </c>
      <c r="M328" s="140">
        <f t="shared" si="117"/>
        <v>1</v>
      </c>
      <c r="N328" s="140">
        <f t="shared" si="117"/>
        <v>0</v>
      </c>
      <c r="O328" s="140">
        <f t="shared" si="117"/>
        <v>0</v>
      </c>
      <c r="P328" s="140">
        <f t="shared" si="117"/>
        <v>0</v>
      </c>
      <c r="Q328" s="140">
        <f t="shared" si="117"/>
        <v>0</v>
      </c>
      <c r="R328" s="140">
        <f t="shared" si="117"/>
        <v>1</v>
      </c>
      <c r="S328" s="140">
        <f t="shared" si="117"/>
        <v>0</v>
      </c>
      <c r="T328" s="140">
        <f t="shared" si="117"/>
        <v>0</v>
      </c>
      <c r="U328" s="140">
        <f t="shared" si="117"/>
        <v>0</v>
      </c>
      <c r="V328" s="140">
        <f t="shared" si="117"/>
        <v>0</v>
      </c>
      <c r="W328" s="140">
        <f t="shared" si="117"/>
        <v>0</v>
      </c>
      <c r="X328" s="140">
        <f t="shared" si="117"/>
        <v>1</v>
      </c>
      <c r="Y328" s="140">
        <f t="shared" si="117"/>
        <v>0</v>
      </c>
      <c r="AA328" s="140">
        <f t="shared" si="115"/>
        <v>1</v>
      </c>
      <c r="AB328" s="140">
        <f t="shared" si="115"/>
        <v>1</v>
      </c>
      <c r="AC328" s="140">
        <f t="shared" si="115"/>
        <v>0</v>
      </c>
      <c r="AD328" s="140">
        <f t="shared" si="115"/>
        <v>0</v>
      </c>
      <c r="AE328" s="140">
        <f t="shared" si="115"/>
        <v>1</v>
      </c>
      <c r="AF328" s="140">
        <f t="shared" si="115"/>
        <v>0</v>
      </c>
      <c r="AG328" s="140">
        <f t="shared" si="115"/>
        <v>1</v>
      </c>
      <c r="AH328" s="140">
        <f t="shared" si="115"/>
        <v>0</v>
      </c>
      <c r="AI328" s="140">
        <f t="shared" si="115"/>
        <v>0</v>
      </c>
      <c r="AJ328" s="140">
        <f t="shared" si="115"/>
        <v>0</v>
      </c>
      <c r="AK328" s="140">
        <f t="shared" si="115"/>
        <v>0</v>
      </c>
      <c r="AL328" s="140">
        <f t="shared" si="115"/>
        <v>1</v>
      </c>
      <c r="AM328" s="140">
        <f t="shared" si="115"/>
        <v>0</v>
      </c>
      <c r="AN328" s="140">
        <f t="shared" si="115"/>
        <v>0</v>
      </c>
      <c r="AO328" s="140">
        <f t="shared" si="115"/>
        <v>0</v>
      </c>
      <c r="AP328" s="140">
        <f t="shared" si="115"/>
        <v>0</v>
      </c>
      <c r="AQ328" s="140">
        <f t="shared" ref="AQ328:AX332" si="118">IF(R328=0,0,R328/AQ31)</f>
        <v>1</v>
      </c>
      <c r="AR328" s="140">
        <f t="shared" si="118"/>
        <v>0</v>
      </c>
      <c r="AS328" s="140">
        <f t="shared" si="118"/>
        <v>0</v>
      </c>
      <c r="AT328" s="140">
        <f t="shared" si="118"/>
        <v>0</v>
      </c>
      <c r="AU328" s="140">
        <f t="shared" si="118"/>
        <v>0</v>
      </c>
      <c r="AV328" s="140">
        <f t="shared" si="118"/>
        <v>0</v>
      </c>
      <c r="AW328" s="140">
        <f t="shared" si="118"/>
        <v>1</v>
      </c>
      <c r="AX328" s="140">
        <f t="shared" si="118"/>
        <v>0</v>
      </c>
      <c r="AY328" s="140">
        <f t="shared" si="111"/>
        <v>7</v>
      </c>
      <c r="AZ328" s="22" t="s">
        <v>163</v>
      </c>
    </row>
    <row r="329" spans="1:52">
      <c r="A329" s="140" t="s">
        <v>194</v>
      </c>
      <c r="B329" s="140">
        <f t="shared" si="117"/>
        <v>0</v>
      </c>
      <c r="C329" s="140">
        <f t="shared" si="117"/>
        <v>0</v>
      </c>
      <c r="D329" s="140">
        <f t="shared" si="117"/>
        <v>0</v>
      </c>
      <c r="E329" s="140">
        <f t="shared" si="117"/>
        <v>0</v>
      </c>
      <c r="F329" s="140">
        <f t="shared" si="117"/>
        <v>0</v>
      </c>
      <c r="G329" s="140">
        <f t="shared" si="117"/>
        <v>0</v>
      </c>
      <c r="H329" s="140">
        <f t="shared" si="117"/>
        <v>0</v>
      </c>
      <c r="I329" s="140">
        <f t="shared" si="117"/>
        <v>0</v>
      </c>
      <c r="J329" s="140">
        <f t="shared" si="117"/>
        <v>0</v>
      </c>
      <c r="K329" s="140">
        <f t="shared" si="117"/>
        <v>0</v>
      </c>
      <c r="L329" s="140">
        <f t="shared" si="117"/>
        <v>1</v>
      </c>
      <c r="M329" s="140">
        <f t="shared" si="117"/>
        <v>0</v>
      </c>
      <c r="N329" s="140">
        <f t="shared" si="117"/>
        <v>1</v>
      </c>
      <c r="O329" s="140">
        <f t="shared" si="117"/>
        <v>1</v>
      </c>
      <c r="P329" s="140">
        <f t="shared" si="117"/>
        <v>1</v>
      </c>
      <c r="Q329" s="140">
        <f t="shared" si="117"/>
        <v>0</v>
      </c>
      <c r="R329" s="140">
        <f t="shared" si="117"/>
        <v>0</v>
      </c>
      <c r="S329" s="140">
        <f t="shared" si="117"/>
        <v>0</v>
      </c>
      <c r="T329" s="140">
        <f t="shared" si="117"/>
        <v>0</v>
      </c>
      <c r="U329" s="140">
        <f t="shared" si="117"/>
        <v>0</v>
      </c>
      <c r="V329" s="140">
        <f t="shared" si="117"/>
        <v>0</v>
      </c>
      <c r="W329" s="140">
        <f t="shared" si="117"/>
        <v>0</v>
      </c>
      <c r="X329" s="140">
        <f t="shared" si="117"/>
        <v>0</v>
      </c>
      <c r="Y329" s="140">
        <f t="shared" si="117"/>
        <v>1</v>
      </c>
      <c r="AA329" s="140">
        <f t="shared" ref="AA329:AP332" si="119">IF(B329=0,0,B329/AA32)</f>
        <v>0</v>
      </c>
      <c r="AB329" s="140">
        <f t="shared" si="119"/>
        <v>0</v>
      </c>
      <c r="AC329" s="140">
        <f t="shared" si="119"/>
        <v>0</v>
      </c>
      <c r="AD329" s="140">
        <f t="shared" si="119"/>
        <v>0</v>
      </c>
      <c r="AE329" s="140">
        <f t="shared" si="119"/>
        <v>0</v>
      </c>
      <c r="AF329" s="140">
        <f t="shared" si="119"/>
        <v>0</v>
      </c>
      <c r="AG329" s="140">
        <f t="shared" si="119"/>
        <v>0</v>
      </c>
      <c r="AH329" s="140">
        <f t="shared" si="119"/>
        <v>0</v>
      </c>
      <c r="AI329" s="140">
        <f t="shared" si="119"/>
        <v>0</v>
      </c>
      <c r="AJ329" s="140">
        <f t="shared" si="119"/>
        <v>0</v>
      </c>
      <c r="AK329" s="140">
        <f t="shared" si="119"/>
        <v>1</v>
      </c>
      <c r="AL329" s="140">
        <f t="shared" si="119"/>
        <v>0</v>
      </c>
      <c r="AM329" s="140">
        <f t="shared" si="119"/>
        <v>1</v>
      </c>
      <c r="AN329" s="140">
        <f t="shared" si="119"/>
        <v>1</v>
      </c>
      <c r="AO329" s="140">
        <f t="shared" si="119"/>
        <v>1</v>
      </c>
      <c r="AP329" s="140">
        <f t="shared" si="119"/>
        <v>0</v>
      </c>
      <c r="AQ329" s="140">
        <f t="shared" si="118"/>
        <v>0</v>
      </c>
      <c r="AR329" s="140">
        <f t="shared" si="118"/>
        <v>0</v>
      </c>
      <c r="AS329" s="140">
        <f t="shared" si="118"/>
        <v>0</v>
      </c>
      <c r="AT329" s="140">
        <f t="shared" si="118"/>
        <v>0</v>
      </c>
      <c r="AU329" s="140">
        <f t="shared" si="118"/>
        <v>0</v>
      </c>
      <c r="AV329" s="140">
        <f t="shared" si="118"/>
        <v>0</v>
      </c>
      <c r="AW329" s="140">
        <f t="shared" si="118"/>
        <v>0</v>
      </c>
      <c r="AX329" s="140">
        <f t="shared" si="118"/>
        <v>1</v>
      </c>
      <c r="AY329" s="140">
        <f t="shared" si="111"/>
        <v>5</v>
      </c>
      <c r="AZ329" s="22" t="s">
        <v>163</v>
      </c>
    </row>
    <row r="330" spans="1:52">
      <c r="A330" s="140" t="s">
        <v>195</v>
      </c>
      <c r="B330" s="140">
        <f t="shared" si="117"/>
        <v>0</v>
      </c>
      <c r="C330" s="140">
        <f t="shared" si="117"/>
        <v>1</v>
      </c>
      <c r="D330" s="140">
        <f t="shared" si="117"/>
        <v>0</v>
      </c>
      <c r="E330" s="140">
        <f t="shared" si="117"/>
        <v>1</v>
      </c>
      <c r="F330" s="140">
        <f t="shared" si="117"/>
        <v>1</v>
      </c>
      <c r="G330" s="140">
        <f t="shared" si="117"/>
        <v>0</v>
      </c>
      <c r="H330" s="140">
        <f t="shared" si="117"/>
        <v>0</v>
      </c>
      <c r="I330" s="140">
        <f t="shared" si="117"/>
        <v>0</v>
      </c>
      <c r="J330" s="140">
        <f t="shared" si="117"/>
        <v>0</v>
      </c>
      <c r="K330" s="140">
        <f t="shared" si="117"/>
        <v>0</v>
      </c>
      <c r="L330" s="140">
        <f t="shared" si="117"/>
        <v>0</v>
      </c>
      <c r="M330" s="140">
        <f t="shared" si="117"/>
        <v>1</v>
      </c>
      <c r="N330" s="140">
        <f t="shared" si="117"/>
        <v>1</v>
      </c>
      <c r="O330" s="140">
        <f t="shared" si="117"/>
        <v>1</v>
      </c>
      <c r="P330" s="140">
        <f t="shared" si="117"/>
        <v>0</v>
      </c>
      <c r="Q330" s="140">
        <f t="shared" si="117"/>
        <v>0</v>
      </c>
      <c r="R330" s="140">
        <f t="shared" si="117"/>
        <v>0</v>
      </c>
      <c r="S330" s="140">
        <f t="shared" si="117"/>
        <v>0</v>
      </c>
      <c r="T330" s="140">
        <f t="shared" si="117"/>
        <v>0</v>
      </c>
      <c r="U330" s="140">
        <f t="shared" si="117"/>
        <v>0</v>
      </c>
      <c r="V330" s="140">
        <f t="shared" si="117"/>
        <v>0</v>
      </c>
      <c r="W330" s="140">
        <f t="shared" si="117"/>
        <v>0</v>
      </c>
      <c r="X330" s="140">
        <f t="shared" si="117"/>
        <v>0</v>
      </c>
      <c r="Y330" s="140">
        <f t="shared" si="117"/>
        <v>0</v>
      </c>
      <c r="AA330" s="140">
        <f t="shared" si="119"/>
        <v>0</v>
      </c>
      <c r="AB330" s="140">
        <f t="shared" si="119"/>
        <v>1</v>
      </c>
      <c r="AC330" s="140">
        <f t="shared" si="119"/>
        <v>0</v>
      </c>
      <c r="AD330" s="140">
        <f t="shared" si="119"/>
        <v>1</v>
      </c>
      <c r="AE330" s="140">
        <f t="shared" si="119"/>
        <v>0.5</v>
      </c>
      <c r="AF330" s="140">
        <f t="shared" si="119"/>
        <v>0</v>
      </c>
      <c r="AG330" s="140">
        <f t="shared" si="119"/>
        <v>0</v>
      </c>
      <c r="AH330" s="140">
        <f t="shared" si="119"/>
        <v>0</v>
      </c>
      <c r="AI330" s="140">
        <f t="shared" si="119"/>
        <v>0</v>
      </c>
      <c r="AJ330" s="140">
        <f t="shared" si="119"/>
        <v>0</v>
      </c>
      <c r="AK330" s="140">
        <f t="shared" si="119"/>
        <v>0</v>
      </c>
      <c r="AL330" s="140">
        <f t="shared" si="119"/>
        <v>1</v>
      </c>
      <c r="AM330" s="140">
        <f t="shared" si="119"/>
        <v>1</v>
      </c>
      <c r="AN330" s="140">
        <f t="shared" si="119"/>
        <v>1</v>
      </c>
      <c r="AO330" s="140">
        <f t="shared" si="119"/>
        <v>0</v>
      </c>
      <c r="AP330" s="140">
        <f t="shared" si="119"/>
        <v>0</v>
      </c>
      <c r="AQ330" s="140">
        <f t="shared" si="118"/>
        <v>0</v>
      </c>
      <c r="AR330" s="140">
        <f t="shared" si="118"/>
        <v>0</v>
      </c>
      <c r="AS330" s="140">
        <f t="shared" si="118"/>
        <v>0</v>
      </c>
      <c r="AT330" s="140">
        <f t="shared" si="118"/>
        <v>0</v>
      </c>
      <c r="AU330" s="140">
        <f t="shared" si="118"/>
        <v>0</v>
      </c>
      <c r="AV330" s="140">
        <f t="shared" si="118"/>
        <v>0</v>
      </c>
      <c r="AW330" s="140">
        <f t="shared" si="118"/>
        <v>0</v>
      </c>
      <c r="AX330" s="140">
        <f t="shared" si="118"/>
        <v>0</v>
      </c>
      <c r="AY330" s="140">
        <f t="shared" si="111"/>
        <v>5.5</v>
      </c>
      <c r="AZ330" s="22" t="s">
        <v>163</v>
      </c>
    </row>
    <row r="331" spans="1:52">
      <c r="A331" s="140" t="s">
        <v>196</v>
      </c>
      <c r="B331" s="140">
        <f t="shared" si="117"/>
        <v>0</v>
      </c>
      <c r="C331" s="140">
        <f t="shared" si="117"/>
        <v>0</v>
      </c>
      <c r="D331" s="140">
        <f t="shared" si="117"/>
        <v>0</v>
      </c>
      <c r="E331" s="140">
        <f t="shared" si="117"/>
        <v>0</v>
      </c>
      <c r="F331" s="140">
        <f t="shared" si="117"/>
        <v>0</v>
      </c>
      <c r="G331" s="140">
        <f t="shared" si="117"/>
        <v>1</v>
      </c>
      <c r="H331" s="140">
        <f t="shared" si="117"/>
        <v>0</v>
      </c>
      <c r="I331" s="140">
        <f t="shared" si="117"/>
        <v>1</v>
      </c>
      <c r="J331" s="140">
        <f t="shared" si="117"/>
        <v>0</v>
      </c>
      <c r="K331" s="140">
        <f t="shared" si="117"/>
        <v>0</v>
      </c>
      <c r="L331" s="140">
        <f t="shared" si="117"/>
        <v>1</v>
      </c>
      <c r="M331" s="140">
        <f t="shared" si="117"/>
        <v>1</v>
      </c>
      <c r="N331" s="140">
        <f t="shared" si="117"/>
        <v>1</v>
      </c>
      <c r="O331" s="140">
        <f t="shared" si="117"/>
        <v>1</v>
      </c>
      <c r="P331" s="140">
        <f t="shared" si="117"/>
        <v>0</v>
      </c>
      <c r="Q331" s="140">
        <f t="shared" si="117"/>
        <v>0</v>
      </c>
      <c r="R331" s="140">
        <f t="shared" si="117"/>
        <v>1</v>
      </c>
      <c r="S331" s="140">
        <f t="shared" si="117"/>
        <v>0</v>
      </c>
      <c r="T331" s="140">
        <f t="shared" si="117"/>
        <v>0</v>
      </c>
      <c r="U331" s="140">
        <f t="shared" si="117"/>
        <v>0</v>
      </c>
      <c r="V331" s="140">
        <f t="shared" si="117"/>
        <v>0</v>
      </c>
      <c r="W331" s="140">
        <f t="shared" si="117"/>
        <v>0</v>
      </c>
      <c r="X331" s="140">
        <f t="shared" si="117"/>
        <v>0</v>
      </c>
      <c r="Y331" s="140">
        <f t="shared" si="117"/>
        <v>0</v>
      </c>
      <c r="AA331" s="140">
        <f t="shared" si="119"/>
        <v>0</v>
      </c>
      <c r="AB331" s="140">
        <f t="shared" si="119"/>
        <v>0</v>
      </c>
      <c r="AC331" s="140">
        <f t="shared" si="119"/>
        <v>0</v>
      </c>
      <c r="AD331" s="140">
        <f t="shared" si="119"/>
        <v>0</v>
      </c>
      <c r="AE331" s="140">
        <f t="shared" si="119"/>
        <v>0</v>
      </c>
      <c r="AF331" s="140">
        <f t="shared" si="119"/>
        <v>1</v>
      </c>
      <c r="AG331" s="140">
        <f t="shared" si="119"/>
        <v>0</v>
      </c>
      <c r="AH331" s="140">
        <f t="shared" si="119"/>
        <v>1</v>
      </c>
      <c r="AI331" s="140">
        <f t="shared" si="119"/>
        <v>0</v>
      </c>
      <c r="AJ331" s="140">
        <f t="shared" si="119"/>
        <v>0</v>
      </c>
      <c r="AK331" s="140">
        <f t="shared" si="119"/>
        <v>0.5</v>
      </c>
      <c r="AL331" s="140">
        <f t="shared" si="119"/>
        <v>1</v>
      </c>
      <c r="AM331" s="140">
        <f t="shared" si="119"/>
        <v>1</v>
      </c>
      <c r="AN331" s="140">
        <f t="shared" si="119"/>
        <v>1</v>
      </c>
      <c r="AO331" s="140">
        <f t="shared" si="119"/>
        <v>0</v>
      </c>
      <c r="AP331" s="140">
        <f t="shared" si="119"/>
        <v>0</v>
      </c>
      <c r="AQ331" s="140">
        <f t="shared" si="118"/>
        <v>1</v>
      </c>
      <c r="AR331" s="140">
        <f t="shared" si="118"/>
        <v>0</v>
      </c>
      <c r="AS331" s="140">
        <f t="shared" si="118"/>
        <v>0</v>
      </c>
      <c r="AT331" s="140">
        <f t="shared" si="118"/>
        <v>0</v>
      </c>
      <c r="AU331" s="140">
        <f t="shared" si="118"/>
        <v>0</v>
      </c>
      <c r="AV331" s="140">
        <f t="shared" si="118"/>
        <v>0</v>
      </c>
      <c r="AW331" s="140">
        <f t="shared" si="118"/>
        <v>0</v>
      </c>
      <c r="AX331" s="140">
        <f t="shared" si="118"/>
        <v>0</v>
      </c>
      <c r="AY331" s="140">
        <f t="shared" si="111"/>
        <v>6.5</v>
      </c>
      <c r="AZ331" s="22" t="s">
        <v>163</v>
      </c>
    </row>
    <row r="332" spans="1:52">
      <c r="A332" s="140" t="s">
        <v>197</v>
      </c>
      <c r="B332" s="140">
        <f t="shared" si="117"/>
        <v>0</v>
      </c>
      <c r="C332" s="140">
        <f t="shared" si="117"/>
        <v>0</v>
      </c>
      <c r="D332" s="140">
        <f t="shared" si="117"/>
        <v>0</v>
      </c>
      <c r="E332" s="140">
        <f t="shared" si="117"/>
        <v>0</v>
      </c>
      <c r="F332" s="140">
        <f t="shared" si="117"/>
        <v>0</v>
      </c>
      <c r="G332" s="140">
        <f t="shared" si="117"/>
        <v>0</v>
      </c>
      <c r="H332" s="140">
        <f t="shared" si="117"/>
        <v>0</v>
      </c>
      <c r="I332" s="140">
        <f t="shared" si="117"/>
        <v>1</v>
      </c>
      <c r="J332" s="140">
        <f t="shared" si="117"/>
        <v>0</v>
      </c>
      <c r="K332" s="140">
        <f t="shared" si="117"/>
        <v>0</v>
      </c>
      <c r="L332" s="140">
        <f t="shared" si="117"/>
        <v>0</v>
      </c>
      <c r="M332" s="140">
        <f t="shared" si="117"/>
        <v>0</v>
      </c>
      <c r="N332" s="140">
        <f t="shared" si="117"/>
        <v>0</v>
      </c>
      <c r="O332" s="140">
        <f t="shared" si="117"/>
        <v>1</v>
      </c>
      <c r="P332" s="140">
        <f t="shared" si="117"/>
        <v>0</v>
      </c>
      <c r="Q332" s="140">
        <f t="shared" si="117"/>
        <v>0</v>
      </c>
      <c r="R332" s="140">
        <f t="shared" si="117"/>
        <v>1</v>
      </c>
      <c r="S332" s="140">
        <f t="shared" si="117"/>
        <v>1</v>
      </c>
      <c r="T332" s="140">
        <f t="shared" si="117"/>
        <v>0</v>
      </c>
      <c r="U332" s="140">
        <f t="shared" si="117"/>
        <v>0</v>
      </c>
      <c r="V332" s="140">
        <f t="shared" si="117"/>
        <v>0</v>
      </c>
      <c r="W332" s="140">
        <f t="shared" si="117"/>
        <v>1</v>
      </c>
      <c r="X332" s="140">
        <f t="shared" si="117"/>
        <v>1</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1</v>
      </c>
      <c r="AI332" s="140">
        <f t="shared" si="119"/>
        <v>0</v>
      </c>
      <c r="AJ332" s="140">
        <f t="shared" si="119"/>
        <v>0</v>
      </c>
      <c r="AK332" s="140">
        <f t="shared" si="119"/>
        <v>0</v>
      </c>
      <c r="AL332" s="140">
        <f t="shared" si="119"/>
        <v>0</v>
      </c>
      <c r="AM332" s="140">
        <f t="shared" si="119"/>
        <v>0</v>
      </c>
      <c r="AN332" s="140">
        <f t="shared" si="119"/>
        <v>1</v>
      </c>
      <c r="AO332" s="140">
        <f t="shared" si="119"/>
        <v>0</v>
      </c>
      <c r="AP332" s="140">
        <f t="shared" si="119"/>
        <v>0</v>
      </c>
      <c r="AQ332" s="140">
        <f t="shared" si="118"/>
        <v>1</v>
      </c>
      <c r="AR332" s="140">
        <f t="shared" si="118"/>
        <v>0.5</v>
      </c>
      <c r="AS332" s="140">
        <f t="shared" si="118"/>
        <v>0</v>
      </c>
      <c r="AT332" s="140">
        <f t="shared" si="118"/>
        <v>0</v>
      </c>
      <c r="AU332" s="140">
        <f t="shared" si="118"/>
        <v>0</v>
      </c>
      <c r="AV332" s="140">
        <f t="shared" si="118"/>
        <v>0.5</v>
      </c>
      <c r="AW332" s="140">
        <f t="shared" si="118"/>
        <v>1</v>
      </c>
      <c r="AX332" s="140">
        <f t="shared" si="118"/>
        <v>0</v>
      </c>
      <c r="AY332" s="140">
        <f t="shared" si="111"/>
        <v>5</v>
      </c>
      <c r="AZ332" s="22" t="s">
        <v>163</v>
      </c>
    </row>
    <row r="334" spans="1:52">
      <c r="A334" s="157" t="s">
        <v>164</v>
      </c>
    </row>
    <row r="335" spans="1:52">
      <c r="A335" s="140" t="s">
        <v>167</v>
      </c>
      <c r="B335" s="140">
        <f t="shared" ref="B335:Y345" si="120">IF(IFERROR(FIND($A$334,B5,1),0)=0,0,1)</f>
        <v>0</v>
      </c>
      <c r="C335" s="140">
        <f t="shared" si="120"/>
        <v>0</v>
      </c>
      <c r="D335" s="140">
        <f t="shared" si="120"/>
        <v>0</v>
      </c>
      <c r="E335" s="140">
        <f t="shared" si="120"/>
        <v>1</v>
      </c>
      <c r="F335" s="140">
        <f t="shared" si="120"/>
        <v>1</v>
      </c>
      <c r="G335" s="140">
        <f t="shared" si="120"/>
        <v>1</v>
      </c>
      <c r="H335" s="140">
        <f t="shared" si="120"/>
        <v>1</v>
      </c>
      <c r="I335" s="140">
        <f t="shared" si="120"/>
        <v>0</v>
      </c>
      <c r="J335" s="140">
        <f t="shared" si="120"/>
        <v>0</v>
      </c>
      <c r="K335" s="140">
        <f t="shared" si="120"/>
        <v>0</v>
      </c>
      <c r="L335" s="140">
        <f t="shared" si="120"/>
        <v>0</v>
      </c>
      <c r="M335" s="140">
        <f t="shared" si="120"/>
        <v>1</v>
      </c>
      <c r="N335" s="140">
        <f t="shared" si="120"/>
        <v>1</v>
      </c>
      <c r="O335" s="140">
        <f t="shared" si="120"/>
        <v>1</v>
      </c>
      <c r="P335" s="140">
        <f t="shared" si="120"/>
        <v>1</v>
      </c>
      <c r="Q335" s="140">
        <f t="shared" si="120"/>
        <v>0</v>
      </c>
      <c r="R335" s="140">
        <f t="shared" si="120"/>
        <v>0</v>
      </c>
      <c r="S335" s="140">
        <f t="shared" si="120"/>
        <v>0</v>
      </c>
      <c r="T335" s="140">
        <f t="shared" si="120"/>
        <v>1</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1</v>
      </c>
      <c r="AE335" s="140">
        <f t="shared" si="121"/>
        <v>1</v>
      </c>
      <c r="AF335" s="140">
        <f t="shared" si="121"/>
        <v>1</v>
      </c>
      <c r="AG335" s="140">
        <f t="shared" si="121"/>
        <v>1</v>
      </c>
      <c r="AH335" s="140">
        <f t="shared" si="121"/>
        <v>0</v>
      </c>
      <c r="AI335" s="140">
        <f t="shared" si="121"/>
        <v>0</v>
      </c>
      <c r="AJ335" s="140">
        <f t="shared" si="121"/>
        <v>0</v>
      </c>
      <c r="AK335" s="140">
        <f t="shared" si="121"/>
        <v>0</v>
      </c>
      <c r="AL335" s="140">
        <f t="shared" si="121"/>
        <v>1</v>
      </c>
      <c r="AM335" s="140">
        <f t="shared" si="121"/>
        <v>1</v>
      </c>
      <c r="AN335" s="140">
        <f t="shared" si="121"/>
        <v>1</v>
      </c>
      <c r="AO335" s="140">
        <f t="shared" si="121"/>
        <v>1</v>
      </c>
      <c r="AP335" s="140">
        <f t="shared" si="121"/>
        <v>0</v>
      </c>
      <c r="AQ335" s="140">
        <f t="shared" si="121"/>
        <v>0</v>
      </c>
      <c r="AR335" s="140">
        <f t="shared" si="121"/>
        <v>0</v>
      </c>
      <c r="AS335" s="140">
        <f t="shared" si="121"/>
        <v>1</v>
      </c>
      <c r="AT335" s="140">
        <f t="shared" si="121"/>
        <v>0</v>
      </c>
      <c r="AU335" s="140">
        <f t="shared" si="121"/>
        <v>0</v>
      </c>
      <c r="AV335" s="140">
        <f t="shared" si="121"/>
        <v>0</v>
      </c>
      <c r="AW335" s="140">
        <f t="shared" si="121"/>
        <v>0</v>
      </c>
      <c r="AX335" s="140">
        <f t="shared" si="121"/>
        <v>0</v>
      </c>
      <c r="AY335" s="140">
        <f t="shared" ref="AY335:AY365" si="122">SUM(AA335:AX335)</f>
        <v>9</v>
      </c>
      <c r="AZ335" s="145" t="s">
        <v>164</v>
      </c>
    </row>
    <row r="336" spans="1:52">
      <c r="A336" s="140" t="s">
        <v>168</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164</v>
      </c>
    </row>
    <row r="337" spans="1:52">
      <c r="A337" s="140" t="s">
        <v>169</v>
      </c>
      <c r="B337" s="140">
        <f t="shared" si="120"/>
        <v>0</v>
      </c>
      <c r="C337" s="140">
        <f t="shared" si="120"/>
        <v>0</v>
      </c>
      <c r="D337" s="140">
        <f t="shared" si="120"/>
        <v>0</v>
      </c>
      <c r="E337" s="140">
        <f t="shared" si="120"/>
        <v>0</v>
      </c>
      <c r="F337" s="140">
        <f t="shared" si="120"/>
        <v>0</v>
      </c>
      <c r="G337" s="140">
        <f t="shared" si="120"/>
        <v>0</v>
      </c>
      <c r="H337" s="140">
        <f t="shared" si="120"/>
        <v>0</v>
      </c>
      <c r="I337" s="140">
        <f t="shared" si="120"/>
        <v>0</v>
      </c>
      <c r="J337" s="140">
        <f t="shared" si="120"/>
        <v>0</v>
      </c>
      <c r="K337" s="140">
        <f t="shared" si="120"/>
        <v>0</v>
      </c>
      <c r="L337" s="140">
        <f t="shared" si="120"/>
        <v>0</v>
      </c>
      <c r="M337" s="140">
        <f t="shared" si="120"/>
        <v>1</v>
      </c>
      <c r="N337" s="140">
        <f t="shared" si="120"/>
        <v>0</v>
      </c>
      <c r="O337" s="140">
        <f t="shared" si="120"/>
        <v>0</v>
      </c>
      <c r="P337" s="140">
        <f t="shared" si="120"/>
        <v>0</v>
      </c>
      <c r="Q337" s="140">
        <f t="shared" si="120"/>
        <v>0</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v>
      </c>
      <c r="AG337" s="140">
        <f t="shared" si="121"/>
        <v>0</v>
      </c>
      <c r="AH337" s="140">
        <f t="shared" si="121"/>
        <v>0</v>
      </c>
      <c r="AI337" s="140">
        <f t="shared" si="121"/>
        <v>0</v>
      </c>
      <c r="AJ337" s="140">
        <f t="shared" si="121"/>
        <v>0</v>
      </c>
      <c r="AK337" s="140">
        <f t="shared" si="121"/>
        <v>0</v>
      </c>
      <c r="AL337" s="140">
        <f t="shared" si="121"/>
        <v>1</v>
      </c>
      <c r="AM337" s="140">
        <f t="shared" si="121"/>
        <v>0</v>
      </c>
      <c r="AN337" s="140">
        <f t="shared" si="121"/>
        <v>0</v>
      </c>
      <c r="AO337" s="140">
        <f t="shared" si="121"/>
        <v>0</v>
      </c>
      <c r="AP337" s="140">
        <f t="shared" si="121"/>
        <v>0</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1</v>
      </c>
      <c r="AZ337" s="145" t="s">
        <v>164</v>
      </c>
    </row>
    <row r="338" spans="1:52">
      <c r="A338" s="140" t="s">
        <v>170</v>
      </c>
      <c r="B338" s="140">
        <f t="shared" si="120"/>
        <v>0</v>
      </c>
      <c r="C338" s="140">
        <f t="shared" si="120"/>
        <v>0</v>
      </c>
      <c r="D338" s="140">
        <f t="shared" si="120"/>
        <v>0</v>
      </c>
      <c r="E338" s="140">
        <f t="shared" si="120"/>
        <v>0</v>
      </c>
      <c r="F338" s="140">
        <f t="shared" si="120"/>
        <v>0</v>
      </c>
      <c r="G338" s="140">
        <f t="shared" si="120"/>
        <v>0</v>
      </c>
      <c r="H338" s="140">
        <f t="shared" si="120"/>
        <v>0</v>
      </c>
      <c r="I338" s="140">
        <f t="shared" si="120"/>
        <v>0</v>
      </c>
      <c r="J338" s="140">
        <f t="shared" si="120"/>
        <v>1</v>
      </c>
      <c r="K338" s="140">
        <f t="shared" si="120"/>
        <v>0</v>
      </c>
      <c r="L338" s="140">
        <f t="shared" si="120"/>
        <v>0</v>
      </c>
      <c r="M338" s="140">
        <f t="shared" si="120"/>
        <v>1</v>
      </c>
      <c r="N338" s="140">
        <f t="shared" si="120"/>
        <v>1</v>
      </c>
      <c r="O338" s="140">
        <f t="shared" si="120"/>
        <v>1</v>
      </c>
      <c r="P338" s="140">
        <f t="shared" si="120"/>
        <v>0</v>
      </c>
      <c r="Q338" s="140">
        <f t="shared" si="120"/>
        <v>0</v>
      </c>
      <c r="R338" s="140">
        <f t="shared" si="120"/>
        <v>0</v>
      </c>
      <c r="S338" s="140">
        <f t="shared" si="120"/>
        <v>0</v>
      </c>
      <c r="T338" s="140">
        <f t="shared" si="120"/>
        <v>0</v>
      </c>
      <c r="U338" s="140">
        <f t="shared" si="120"/>
        <v>1</v>
      </c>
      <c r="V338" s="140">
        <f t="shared" si="120"/>
        <v>0</v>
      </c>
      <c r="W338" s="140">
        <f t="shared" si="120"/>
        <v>0</v>
      </c>
      <c r="X338" s="140">
        <f t="shared" si="120"/>
        <v>0</v>
      </c>
      <c r="Y338" s="140">
        <f t="shared" si="120"/>
        <v>0</v>
      </c>
      <c r="AA338" s="140">
        <f t="shared" si="121"/>
        <v>0</v>
      </c>
      <c r="AB338" s="140">
        <f t="shared" si="121"/>
        <v>0</v>
      </c>
      <c r="AC338" s="140">
        <f t="shared" si="121"/>
        <v>0</v>
      </c>
      <c r="AD338" s="140">
        <f t="shared" si="121"/>
        <v>0</v>
      </c>
      <c r="AE338" s="140">
        <f t="shared" si="121"/>
        <v>0</v>
      </c>
      <c r="AF338" s="140">
        <f t="shared" si="121"/>
        <v>0</v>
      </c>
      <c r="AG338" s="140">
        <f t="shared" si="121"/>
        <v>0</v>
      </c>
      <c r="AH338" s="140">
        <f t="shared" si="121"/>
        <v>0</v>
      </c>
      <c r="AI338" s="140">
        <f t="shared" si="121"/>
        <v>1</v>
      </c>
      <c r="AJ338" s="140">
        <f t="shared" si="121"/>
        <v>0</v>
      </c>
      <c r="AK338" s="140">
        <f t="shared" si="121"/>
        <v>0</v>
      </c>
      <c r="AL338" s="140">
        <f t="shared" si="121"/>
        <v>1</v>
      </c>
      <c r="AM338" s="140">
        <f t="shared" si="121"/>
        <v>1</v>
      </c>
      <c r="AN338" s="140">
        <f t="shared" si="121"/>
        <v>1</v>
      </c>
      <c r="AO338" s="140">
        <f t="shared" si="121"/>
        <v>0</v>
      </c>
      <c r="AP338" s="140">
        <f t="shared" si="121"/>
        <v>0</v>
      </c>
      <c r="AQ338" s="140">
        <f t="shared" si="121"/>
        <v>0</v>
      </c>
      <c r="AR338" s="140">
        <f t="shared" si="121"/>
        <v>0</v>
      </c>
      <c r="AS338" s="140">
        <f t="shared" si="121"/>
        <v>0</v>
      </c>
      <c r="AT338" s="140">
        <f t="shared" si="121"/>
        <v>1</v>
      </c>
      <c r="AU338" s="140">
        <f t="shared" si="121"/>
        <v>0</v>
      </c>
      <c r="AV338" s="140">
        <f t="shared" si="121"/>
        <v>0</v>
      </c>
      <c r="AW338" s="140">
        <f t="shared" si="121"/>
        <v>0</v>
      </c>
      <c r="AX338" s="140">
        <f t="shared" si="121"/>
        <v>0</v>
      </c>
      <c r="AY338" s="140">
        <f t="shared" si="122"/>
        <v>5</v>
      </c>
      <c r="AZ338" s="145" t="s">
        <v>164</v>
      </c>
    </row>
    <row r="339" spans="1:52">
      <c r="A339" s="140" t="s">
        <v>171</v>
      </c>
      <c r="B339" s="140">
        <f t="shared" si="120"/>
        <v>0</v>
      </c>
      <c r="C339" s="140">
        <f t="shared" si="120"/>
        <v>0</v>
      </c>
      <c r="D339" s="140">
        <f t="shared" si="120"/>
        <v>1</v>
      </c>
      <c r="E339" s="140">
        <f t="shared" si="120"/>
        <v>0</v>
      </c>
      <c r="F339" s="140">
        <f t="shared" si="120"/>
        <v>0</v>
      </c>
      <c r="G339" s="140">
        <f t="shared" si="120"/>
        <v>0</v>
      </c>
      <c r="H339" s="140">
        <f t="shared" si="120"/>
        <v>0</v>
      </c>
      <c r="I339" s="140">
        <f t="shared" si="120"/>
        <v>0</v>
      </c>
      <c r="J339" s="140">
        <f t="shared" si="120"/>
        <v>0</v>
      </c>
      <c r="K339" s="140">
        <f t="shared" si="120"/>
        <v>0</v>
      </c>
      <c r="L339" s="140">
        <f t="shared" si="120"/>
        <v>0</v>
      </c>
      <c r="M339" s="140">
        <f t="shared" si="120"/>
        <v>0</v>
      </c>
      <c r="N339" s="140">
        <f t="shared" si="120"/>
        <v>0</v>
      </c>
      <c r="O339" s="140">
        <f t="shared" si="120"/>
        <v>0</v>
      </c>
      <c r="P339" s="140">
        <f t="shared" si="120"/>
        <v>0</v>
      </c>
      <c r="Q339" s="140">
        <f t="shared" si="120"/>
        <v>0</v>
      </c>
      <c r="R339" s="140">
        <f t="shared" si="120"/>
        <v>0</v>
      </c>
      <c r="S339" s="140">
        <f t="shared" si="120"/>
        <v>0</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1</v>
      </c>
      <c r="AD339" s="140">
        <f t="shared" si="121"/>
        <v>0</v>
      </c>
      <c r="AE339" s="140">
        <f t="shared" si="121"/>
        <v>0</v>
      </c>
      <c r="AF339" s="140">
        <f t="shared" si="121"/>
        <v>0</v>
      </c>
      <c r="AG339" s="140">
        <f t="shared" si="121"/>
        <v>0</v>
      </c>
      <c r="AH339" s="140">
        <f t="shared" si="121"/>
        <v>0</v>
      </c>
      <c r="AI339" s="140">
        <f t="shared" si="121"/>
        <v>0</v>
      </c>
      <c r="AJ339" s="140">
        <f t="shared" si="121"/>
        <v>0</v>
      </c>
      <c r="AK339" s="140">
        <f t="shared" si="121"/>
        <v>0</v>
      </c>
      <c r="AL339" s="140">
        <f t="shared" si="121"/>
        <v>0</v>
      </c>
      <c r="AM339" s="140">
        <f t="shared" si="121"/>
        <v>0</v>
      </c>
      <c r="AN339" s="140">
        <f t="shared" si="121"/>
        <v>0</v>
      </c>
      <c r="AO339" s="140">
        <f t="shared" si="121"/>
        <v>0</v>
      </c>
      <c r="AP339" s="140">
        <f t="shared" si="121"/>
        <v>0</v>
      </c>
      <c r="AQ339" s="140">
        <f t="shared" si="121"/>
        <v>0</v>
      </c>
      <c r="AR339" s="140">
        <f t="shared" si="121"/>
        <v>0</v>
      </c>
      <c r="AS339" s="140">
        <f t="shared" si="121"/>
        <v>0</v>
      </c>
      <c r="AT339" s="140">
        <f t="shared" si="121"/>
        <v>0</v>
      </c>
      <c r="AU339" s="140">
        <f t="shared" si="121"/>
        <v>0</v>
      </c>
      <c r="AV339" s="140">
        <f t="shared" si="121"/>
        <v>0</v>
      </c>
      <c r="AW339" s="140">
        <f t="shared" si="121"/>
        <v>0</v>
      </c>
      <c r="AX339" s="140">
        <f t="shared" si="121"/>
        <v>0</v>
      </c>
      <c r="AY339" s="140">
        <f t="shared" si="122"/>
        <v>1</v>
      </c>
      <c r="AZ339" s="145" t="s">
        <v>164</v>
      </c>
    </row>
    <row r="340" spans="1:52">
      <c r="A340" s="140" t="s">
        <v>172</v>
      </c>
      <c r="B340" s="140">
        <f t="shared" si="120"/>
        <v>0</v>
      </c>
      <c r="C340" s="140">
        <f t="shared" si="120"/>
        <v>0</v>
      </c>
      <c r="D340" s="140">
        <f t="shared" si="120"/>
        <v>0</v>
      </c>
      <c r="E340" s="140">
        <f t="shared" si="120"/>
        <v>0</v>
      </c>
      <c r="F340" s="140">
        <f t="shared" si="120"/>
        <v>0</v>
      </c>
      <c r="G340" s="140">
        <f t="shared" si="120"/>
        <v>0</v>
      </c>
      <c r="H340" s="140">
        <f t="shared" si="120"/>
        <v>0</v>
      </c>
      <c r="I340" s="140">
        <f t="shared" si="120"/>
        <v>0</v>
      </c>
      <c r="J340" s="140">
        <f t="shared" si="120"/>
        <v>0</v>
      </c>
      <c r="K340" s="140">
        <f t="shared" si="120"/>
        <v>0</v>
      </c>
      <c r="L340" s="140">
        <f t="shared" si="120"/>
        <v>0</v>
      </c>
      <c r="M340" s="140">
        <f t="shared" si="120"/>
        <v>0</v>
      </c>
      <c r="N340" s="140">
        <f t="shared" si="120"/>
        <v>0</v>
      </c>
      <c r="O340" s="140">
        <f t="shared" si="120"/>
        <v>0</v>
      </c>
      <c r="P340" s="140">
        <f t="shared" si="120"/>
        <v>0</v>
      </c>
      <c r="Q340" s="140">
        <f t="shared" si="120"/>
        <v>0</v>
      </c>
      <c r="R340" s="140">
        <f t="shared" si="120"/>
        <v>0</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0</v>
      </c>
      <c r="AB340" s="140">
        <f t="shared" si="121"/>
        <v>0</v>
      </c>
      <c r="AC340" s="140">
        <f t="shared" si="121"/>
        <v>0</v>
      </c>
      <c r="AD340" s="140">
        <f t="shared" si="121"/>
        <v>0</v>
      </c>
      <c r="AE340" s="140">
        <f t="shared" si="121"/>
        <v>0</v>
      </c>
      <c r="AF340" s="140">
        <f t="shared" si="121"/>
        <v>0</v>
      </c>
      <c r="AG340" s="140">
        <f t="shared" si="121"/>
        <v>0</v>
      </c>
      <c r="AH340" s="140">
        <f t="shared" si="121"/>
        <v>0</v>
      </c>
      <c r="AI340" s="140">
        <f t="shared" si="121"/>
        <v>0</v>
      </c>
      <c r="AJ340" s="140">
        <f t="shared" si="121"/>
        <v>0</v>
      </c>
      <c r="AK340" s="140">
        <f t="shared" si="121"/>
        <v>0</v>
      </c>
      <c r="AL340" s="140">
        <f t="shared" si="121"/>
        <v>0</v>
      </c>
      <c r="AM340" s="140">
        <f t="shared" si="121"/>
        <v>0</v>
      </c>
      <c r="AN340" s="140">
        <f t="shared" si="121"/>
        <v>0</v>
      </c>
      <c r="AO340" s="140">
        <f t="shared" si="121"/>
        <v>0</v>
      </c>
      <c r="AP340" s="140">
        <f t="shared" si="121"/>
        <v>0</v>
      </c>
      <c r="AQ340" s="140">
        <f t="shared" si="121"/>
        <v>0</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0</v>
      </c>
      <c r="AZ340" s="145" t="s">
        <v>164</v>
      </c>
    </row>
    <row r="341" spans="1:52">
      <c r="A341" s="140" t="s">
        <v>173</v>
      </c>
      <c r="B341" s="140">
        <f t="shared" si="120"/>
        <v>0</v>
      </c>
      <c r="C341" s="140">
        <f t="shared" si="120"/>
        <v>0</v>
      </c>
      <c r="D341" s="140">
        <f t="shared" si="120"/>
        <v>0</v>
      </c>
      <c r="E341" s="140">
        <f t="shared" si="120"/>
        <v>0</v>
      </c>
      <c r="F341" s="140">
        <f t="shared" si="120"/>
        <v>1</v>
      </c>
      <c r="G341" s="140">
        <f t="shared" si="120"/>
        <v>0</v>
      </c>
      <c r="H341" s="140">
        <f t="shared" si="120"/>
        <v>0</v>
      </c>
      <c r="I341" s="140">
        <f t="shared" si="120"/>
        <v>0</v>
      </c>
      <c r="J341" s="140">
        <f t="shared" si="120"/>
        <v>0</v>
      </c>
      <c r="K341" s="140">
        <f>IF(IFERROR(FIND($A$334,#REF!,1),0)=0,0,1)</f>
        <v>0</v>
      </c>
      <c r="L341" s="140">
        <f t="shared" si="120"/>
        <v>0</v>
      </c>
      <c r="M341" s="140">
        <f t="shared" si="120"/>
        <v>0</v>
      </c>
      <c r="N341" s="140">
        <f t="shared" si="120"/>
        <v>0</v>
      </c>
      <c r="O341" s="140">
        <f t="shared" si="120"/>
        <v>0</v>
      </c>
      <c r="P341" s="140">
        <f t="shared" si="120"/>
        <v>0</v>
      </c>
      <c r="Q341" s="140">
        <f t="shared" si="120"/>
        <v>0</v>
      </c>
      <c r="R341" s="140">
        <f t="shared" si="120"/>
        <v>0</v>
      </c>
      <c r="S341" s="140">
        <f t="shared" si="120"/>
        <v>0</v>
      </c>
      <c r="T341" s="140">
        <f t="shared" si="120"/>
        <v>0</v>
      </c>
      <c r="U341" s="140">
        <f t="shared" si="120"/>
        <v>0</v>
      </c>
      <c r="V341" s="140">
        <f t="shared" si="120"/>
        <v>0</v>
      </c>
      <c r="W341" s="140">
        <f t="shared" si="120"/>
        <v>0</v>
      </c>
      <c r="X341" s="140">
        <f t="shared" si="120"/>
        <v>0</v>
      </c>
      <c r="Y341" s="140">
        <f t="shared" si="120"/>
        <v>0</v>
      </c>
      <c r="AA341" s="140">
        <f t="shared" si="121"/>
        <v>0</v>
      </c>
      <c r="AB341" s="140">
        <f t="shared" si="121"/>
        <v>0</v>
      </c>
      <c r="AC341" s="140">
        <f t="shared" si="121"/>
        <v>0</v>
      </c>
      <c r="AD341" s="140">
        <f t="shared" si="121"/>
        <v>0</v>
      </c>
      <c r="AE341" s="140">
        <f t="shared" si="121"/>
        <v>1</v>
      </c>
      <c r="AF341" s="140">
        <f t="shared" si="121"/>
        <v>0</v>
      </c>
      <c r="AG341" s="140">
        <f t="shared" si="121"/>
        <v>0</v>
      </c>
      <c r="AH341" s="140">
        <f t="shared" si="121"/>
        <v>0</v>
      </c>
      <c r="AI341" s="140">
        <f t="shared" si="121"/>
        <v>0</v>
      </c>
      <c r="AJ341" s="140">
        <f t="shared" si="121"/>
        <v>0</v>
      </c>
      <c r="AK341" s="140">
        <f t="shared" si="121"/>
        <v>0</v>
      </c>
      <c r="AL341" s="140">
        <f t="shared" si="121"/>
        <v>0</v>
      </c>
      <c r="AM341" s="140">
        <f t="shared" si="121"/>
        <v>0</v>
      </c>
      <c r="AN341" s="140">
        <f t="shared" si="121"/>
        <v>0</v>
      </c>
      <c r="AO341" s="140">
        <f t="shared" si="121"/>
        <v>0</v>
      </c>
      <c r="AP341" s="140">
        <f t="shared" si="121"/>
        <v>0</v>
      </c>
      <c r="AQ341" s="140">
        <f t="shared" si="121"/>
        <v>0</v>
      </c>
      <c r="AR341" s="140">
        <f t="shared" si="121"/>
        <v>0</v>
      </c>
      <c r="AS341" s="140">
        <f t="shared" si="121"/>
        <v>0</v>
      </c>
      <c r="AT341" s="140">
        <f t="shared" si="121"/>
        <v>0</v>
      </c>
      <c r="AU341" s="140">
        <f t="shared" si="121"/>
        <v>0</v>
      </c>
      <c r="AV341" s="140">
        <f t="shared" si="121"/>
        <v>0</v>
      </c>
      <c r="AW341" s="140">
        <f t="shared" si="121"/>
        <v>0</v>
      </c>
      <c r="AX341" s="140">
        <f t="shared" si="121"/>
        <v>0</v>
      </c>
      <c r="AY341" s="140">
        <f t="shared" si="122"/>
        <v>1</v>
      </c>
      <c r="AZ341" s="145" t="s">
        <v>164</v>
      </c>
    </row>
    <row r="342" spans="1:52">
      <c r="A342" s="140" t="s">
        <v>174</v>
      </c>
      <c r="B342" s="140">
        <f t="shared" si="120"/>
        <v>0</v>
      </c>
      <c r="C342" s="140">
        <f t="shared" si="120"/>
        <v>0</v>
      </c>
      <c r="D342" s="140">
        <f t="shared" si="120"/>
        <v>0</v>
      </c>
      <c r="E342" s="140">
        <f t="shared" si="120"/>
        <v>0</v>
      </c>
      <c r="F342" s="140">
        <f t="shared" si="120"/>
        <v>0</v>
      </c>
      <c r="G342" s="140">
        <f t="shared" si="120"/>
        <v>0</v>
      </c>
      <c r="H342" s="140">
        <f t="shared" si="120"/>
        <v>0</v>
      </c>
      <c r="I342" s="140">
        <f t="shared" si="120"/>
        <v>0</v>
      </c>
      <c r="J342" s="140">
        <f t="shared" si="120"/>
        <v>0</v>
      </c>
      <c r="K342" s="140">
        <f t="shared" si="120"/>
        <v>0</v>
      </c>
      <c r="L342" s="140">
        <f t="shared" si="120"/>
        <v>0</v>
      </c>
      <c r="M342" s="140">
        <f t="shared" si="120"/>
        <v>0</v>
      </c>
      <c r="N342" s="140">
        <f t="shared" si="120"/>
        <v>0</v>
      </c>
      <c r="O342" s="140">
        <f t="shared" si="120"/>
        <v>0</v>
      </c>
      <c r="P342" s="140">
        <f t="shared" si="120"/>
        <v>0</v>
      </c>
      <c r="Q342" s="140">
        <f t="shared" si="120"/>
        <v>1</v>
      </c>
      <c r="R342" s="140">
        <f t="shared" si="120"/>
        <v>1</v>
      </c>
      <c r="S342" s="140">
        <f t="shared" si="120"/>
        <v>0</v>
      </c>
      <c r="T342" s="140">
        <f t="shared" si="120"/>
        <v>0</v>
      </c>
      <c r="U342" s="140">
        <f t="shared" si="120"/>
        <v>0</v>
      </c>
      <c r="V342" s="140">
        <f t="shared" si="120"/>
        <v>0</v>
      </c>
      <c r="W342" s="140">
        <f t="shared" si="120"/>
        <v>0</v>
      </c>
      <c r="X342" s="140">
        <f t="shared" si="120"/>
        <v>0</v>
      </c>
      <c r="Y342" s="140">
        <f t="shared" si="120"/>
        <v>0</v>
      </c>
      <c r="AA342" s="140">
        <f t="shared" si="121"/>
        <v>0</v>
      </c>
      <c r="AB342" s="140">
        <f t="shared" si="121"/>
        <v>0</v>
      </c>
      <c r="AC342" s="140">
        <f t="shared" si="121"/>
        <v>0</v>
      </c>
      <c r="AD342" s="140">
        <f t="shared" si="121"/>
        <v>0</v>
      </c>
      <c r="AE342" s="140">
        <f t="shared" si="121"/>
        <v>0</v>
      </c>
      <c r="AF342" s="140">
        <f t="shared" si="121"/>
        <v>0</v>
      </c>
      <c r="AG342" s="140">
        <f t="shared" si="121"/>
        <v>0</v>
      </c>
      <c r="AH342" s="140">
        <f t="shared" si="121"/>
        <v>0</v>
      </c>
      <c r="AI342" s="140">
        <f t="shared" si="121"/>
        <v>0</v>
      </c>
      <c r="AJ342" s="140">
        <f t="shared" si="121"/>
        <v>0</v>
      </c>
      <c r="AK342" s="140">
        <f t="shared" si="121"/>
        <v>0</v>
      </c>
      <c r="AL342" s="140">
        <f t="shared" si="121"/>
        <v>0</v>
      </c>
      <c r="AM342" s="140">
        <f t="shared" si="121"/>
        <v>0</v>
      </c>
      <c r="AN342" s="140">
        <f t="shared" si="121"/>
        <v>0</v>
      </c>
      <c r="AO342" s="140">
        <f t="shared" si="121"/>
        <v>0</v>
      </c>
      <c r="AP342" s="140">
        <f t="shared" si="121"/>
        <v>1</v>
      </c>
      <c r="AQ342" s="140">
        <f t="shared" si="121"/>
        <v>1</v>
      </c>
      <c r="AR342" s="140">
        <f t="shared" si="121"/>
        <v>0</v>
      </c>
      <c r="AS342" s="140">
        <f t="shared" si="121"/>
        <v>0</v>
      </c>
      <c r="AT342" s="140">
        <f t="shared" si="121"/>
        <v>0</v>
      </c>
      <c r="AU342" s="140">
        <f t="shared" si="121"/>
        <v>0</v>
      </c>
      <c r="AV342" s="140">
        <f t="shared" si="121"/>
        <v>0</v>
      </c>
      <c r="AW342" s="140">
        <f t="shared" si="121"/>
        <v>0</v>
      </c>
      <c r="AX342" s="140">
        <f t="shared" si="121"/>
        <v>0</v>
      </c>
      <c r="AY342" s="140">
        <f t="shared" si="122"/>
        <v>2</v>
      </c>
      <c r="AZ342" s="145" t="s">
        <v>164</v>
      </c>
    </row>
    <row r="343" spans="1:52">
      <c r="A343" s="140" t="s">
        <v>175</v>
      </c>
      <c r="B343" s="140">
        <f t="shared" si="120"/>
        <v>0</v>
      </c>
      <c r="C343" s="140">
        <f t="shared" si="120"/>
        <v>1</v>
      </c>
      <c r="D343" s="140">
        <f t="shared" si="120"/>
        <v>0</v>
      </c>
      <c r="E343" s="140">
        <f t="shared" si="120"/>
        <v>0</v>
      </c>
      <c r="F343" s="140">
        <f t="shared" si="120"/>
        <v>0</v>
      </c>
      <c r="G343" s="140">
        <f t="shared" si="120"/>
        <v>0</v>
      </c>
      <c r="H343" s="140">
        <f t="shared" si="120"/>
        <v>0</v>
      </c>
      <c r="I343" s="140">
        <f t="shared" si="120"/>
        <v>1</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1</v>
      </c>
      <c r="S343" s="140">
        <f t="shared" si="120"/>
        <v>1</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1</v>
      </c>
      <c r="AC343" s="140">
        <f t="shared" si="121"/>
        <v>0</v>
      </c>
      <c r="AD343" s="140">
        <f t="shared" si="121"/>
        <v>0</v>
      </c>
      <c r="AE343" s="140">
        <f t="shared" si="121"/>
        <v>0</v>
      </c>
      <c r="AF343" s="140">
        <f t="shared" si="121"/>
        <v>0</v>
      </c>
      <c r="AG343" s="140">
        <f t="shared" si="121"/>
        <v>0</v>
      </c>
      <c r="AH343" s="140">
        <f t="shared" si="121"/>
        <v>1</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1</v>
      </c>
      <c r="AR343" s="140">
        <f t="shared" si="121"/>
        <v>1</v>
      </c>
      <c r="AS343" s="140">
        <f t="shared" si="121"/>
        <v>0</v>
      </c>
      <c r="AT343" s="140">
        <f t="shared" si="121"/>
        <v>0</v>
      </c>
      <c r="AU343" s="140">
        <f t="shared" si="121"/>
        <v>0</v>
      </c>
      <c r="AV343" s="140">
        <f t="shared" si="121"/>
        <v>0</v>
      </c>
      <c r="AW343" s="140">
        <f t="shared" si="121"/>
        <v>0</v>
      </c>
      <c r="AX343" s="140">
        <f t="shared" si="121"/>
        <v>0</v>
      </c>
      <c r="AY343" s="140">
        <f t="shared" si="122"/>
        <v>4</v>
      </c>
      <c r="AZ343" s="145" t="s">
        <v>164</v>
      </c>
    </row>
    <row r="344" spans="1:52">
      <c r="A344" s="140" t="s">
        <v>176</v>
      </c>
      <c r="B344" s="140">
        <f t="shared" si="120"/>
        <v>0</v>
      </c>
      <c r="C344" s="140">
        <f t="shared" si="120"/>
        <v>0</v>
      </c>
      <c r="D344" s="140">
        <f t="shared" si="120"/>
        <v>1</v>
      </c>
      <c r="E344" s="140">
        <f t="shared" si="120"/>
        <v>1</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1</v>
      </c>
      <c r="AD344" s="140">
        <f t="shared" si="121"/>
        <v>1</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2</v>
      </c>
      <c r="AZ344" s="145" t="s">
        <v>164</v>
      </c>
    </row>
    <row r="345" spans="1:52">
      <c r="A345" s="140" t="s">
        <v>177</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0</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0</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0</v>
      </c>
      <c r="AZ345" s="145" t="s">
        <v>164</v>
      </c>
    </row>
    <row r="346" spans="1:52">
      <c r="A346" s="140" t="s">
        <v>178</v>
      </c>
      <c r="B346" s="140">
        <f t="shared" ref="B346:Y356" si="125">IF(IFERROR(FIND($A$334,B16,1),0)=0,0,1)</f>
        <v>0</v>
      </c>
      <c r="C346" s="140">
        <f t="shared" si="125"/>
        <v>0</v>
      </c>
      <c r="D346" s="140">
        <f t="shared" si="125"/>
        <v>0</v>
      </c>
      <c r="E346" s="140">
        <f t="shared" si="125"/>
        <v>1</v>
      </c>
      <c r="F346" s="140">
        <f t="shared" si="125"/>
        <v>1</v>
      </c>
      <c r="G346" s="140">
        <f t="shared" si="125"/>
        <v>0</v>
      </c>
      <c r="H346" s="140">
        <f t="shared" si="125"/>
        <v>0</v>
      </c>
      <c r="I346" s="140">
        <f t="shared" si="125"/>
        <v>0</v>
      </c>
      <c r="J346" s="140">
        <f t="shared" si="125"/>
        <v>0</v>
      </c>
      <c r="K346" s="140">
        <f t="shared" si="125"/>
        <v>0</v>
      </c>
      <c r="L346" s="140">
        <f t="shared" si="125"/>
        <v>0</v>
      </c>
      <c r="M346" s="140">
        <f t="shared" si="125"/>
        <v>0</v>
      </c>
      <c r="N346" s="140">
        <f t="shared" si="125"/>
        <v>0</v>
      </c>
      <c r="O346" s="140">
        <f t="shared" si="125"/>
        <v>0</v>
      </c>
      <c r="P346" s="140">
        <f t="shared" si="125"/>
        <v>0</v>
      </c>
      <c r="Q346" s="140">
        <f t="shared" si="125"/>
        <v>0</v>
      </c>
      <c r="R346" s="140">
        <f t="shared" si="125"/>
        <v>0</v>
      </c>
      <c r="S346" s="140">
        <f t="shared" si="125"/>
        <v>0</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1</v>
      </c>
      <c r="AE346" s="140">
        <f t="shared" si="126"/>
        <v>1</v>
      </c>
      <c r="AF346" s="140">
        <f t="shared" si="126"/>
        <v>0</v>
      </c>
      <c r="AG346" s="140">
        <f t="shared" si="126"/>
        <v>0</v>
      </c>
      <c r="AH346" s="140">
        <f t="shared" si="126"/>
        <v>0</v>
      </c>
      <c r="AI346" s="140">
        <f t="shared" si="126"/>
        <v>0</v>
      </c>
      <c r="AJ346" s="140">
        <f t="shared" si="126"/>
        <v>0</v>
      </c>
      <c r="AK346" s="140">
        <f t="shared" si="126"/>
        <v>0</v>
      </c>
      <c r="AL346" s="140">
        <f t="shared" si="126"/>
        <v>0</v>
      </c>
      <c r="AM346" s="140">
        <f t="shared" si="126"/>
        <v>0</v>
      </c>
      <c r="AN346" s="140">
        <f t="shared" si="126"/>
        <v>0</v>
      </c>
      <c r="AO346" s="140">
        <f t="shared" si="126"/>
        <v>0</v>
      </c>
      <c r="AP346" s="140">
        <f t="shared" si="124"/>
        <v>0</v>
      </c>
      <c r="AQ346" s="140">
        <f t="shared" si="124"/>
        <v>0</v>
      </c>
      <c r="AR346" s="140">
        <f t="shared" si="124"/>
        <v>0</v>
      </c>
      <c r="AS346" s="140">
        <f t="shared" si="124"/>
        <v>0</v>
      </c>
      <c r="AT346" s="140">
        <f t="shared" si="124"/>
        <v>0</v>
      </c>
      <c r="AU346" s="140">
        <f t="shared" si="124"/>
        <v>0</v>
      </c>
      <c r="AV346" s="140">
        <f t="shared" si="124"/>
        <v>0</v>
      </c>
      <c r="AW346" s="140">
        <f t="shared" si="124"/>
        <v>0</v>
      </c>
      <c r="AX346" s="140">
        <f t="shared" si="124"/>
        <v>0</v>
      </c>
      <c r="AY346" s="140">
        <f t="shared" si="122"/>
        <v>2</v>
      </c>
      <c r="AZ346" s="145" t="s">
        <v>164</v>
      </c>
    </row>
    <row r="347" spans="1:52">
      <c r="A347" s="140" t="s">
        <v>179</v>
      </c>
      <c r="B347" s="140">
        <f t="shared" si="125"/>
        <v>0</v>
      </c>
      <c r="C347" s="140">
        <f t="shared" si="125"/>
        <v>0</v>
      </c>
      <c r="D347" s="140">
        <f t="shared" si="125"/>
        <v>0</v>
      </c>
      <c r="E347" s="140">
        <f t="shared" si="125"/>
        <v>0</v>
      </c>
      <c r="F347" s="140">
        <f t="shared" si="125"/>
        <v>0</v>
      </c>
      <c r="G347" s="140">
        <f t="shared" si="125"/>
        <v>0</v>
      </c>
      <c r="H347" s="140">
        <f t="shared" si="125"/>
        <v>0</v>
      </c>
      <c r="I347" s="140">
        <f t="shared" si="125"/>
        <v>0</v>
      </c>
      <c r="J347" s="140">
        <f t="shared" si="125"/>
        <v>0</v>
      </c>
      <c r="K347" s="140">
        <f t="shared" si="125"/>
        <v>0</v>
      </c>
      <c r="L347" s="140">
        <f t="shared" si="125"/>
        <v>0</v>
      </c>
      <c r="M347" s="140">
        <f t="shared" si="125"/>
        <v>0</v>
      </c>
      <c r="N347" s="140">
        <f t="shared" si="125"/>
        <v>0</v>
      </c>
      <c r="O347" s="140">
        <f t="shared" si="125"/>
        <v>0</v>
      </c>
      <c r="P347" s="140">
        <f t="shared" si="125"/>
        <v>0</v>
      </c>
      <c r="Q347" s="140">
        <f t="shared" si="125"/>
        <v>0</v>
      </c>
      <c r="R347" s="140">
        <f t="shared" si="125"/>
        <v>0</v>
      </c>
      <c r="S347" s="140">
        <f t="shared" si="125"/>
        <v>0</v>
      </c>
      <c r="T347" s="140">
        <f t="shared" si="125"/>
        <v>0</v>
      </c>
      <c r="U347" s="140">
        <f t="shared" si="125"/>
        <v>0</v>
      </c>
      <c r="V347" s="140">
        <f t="shared" si="125"/>
        <v>0</v>
      </c>
      <c r="W347" s="140">
        <f t="shared" si="125"/>
        <v>0</v>
      </c>
      <c r="X347" s="140">
        <f t="shared" si="125"/>
        <v>0</v>
      </c>
      <c r="Y347" s="140">
        <f t="shared" si="125"/>
        <v>0</v>
      </c>
      <c r="AA347" s="140">
        <f t="shared" si="126"/>
        <v>0</v>
      </c>
      <c r="AB347" s="140">
        <f t="shared" si="126"/>
        <v>0</v>
      </c>
      <c r="AC347" s="140">
        <f t="shared" si="126"/>
        <v>0</v>
      </c>
      <c r="AD347" s="140">
        <f t="shared" si="126"/>
        <v>0</v>
      </c>
      <c r="AE347" s="140">
        <f t="shared" si="126"/>
        <v>0</v>
      </c>
      <c r="AF347" s="140">
        <f t="shared" si="126"/>
        <v>0</v>
      </c>
      <c r="AG347" s="140">
        <f t="shared" si="126"/>
        <v>0</v>
      </c>
      <c r="AH347" s="140">
        <f t="shared" si="126"/>
        <v>0</v>
      </c>
      <c r="AI347" s="140">
        <f t="shared" si="126"/>
        <v>0</v>
      </c>
      <c r="AJ347" s="140">
        <f t="shared" si="126"/>
        <v>0</v>
      </c>
      <c r="AK347" s="140">
        <f t="shared" si="126"/>
        <v>0</v>
      </c>
      <c r="AL347" s="140">
        <f t="shared" si="126"/>
        <v>0</v>
      </c>
      <c r="AM347" s="140">
        <f t="shared" si="126"/>
        <v>0</v>
      </c>
      <c r="AN347" s="140">
        <f t="shared" si="126"/>
        <v>0</v>
      </c>
      <c r="AO347" s="140">
        <f t="shared" si="126"/>
        <v>0</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0</v>
      </c>
      <c r="AX347" s="140">
        <f t="shared" si="124"/>
        <v>0</v>
      </c>
      <c r="AY347" s="140">
        <f t="shared" si="122"/>
        <v>0</v>
      </c>
      <c r="AZ347" s="145" t="s">
        <v>164</v>
      </c>
    </row>
    <row r="348" spans="1:52">
      <c r="A348" s="140" t="s">
        <v>180</v>
      </c>
      <c r="B348" s="140">
        <f t="shared" si="125"/>
        <v>0</v>
      </c>
      <c r="C348" s="140">
        <f t="shared" si="125"/>
        <v>0</v>
      </c>
      <c r="D348" s="140">
        <f t="shared" si="125"/>
        <v>0</v>
      </c>
      <c r="E348" s="140">
        <f t="shared" si="125"/>
        <v>0</v>
      </c>
      <c r="F348" s="140">
        <f t="shared" si="125"/>
        <v>0</v>
      </c>
      <c r="G348" s="140">
        <f t="shared" si="125"/>
        <v>0</v>
      </c>
      <c r="H348" s="140">
        <f t="shared" si="125"/>
        <v>0</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0</v>
      </c>
      <c r="AD348" s="140">
        <f t="shared" si="126"/>
        <v>0</v>
      </c>
      <c r="AE348" s="140">
        <f t="shared" si="126"/>
        <v>0</v>
      </c>
      <c r="AF348" s="140">
        <f t="shared" si="126"/>
        <v>0</v>
      </c>
      <c r="AG348" s="140">
        <f t="shared" si="126"/>
        <v>0</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0</v>
      </c>
      <c r="AZ348" s="145" t="s">
        <v>164</v>
      </c>
    </row>
    <row r="349" spans="1:52">
      <c r="A349" s="140" t="s">
        <v>181</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0</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0</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0</v>
      </c>
      <c r="AZ349" s="145" t="s">
        <v>164</v>
      </c>
    </row>
    <row r="350" spans="1:52">
      <c r="A350" s="140" t="s">
        <v>182</v>
      </c>
      <c r="B350" s="140">
        <f t="shared" si="125"/>
        <v>0</v>
      </c>
      <c r="C350" s="140">
        <f t="shared" si="125"/>
        <v>0</v>
      </c>
      <c r="D350" s="140">
        <f t="shared" si="125"/>
        <v>0</v>
      </c>
      <c r="E350" s="140">
        <f t="shared" si="125"/>
        <v>0</v>
      </c>
      <c r="F350" s="140">
        <f t="shared" si="125"/>
        <v>0</v>
      </c>
      <c r="G350" s="140">
        <f t="shared" si="125"/>
        <v>0</v>
      </c>
      <c r="H350" s="140">
        <f t="shared" si="125"/>
        <v>0</v>
      </c>
      <c r="I350" s="140">
        <f t="shared" si="125"/>
        <v>0</v>
      </c>
      <c r="J350" s="140">
        <f t="shared" si="125"/>
        <v>0</v>
      </c>
      <c r="K350" s="140">
        <f t="shared" si="125"/>
        <v>0</v>
      </c>
      <c r="L350" s="140">
        <f t="shared" si="125"/>
        <v>0</v>
      </c>
      <c r="M350" s="140">
        <f t="shared" si="125"/>
        <v>0</v>
      </c>
      <c r="N350" s="140">
        <f t="shared" si="125"/>
        <v>0</v>
      </c>
      <c r="O350" s="140">
        <f t="shared" si="125"/>
        <v>0</v>
      </c>
      <c r="P350" s="140">
        <f t="shared" si="125"/>
        <v>0</v>
      </c>
      <c r="Q350" s="140">
        <f t="shared" si="125"/>
        <v>0</v>
      </c>
      <c r="R350" s="140">
        <f t="shared" si="125"/>
        <v>0</v>
      </c>
      <c r="S350" s="140">
        <f t="shared" si="125"/>
        <v>0</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0</v>
      </c>
      <c r="AQ350" s="140">
        <f t="shared" si="124"/>
        <v>0</v>
      </c>
      <c r="AR350" s="140">
        <f t="shared" si="124"/>
        <v>0</v>
      </c>
      <c r="AS350" s="140">
        <f t="shared" si="124"/>
        <v>0</v>
      </c>
      <c r="AT350" s="140">
        <f t="shared" si="124"/>
        <v>0</v>
      </c>
      <c r="AU350" s="140">
        <f t="shared" si="124"/>
        <v>0</v>
      </c>
      <c r="AV350" s="140">
        <f t="shared" si="124"/>
        <v>0</v>
      </c>
      <c r="AW350" s="140">
        <f t="shared" si="124"/>
        <v>0</v>
      </c>
      <c r="AX350" s="140">
        <f t="shared" si="124"/>
        <v>0</v>
      </c>
      <c r="AY350" s="140">
        <f t="shared" si="122"/>
        <v>0</v>
      </c>
      <c r="AZ350" s="145" t="s">
        <v>164</v>
      </c>
    </row>
    <row r="351" spans="1:52">
      <c r="A351" s="140" t="s">
        <v>183</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0</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0</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0</v>
      </c>
      <c r="AZ351" s="145" t="s">
        <v>164</v>
      </c>
    </row>
    <row r="352" spans="1:52">
      <c r="A352" s="140" t="s">
        <v>184</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164</v>
      </c>
    </row>
    <row r="353" spans="1:52">
      <c r="A353" s="140" t="s">
        <v>185</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0</v>
      </c>
      <c r="M353" s="140">
        <f t="shared" si="125"/>
        <v>0</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0</v>
      </c>
      <c r="AL353" s="140">
        <f t="shared" si="126"/>
        <v>0</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0</v>
      </c>
      <c r="AZ353" s="145" t="s">
        <v>164</v>
      </c>
    </row>
    <row r="354" spans="1:52">
      <c r="A354" s="140" t="s">
        <v>186</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0</v>
      </c>
      <c r="R354" s="140">
        <f t="shared" si="125"/>
        <v>0</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0</v>
      </c>
      <c r="AQ354" s="140">
        <f t="shared" si="124"/>
        <v>0</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0</v>
      </c>
      <c r="AZ354" s="145" t="s">
        <v>164</v>
      </c>
    </row>
    <row r="355" spans="1:52">
      <c r="A355" s="140" t="s">
        <v>187</v>
      </c>
      <c r="B355" s="140">
        <f t="shared" si="125"/>
        <v>0</v>
      </c>
      <c r="C355" s="140">
        <f t="shared" si="125"/>
        <v>0</v>
      </c>
      <c r="D355" s="140">
        <f t="shared" si="125"/>
        <v>0</v>
      </c>
      <c r="E355" s="140">
        <f t="shared" si="125"/>
        <v>0</v>
      </c>
      <c r="F355" s="140">
        <f t="shared" si="125"/>
        <v>0</v>
      </c>
      <c r="G355" s="140">
        <f t="shared" si="125"/>
        <v>0</v>
      </c>
      <c r="H355" s="140">
        <f t="shared" si="125"/>
        <v>1</v>
      </c>
      <c r="I355" s="140">
        <f t="shared" si="125"/>
        <v>0</v>
      </c>
      <c r="J355" s="140">
        <f t="shared" si="125"/>
        <v>0</v>
      </c>
      <c r="K355" s="140">
        <f t="shared" si="125"/>
        <v>0</v>
      </c>
      <c r="L355" s="140">
        <f t="shared" si="125"/>
        <v>0</v>
      </c>
      <c r="M355" s="140">
        <f t="shared" si="125"/>
        <v>1</v>
      </c>
      <c r="N355" s="140">
        <f t="shared" si="125"/>
        <v>0</v>
      </c>
      <c r="O355" s="140">
        <f t="shared" si="125"/>
        <v>0</v>
      </c>
      <c r="P355" s="140">
        <f t="shared" si="125"/>
        <v>1</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1</v>
      </c>
      <c r="AH355" s="140">
        <f t="shared" si="126"/>
        <v>0</v>
      </c>
      <c r="AI355" s="140">
        <f t="shared" si="126"/>
        <v>0</v>
      </c>
      <c r="AJ355" s="140">
        <f t="shared" si="126"/>
        <v>0</v>
      </c>
      <c r="AK355" s="140">
        <f t="shared" si="126"/>
        <v>0</v>
      </c>
      <c r="AL355" s="140">
        <f t="shared" si="126"/>
        <v>1</v>
      </c>
      <c r="AM355" s="140">
        <f t="shared" si="126"/>
        <v>0</v>
      </c>
      <c r="AN355" s="140">
        <f t="shared" si="126"/>
        <v>0</v>
      </c>
      <c r="AO355" s="140">
        <f t="shared" si="126"/>
        <v>1</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3</v>
      </c>
      <c r="AZ355" s="145" t="s">
        <v>164</v>
      </c>
    </row>
    <row r="356" spans="1:52">
      <c r="A356" s="140" t="s">
        <v>188</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0</v>
      </c>
      <c r="S356" s="140">
        <f t="shared" si="127"/>
        <v>0</v>
      </c>
      <c r="T356" s="140">
        <f t="shared" si="127"/>
        <v>0</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0</v>
      </c>
      <c r="AR356" s="140">
        <f t="shared" si="124"/>
        <v>0</v>
      </c>
      <c r="AS356" s="140">
        <f t="shared" si="124"/>
        <v>0</v>
      </c>
      <c r="AT356" s="140">
        <f t="shared" si="124"/>
        <v>0</v>
      </c>
      <c r="AU356" s="140">
        <f t="shared" si="124"/>
        <v>0</v>
      </c>
      <c r="AV356" s="140">
        <f t="shared" si="124"/>
        <v>0</v>
      </c>
      <c r="AW356" s="140">
        <f t="shared" si="124"/>
        <v>0</v>
      </c>
      <c r="AX356" s="140">
        <f t="shared" si="124"/>
        <v>0</v>
      </c>
      <c r="AY356" s="140">
        <f t="shared" si="122"/>
        <v>0</v>
      </c>
      <c r="AZ356" s="145" t="s">
        <v>164</v>
      </c>
    </row>
    <row r="357" spans="1:52">
      <c r="A357" s="140" t="s">
        <v>189</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164</v>
      </c>
    </row>
    <row r="358" spans="1:52">
      <c r="A358" s="140" t="s">
        <v>190</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164</v>
      </c>
    </row>
    <row r="359" spans="1:52">
      <c r="A359" s="140" t="s">
        <v>191</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164</v>
      </c>
    </row>
    <row r="360" spans="1:52">
      <c r="A360" s="140" t="s">
        <v>192</v>
      </c>
      <c r="B360" s="140">
        <f t="shared" si="128"/>
        <v>0</v>
      </c>
      <c r="C360" s="140">
        <f t="shared" si="128"/>
        <v>0</v>
      </c>
      <c r="D360" s="140">
        <f t="shared" si="128"/>
        <v>0</v>
      </c>
      <c r="E360" s="140">
        <f t="shared" si="128"/>
        <v>0</v>
      </c>
      <c r="F360" s="140">
        <f t="shared" si="128"/>
        <v>0</v>
      </c>
      <c r="G360" s="140">
        <f t="shared" si="128"/>
        <v>0</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v>
      </c>
      <c r="AB360" s="140">
        <f t="shared" si="126"/>
        <v>0</v>
      </c>
      <c r="AC360" s="140">
        <f t="shared" si="126"/>
        <v>0</v>
      </c>
      <c r="AD360" s="140">
        <f t="shared" si="126"/>
        <v>0</v>
      </c>
      <c r="AE360" s="140">
        <f t="shared" si="126"/>
        <v>0</v>
      </c>
      <c r="AF360" s="140">
        <f t="shared" si="126"/>
        <v>0</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0</v>
      </c>
      <c r="AZ360" s="145" t="s">
        <v>164</v>
      </c>
    </row>
    <row r="361" spans="1:52">
      <c r="A361" s="140" t="s">
        <v>193</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0</v>
      </c>
      <c r="O361" s="140">
        <f t="shared" si="128"/>
        <v>0</v>
      </c>
      <c r="P361" s="140">
        <f t="shared" si="128"/>
        <v>0</v>
      </c>
      <c r="Q361" s="140">
        <f t="shared" si="128"/>
        <v>0</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0</v>
      </c>
      <c r="AN361" s="140">
        <f t="shared" si="126"/>
        <v>0</v>
      </c>
      <c r="AO361" s="140">
        <f t="shared" si="126"/>
        <v>0</v>
      </c>
      <c r="AP361" s="140">
        <f t="shared" si="126"/>
        <v>0</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0</v>
      </c>
      <c r="AZ361" s="145" t="s">
        <v>164</v>
      </c>
    </row>
    <row r="362" spans="1:52">
      <c r="A362" s="140" t="s">
        <v>194</v>
      </c>
      <c r="B362" s="140">
        <f t="shared" si="128"/>
        <v>0</v>
      </c>
      <c r="C362" s="140">
        <f t="shared" si="128"/>
        <v>0</v>
      </c>
      <c r="D362" s="140">
        <f t="shared" si="128"/>
        <v>0</v>
      </c>
      <c r="E362" s="140">
        <f t="shared" si="128"/>
        <v>0</v>
      </c>
      <c r="F362" s="140">
        <f t="shared" si="128"/>
        <v>0</v>
      </c>
      <c r="G362" s="140">
        <f t="shared" si="128"/>
        <v>0</v>
      </c>
      <c r="H362" s="140">
        <f t="shared" si="128"/>
        <v>0</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0</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0</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0</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0</v>
      </c>
      <c r="AZ362" s="145" t="s">
        <v>164</v>
      </c>
    </row>
    <row r="363" spans="1:52">
      <c r="A363" s="140" t="s">
        <v>195</v>
      </c>
      <c r="B363" s="140">
        <f t="shared" si="128"/>
        <v>0</v>
      </c>
      <c r="C363" s="140">
        <f t="shared" si="128"/>
        <v>0</v>
      </c>
      <c r="D363" s="140">
        <f t="shared" si="128"/>
        <v>0</v>
      </c>
      <c r="E363" s="140">
        <f t="shared" si="128"/>
        <v>0</v>
      </c>
      <c r="F363" s="140">
        <f t="shared" si="128"/>
        <v>0</v>
      </c>
      <c r="G363" s="140">
        <f t="shared" si="128"/>
        <v>0</v>
      </c>
      <c r="H363" s="140">
        <f t="shared" si="128"/>
        <v>0</v>
      </c>
      <c r="I363" s="140">
        <f t="shared" si="128"/>
        <v>0</v>
      </c>
      <c r="J363" s="140">
        <f t="shared" si="128"/>
        <v>0</v>
      </c>
      <c r="K363" s="140">
        <f t="shared" si="128"/>
        <v>0</v>
      </c>
      <c r="L363" s="140">
        <f t="shared" si="128"/>
        <v>0</v>
      </c>
      <c r="M363" s="140">
        <f t="shared" si="128"/>
        <v>0</v>
      </c>
      <c r="N363" s="140">
        <f t="shared" si="128"/>
        <v>0</v>
      </c>
      <c r="O363" s="140">
        <f t="shared" si="128"/>
        <v>0</v>
      </c>
      <c r="P363" s="140">
        <f t="shared" si="128"/>
        <v>0</v>
      </c>
      <c r="Q363" s="140">
        <f t="shared" si="128"/>
        <v>0</v>
      </c>
      <c r="R363" s="140">
        <f t="shared" si="128"/>
        <v>0</v>
      </c>
      <c r="S363" s="140">
        <f t="shared" si="128"/>
        <v>0</v>
      </c>
      <c r="T363" s="140">
        <f t="shared" si="128"/>
        <v>0</v>
      </c>
      <c r="U363" s="140">
        <f t="shared" si="128"/>
        <v>0</v>
      </c>
      <c r="V363" s="140">
        <f t="shared" si="128"/>
        <v>0</v>
      </c>
      <c r="W363" s="140">
        <f t="shared" si="128"/>
        <v>0</v>
      </c>
      <c r="X363" s="140">
        <f t="shared" si="128"/>
        <v>0</v>
      </c>
      <c r="Y363" s="140">
        <f t="shared" si="128"/>
        <v>0</v>
      </c>
      <c r="AA363" s="140">
        <f t="shared" si="130"/>
        <v>0</v>
      </c>
      <c r="AB363" s="140">
        <f t="shared" si="130"/>
        <v>0</v>
      </c>
      <c r="AC363" s="140">
        <f t="shared" si="130"/>
        <v>0</v>
      </c>
      <c r="AD363" s="140">
        <f t="shared" si="130"/>
        <v>0</v>
      </c>
      <c r="AE363" s="140">
        <f t="shared" si="130"/>
        <v>0</v>
      </c>
      <c r="AF363" s="140">
        <f t="shared" si="130"/>
        <v>0</v>
      </c>
      <c r="AG363" s="140">
        <f t="shared" si="130"/>
        <v>0</v>
      </c>
      <c r="AH363" s="140">
        <f t="shared" si="130"/>
        <v>0</v>
      </c>
      <c r="AI363" s="140">
        <f t="shared" si="130"/>
        <v>0</v>
      </c>
      <c r="AJ363" s="140">
        <f t="shared" si="130"/>
        <v>0</v>
      </c>
      <c r="AK363" s="140">
        <f t="shared" si="130"/>
        <v>0</v>
      </c>
      <c r="AL363" s="140">
        <f t="shared" si="130"/>
        <v>0</v>
      </c>
      <c r="AM363" s="140">
        <f t="shared" si="130"/>
        <v>0</v>
      </c>
      <c r="AN363" s="140">
        <f t="shared" si="130"/>
        <v>0</v>
      </c>
      <c r="AO363" s="140">
        <f t="shared" si="130"/>
        <v>0</v>
      </c>
      <c r="AP363" s="140">
        <f t="shared" si="130"/>
        <v>0</v>
      </c>
      <c r="AQ363" s="140">
        <f t="shared" si="129"/>
        <v>0</v>
      </c>
      <c r="AR363" s="140">
        <f t="shared" si="129"/>
        <v>0</v>
      </c>
      <c r="AS363" s="140">
        <f t="shared" si="129"/>
        <v>0</v>
      </c>
      <c r="AT363" s="140">
        <f t="shared" si="129"/>
        <v>0</v>
      </c>
      <c r="AU363" s="140">
        <f t="shared" si="129"/>
        <v>0</v>
      </c>
      <c r="AV363" s="140">
        <f t="shared" si="129"/>
        <v>0</v>
      </c>
      <c r="AW363" s="140">
        <f t="shared" si="129"/>
        <v>0</v>
      </c>
      <c r="AX363" s="140">
        <f t="shared" si="129"/>
        <v>0</v>
      </c>
      <c r="AY363" s="140">
        <f t="shared" si="122"/>
        <v>0</v>
      </c>
      <c r="AZ363" s="145" t="s">
        <v>164</v>
      </c>
    </row>
    <row r="364" spans="1:52">
      <c r="A364" s="140" t="s">
        <v>196</v>
      </c>
      <c r="B364" s="140">
        <f t="shared" si="128"/>
        <v>0</v>
      </c>
      <c r="C364" s="140">
        <f t="shared" si="128"/>
        <v>0</v>
      </c>
      <c r="D364" s="140">
        <f t="shared" si="128"/>
        <v>0</v>
      </c>
      <c r="E364" s="140">
        <f t="shared" si="128"/>
        <v>0</v>
      </c>
      <c r="F364" s="140">
        <f t="shared" si="128"/>
        <v>0</v>
      </c>
      <c r="G364" s="140">
        <f t="shared" si="128"/>
        <v>0</v>
      </c>
      <c r="H364" s="140">
        <f t="shared" si="128"/>
        <v>0</v>
      </c>
      <c r="I364" s="140">
        <f t="shared" si="128"/>
        <v>0</v>
      </c>
      <c r="J364" s="140">
        <f t="shared" si="128"/>
        <v>0</v>
      </c>
      <c r="K364" s="140">
        <f t="shared" si="128"/>
        <v>0</v>
      </c>
      <c r="L364" s="140">
        <f t="shared" si="128"/>
        <v>0</v>
      </c>
      <c r="M364" s="140">
        <f t="shared" si="128"/>
        <v>0</v>
      </c>
      <c r="N364" s="140">
        <f t="shared" si="128"/>
        <v>0</v>
      </c>
      <c r="O364" s="140">
        <f t="shared" si="128"/>
        <v>0</v>
      </c>
      <c r="P364" s="140">
        <f t="shared" si="128"/>
        <v>0</v>
      </c>
      <c r="Q364" s="140">
        <f t="shared" si="128"/>
        <v>0</v>
      </c>
      <c r="R364" s="140">
        <f t="shared" si="128"/>
        <v>0</v>
      </c>
      <c r="S364" s="140">
        <f t="shared" si="128"/>
        <v>0</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0</v>
      </c>
      <c r="AC364" s="140">
        <f t="shared" si="130"/>
        <v>0</v>
      </c>
      <c r="AD364" s="140">
        <f t="shared" si="130"/>
        <v>0</v>
      </c>
      <c r="AE364" s="140">
        <f t="shared" si="130"/>
        <v>0</v>
      </c>
      <c r="AF364" s="140">
        <f t="shared" si="130"/>
        <v>0</v>
      </c>
      <c r="AG364" s="140">
        <f t="shared" si="130"/>
        <v>0</v>
      </c>
      <c r="AH364" s="140">
        <f t="shared" si="130"/>
        <v>0</v>
      </c>
      <c r="AI364" s="140">
        <f t="shared" si="130"/>
        <v>0</v>
      </c>
      <c r="AJ364" s="140">
        <f t="shared" si="130"/>
        <v>0</v>
      </c>
      <c r="AK364" s="140">
        <f t="shared" si="130"/>
        <v>0</v>
      </c>
      <c r="AL364" s="140">
        <f t="shared" si="130"/>
        <v>0</v>
      </c>
      <c r="AM364" s="140">
        <f t="shared" si="130"/>
        <v>0</v>
      </c>
      <c r="AN364" s="140">
        <f t="shared" si="130"/>
        <v>0</v>
      </c>
      <c r="AO364" s="140">
        <f t="shared" si="130"/>
        <v>0</v>
      </c>
      <c r="AP364" s="140">
        <f t="shared" si="130"/>
        <v>0</v>
      </c>
      <c r="AQ364" s="140">
        <f t="shared" si="129"/>
        <v>0</v>
      </c>
      <c r="AR364" s="140">
        <f t="shared" si="129"/>
        <v>0</v>
      </c>
      <c r="AS364" s="140">
        <f t="shared" si="129"/>
        <v>0</v>
      </c>
      <c r="AT364" s="140">
        <f t="shared" si="129"/>
        <v>0</v>
      </c>
      <c r="AU364" s="140">
        <f t="shared" si="129"/>
        <v>0</v>
      </c>
      <c r="AV364" s="140">
        <f t="shared" si="129"/>
        <v>0</v>
      </c>
      <c r="AW364" s="140">
        <f t="shared" si="129"/>
        <v>0</v>
      </c>
      <c r="AX364" s="140">
        <f t="shared" si="129"/>
        <v>0</v>
      </c>
      <c r="AY364" s="140">
        <f t="shared" si="122"/>
        <v>0</v>
      </c>
      <c r="AZ364" s="145" t="s">
        <v>164</v>
      </c>
    </row>
    <row r="365" spans="1:52">
      <c r="A365" s="140" t="s">
        <v>197</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164</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heetViews>
  <sheetFormatPr baseColWidth="10" defaultColWidth="11.44140625" defaultRowHeight="13.2"/>
  <cols>
    <col min="1" max="1" width="0.109375" style="1" customWidth="1"/>
    <col min="2" max="2" width="2.88671875" style="1" customWidth="1"/>
    <col min="3" max="3" width="16.44140625" style="1" customWidth="1"/>
    <col min="4" max="4" width="4.88671875" style="1" customWidth="1"/>
    <col min="5" max="5" width="95.88671875" style="1" customWidth="1"/>
    <col min="6" max="16384" width="11.44140625" style="1"/>
  </cols>
  <sheetData>
    <row r="1" spans="2:8" ht="0.75" customHeight="1"/>
    <row r="2" spans="2:8" ht="21" customHeight="1">
      <c r="C2" s="109"/>
      <c r="D2" s="109"/>
      <c r="E2" s="110" t="s">
        <v>34</v>
      </c>
    </row>
    <row r="3" spans="2:8" ht="15" customHeight="1">
      <c r="C3" s="109"/>
      <c r="D3" s="109"/>
      <c r="E3" s="108" t="str">
        <f>Dat_01!A2</f>
        <v>Enero 2022</v>
      </c>
    </row>
    <row r="4" spans="2:8" s="2" customFormat="1" ht="20.25" customHeight="1">
      <c r="B4" s="3"/>
      <c r="C4" s="111" t="s">
        <v>33</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80</v>
      </c>
      <c r="E8" s="115" t="s">
        <v>41</v>
      </c>
      <c r="F8" s="116"/>
      <c r="G8" s="88"/>
    </row>
    <row r="9" spans="2:8" s="2" customFormat="1" ht="12.6" customHeight="1">
      <c r="B9" s="3"/>
      <c r="C9" s="113"/>
      <c r="D9" s="114" t="s">
        <v>80</v>
      </c>
      <c r="E9" s="115" t="s">
        <v>81</v>
      </c>
      <c r="F9" s="116"/>
      <c r="G9" s="88"/>
    </row>
    <row r="10" spans="2:8" s="2" customFormat="1" ht="12.6" customHeight="1">
      <c r="B10" s="3"/>
      <c r="C10" s="113"/>
      <c r="D10" s="114" t="s">
        <v>80</v>
      </c>
      <c r="E10" s="115" t="s">
        <v>82</v>
      </c>
      <c r="F10" s="116"/>
      <c r="H10" s="117"/>
    </row>
    <row r="11" spans="2:8" s="2" customFormat="1" ht="12.6" customHeight="1">
      <c r="B11" s="3"/>
      <c r="C11" s="113"/>
      <c r="D11" s="114" t="s">
        <v>80</v>
      </c>
      <c r="E11" s="115" t="s">
        <v>83</v>
      </c>
      <c r="F11" s="116"/>
      <c r="H11" s="117"/>
    </row>
    <row r="12" spans="2:8" s="2" customFormat="1" ht="12.6" customHeight="1">
      <c r="B12" s="3"/>
      <c r="C12" s="113"/>
      <c r="D12" s="114" t="s">
        <v>80</v>
      </c>
      <c r="E12" s="115" t="s">
        <v>31</v>
      </c>
      <c r="F12" s="116"/>
    </row>
    <row r="13" spans="2:8" s="2" customFormat="1" ht="12.6" customHeight="1">
      <c r="B13" s="3"/>
      <c r="C13" s="113"/>
      <c r="D13" s="114" t="s">
        <v>80</v>
      </c>
      <c r="E13" s="115" t="s">
        <v>84</v>
      </c>
      <c r="F13" s="116"/>
    </row>
    <row r="14" spans="2:8" s="2" customFormat="1" ht="12.6" customHeight="1">
      <c r="B14" s="3"/>
      <c r="C14" s="113"/>
      <c r="D14" s="114" t="s">
        <v>80</v>
      </c>
      <c r="E14" s="115" t="s">
        <v>289</v>
      </c>
      <c r="F14" s="116"/>
    </row>
    <row r="15" spans="2:8" s="2" customFormat="1" ht="12.6" customHeight="1">
      <c r="B15" s="3"/>
      <c r="C15" s="113"/>
      <c r="D15" s="114" t="s">
        <v>80</v>
      </c>
      <c r="E15" s="115" t="s">
        <v>39</v>
      </c>
      <c r="F15" s="116"/>
    </row>
    <row r="16" spans="2:8" s="2" customFormat="1" ht="12.6" customHeight="1">
      <c r="B16" s="3"/>
      <c r="C16" s="113"/>
      <c r="D16" s="114" t="s">
        <v>80</v>
      </c>
      <c r="E16" s="115" t="s">
        <v>14</v>
      </c>
      <c r="F16" s="116"/>
    </row>
    <row r="17" spans="2:6" s="2" customFormat="1" ht="12.6" customHeight="1">
      <c r="B17" s="3"/>
      <c r="C17" s="113"/>
      <c r="D17" s="114" t="s">
        <v>80</v>
      </c>
      <c r="E17" s="115" t="s">
        <v>54</v>
      </c>
      <c r="F17" s="116"/>
    </row>
    <row r="18" spans="2:6" s="2" customFormat="1" ht="12.6" customHeight="1">
      <c r="B18" s="3"/>
      <c r="C18" s="113"/>
      <c r="D18" s="114" t="s">
        <v>80</v>
      </c>
      <c r="E18" s="115" t="s">
        <v>3</v>
      </c>
      <c r="F18" s="116"/>
    </row>
    <row r="19" spans="2:6" s="2" customFormat="1" ht="12.6" customHeight="1">
      <c r="B19" s="3"/>
      <c r="C19" s="113"/>
      <c r="D19" s="114" t="s">
        <v>80</v>
      </c>
      <c r="E19" s="115" t="s">
        <v>291</v>
      </c>
      <c r="F19" s="116"/>
    </row>
    <row r="20" spans="2:6" s="2" customFormat="1" ht="12.6" customHeight="1">
      <c r="B20" s="3"/>
      <c r="C20" s="113"/>
      <c r="D20" s="114" t="s">
        <v>80</v>
      </c>
      <c r="E20" s="115" t="s">
        <v>286</v>
      </c>
      <c r="F20" s="116"/>
    </row>
    <row r="21" spans="2:6" s="2" customFormat="1" ht="12.6" customHeight="1">
      <c r="B21" s="3"/>
      <c r="C21" s="113"/>
      <c r="D21" s="118" t="s">
        <v>80</v>
      </c>
      <c r="E21" s="115" t="s">
        <v>26</v>
      </c>
      <c r="F21" s="116"/>
    </row>
    <row r="22" spans="2:6" s="2" customFormat="1" ht="8.25" customHeight="1">
      <c r="B22" s="3"/>
      <c r="C22" s="113"/>
      <c r="D22" s="118"/>
      <c r="E22" s="119"/>
      <c r="F22" s="116"/>
    </row>
    <row r="23" spans="2:6" ht="11.25" customHeight="1"/>
    <row r="24" spans="2:6">
      <c r="C24" s="120" t="s">
        <v>85</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9"/>
  <sheetViews>
    <sheetView showGridLines="0" topLeftCell="A244" zoomScale="85" zoomScaleNormal="85" zoomScaleSheetLayoutView="95" workbookViewId="0">
      <selection activeCell="B265" sqref="B265"/>
    </sheetView>
  </sheetViews>
  <sheetFormatPr baseColWidth="10" defaultRowHeight="13.2"/>
  <cols>
    <col min="1" max="2" width="42.88671875" customWidth="1"/>
    <col min="3" max="353" width="21.6640625" customWidth="1"/>
  </cols>
  <sheetData>
    <row r="1" spans="1:28" ht="15">
      <c r="A1" s="138" t="s">
        <v>153</v>
      </c>
    </row>
    <row r="2" spans="1:28" ht="15">
      <c r="A2" s="158" t="str">
        <f>MID(B5,6,LEN(B5))&amp;" "&amp;MID(B5,1,4)</f>
        <v>Enero 2022</v>
      </c>
      <c r="D2" s="73"/>
    </row>
    <row r="4" spans="1:28">
      <c r="A4" s="212" t="s">
        <v>30</v>
      </c>
      <c r="B4" s="318" t="s">
        <v>109</v>
      </c>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row>
    <row r="5" spans="1:28">
      <c r="A5" s="231" t="s">
        <v>108</v>
      </c>
      <c r="B5" s="309" t="s">
        <v>330</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row>
    <row r="6" spans="1:28">
      <c r="A6" s="231" t="s">
        <v>136</v>
      </c>
      <c r="B6" s="269" t="s">
        <v>110</v>
      </c>
      <c r="C6" s="269" t="s">
        <v>111</v>
      </c>
      <c r="D6" s="269" t="s">
        <v>320</v>
      </c>
      <c r="E6" s="286" t="s">
        <v>112</v>
      </c>
      <c r="F6" s="286" t="s">
        <v>113</v>
      </c>
      <c r="G6" s="286" t="s">
        <v>114</v>
      </c>
      <c r="H6" s="286" t="s">
        <v>115</v>
      </c>
      <c r="I6" s="286" t="s">
        <v>116</v>
      </c>
      <c r="J6" s="286" t="s">
        <v>117</v>
      </c>
      <c r="K6" s="286" t="s">
        <v>118</v>
      </c>
      <c r="L6" s="286" t="s">
        <v>119</v>
      </c>
      <c r="M6" s="286" t="s">
        <v>120</v>
      </c>
      <c r="N6" s="286" t="s">
        <v>121</v>
      </c>
      <c r="O6" s="286" t="s">
        <v>122</v>
      </c>
      <c r="P6" s="286" t="s">
        <v>123</v>
      </c>
      <c r="Q6" s="286" t="s">
        <v>124</v>
      </c>
      <c r="R6" s="286" t="s">
        <v>125</v>
      </c>
      <c r="S6" s="286" t="s">
        <v>126</v>
      </c>
      <c r="T6" s="286" t="s">
        <v>127</v>
      </c>
      <c r="U6" s="286" t="s">
        <v>128</v>
      </c>
      <c r="V6" s="286" t="s">
        <v>129</v>
      </c>
      <c r="W6" s="286" t="s">
        <v>130</v>
      </c>
      <c r="X6" s="286" t="s">
        <v>131</v>
      </c>
      <c r="Y6" s="286" t="s">
        <v>132</v>
      </c>
      <c r="Z6" s="286" t="s">
        <v>133</v>
      </c>
      <c r="AA6" s="286" t="s">
        <v>134</v>
      </c>
      <c r="AB6" s="286" t="s">
        <v>135</v>
      </c>
    </row>
    <row r="7" spans="1:28">
      <c r="A7" s="212" t="s">
        <v>141</v>
      </c>
      <c r="B7" s="270"/>
      <c r="C7" s="270"/>
      <c r="D7" s="270"/>
      <c r="E7" s="287"/>
      <c r="F7" s="287"/>
      <c r="G7" s="287"/>
      <c r="H7" s="287"/>
      <c r="I7" s="287"/>
      <c r="J7" s="287"/>
      <c r="K7" s="287"/>
      <c r="L7" s="287"/>
      <c r="M7" s="287"/>
      <c r="N7" s="287"/>
      <c r="O7" s="287"/>
      <c r="P7" s="287"/>
      <c r="Q7" s="287"/>
      <c r="R7" s="287"/>
      <c r="S7" s="287"/>
      <c r="T7" s="287"/>
      <c r="U7" s="287"/>
      <c r="V7" s="287"/>
      <c r="W7" s="287"/>
      <c r="X7" s="287"/>
      <c r="Y7" s="287"/>
      <c r="Z7" s="287"/>
      <c r="AA7" s="287"/>
      <c r="AB7" s="287"/>
    </row>
    <row r="8" spans="1:28">
      <c r="A8" s="232" t="s">
        <v>112</v>
      </c>
      <c r="B8" s="271">
        <v>70.05</v>
      </c>
      <c r="C8" s="271">
        <v>190.81</v>
      </c>
      <c r="D8" s="271">
        <v>121.8936055133</v>
      </c>
      <c r="E8" s="272">
        <v>145.86000000000001</v>
      </c>
      <c r="F8" s="272">
        <v>114.9</v>
      </c>
      <c r="G8" s="272">
        <v>113.87</v>
      </c>
      <c r="H8" s="272">
        <v>97.8</v>
      </c>
      <c r="I8" s="272">
        <v>97.8</v>
      </c>
      <c r="J8" s="272">
        <v>95.74</v>
      </c>
      <c r="K8" s="272">
        <v>97.8</v>
      </c>
      <c r="L8" s="272">
        <v>97.8</v>
      </c>
      <c r="M8" s="272">
        <v>97.8</v>
      </c>
      <c r="N8" s="272">
        <v>70.05</v>
      </c>
      <c r="O8" s="272">
        <v>76.790000000000006</v>
      </c>
      <c r="P8" s="272">
        <v>84.1</v>
      </c>
      <c r="Q8" s="272">
        <v>94.74</v>
      </c>
      <c r="R8" s="272">
        <v>96.8</v>
      </c>
      <c r="S8" s="272">
        <v>97.8</v>
      </c>
      <c r="T8" s="272">
        <v>98.52</v>
      </c>
      <c r="U8" s="272">
        <v>114.5</v>
      </c>
      <c r="V8" s="272">
        <v>149.97</v>
      </c>
      <c r="W8" s="272">
        <v>177.22</v>
      </c>
      <c r="X8" s="272">
        <v>187.52</v>
      </c>
      <c r="Y8" s="272">
        <v>189.26</v>
      </c>
      <c r="Z8" s="272">
        <v>190.81</v>
      </c>
      <c r="AA8" s="272">
        <v>188.39</v>
      </c>
      <c r="AB8" s="272">
        <v>167.26</v>
      </c>
    </row>
    <row r="9" spans="1:28">
      <c r="A9" s="232" t="s">
        <v>113</v>
      </c>
      <c r="B9" s="271">
        <v>103.7</v>
      </c>
      <c r="C9" s="271">
        <v>209.1</v>
      </c>
      <c r="D9" s="271">
        <v>137.24406068330001</v>
      </c>
      <c r="E9" s="272">
        <v>133.21</v>
      </c>
      <c r="F9" s="272">
        <v>115.87</v>
      </c>
      <c r="G9" s="272">
        <v>110.52</v>
      </c>
      <c r="H9" s="272">
        <v>113</v>
      </c>
      <c r="I9" s="272">
        <v>115.87</v>
      </c>
      <c r="J9" s="272">
        <v>110.52</v>
      </c>
      <c r="K9" s="272">
        <v>115.87</v>
      </c>
      <c r="L9" s="272">
        <v>129.6</v>
      </c>
      <c r="M9" s="272">
        <v>115.87</v>
      </c>
      <c r="N9" s="272">
        <v>115.87</v>
      </c>
      <c r="O9" s="272">
        <v>113</v>
      </c>
      <c r="P9" s="272">
        <v>103.7</v>
      </c>
      <c r="Q9" s="272">
        <v>103.7</v>
      </c>
      <c r="R9" s="272">
        <v>110.52</v>
      </c>
      <c r="S9" s="272">
        <v>115.87</v>
      </c>
      <c r="T9" s="272">
        <v>109.5</v>
      </c>
      <c r="U9" s="272">
        <v>115.87</v>
      </c>
      <c r="V9" s="272">
        <v>159.79</v>
      </c>
      <c r="W9" s="272">
        <v>194.25</v>
      </c>
      <c r="X9" s="272">
        <v>198</v>
      </c>
      <c r="Y9" s="272">
        <v>208.38</v>
      </c>
      <c r="Z9" s="272">
        <v>209.1</v>
      </c>
      <c r="AA9" s="272">
        <v>191.36</v>
      </c>
      <c r="AB9" s="272">
        <v>178</v>
      </c>
    </row>
    <row r="10" spans="1:28">
      <c r="A10" s="232" t="s">
        <v>114</v>
      </c>
      <c r="B10" s="271">
        <v>100.36</v>
      </c>
      <c r="C10" s="271">
        <v>189.26</v>
      </c>
      <c r="D10" s="271">
        <v>149.6516012708</v>
      </c>
      <c r="E10" s="272">
        <v>181.5</v>
      </c>
      <c r="F10" s="272">
        <v>160.72</v>
      </c>
      <c r="G10" s="272">
        <v>154.63999999999999</v>
      </c>
      <c r="H10" s="272">
        <v>149.86000000000001</v>
      </c>
      <c r="I10" s="272">
        <v>144.49</v>
      </c>
      <c r="J10" s="272">
        <v>148.86000000000001</v>
      </c>
      <c r="K10" s="272">
        <v>153.77000000000001</v>
      </c>
      <c r="L10" s="272">
        <v>160.72</v>
      </c>
      <c r="M10" s="272">
        <v>189.26</v>
      </c>
      <c r="N10" s="272">
        <v>183.54</v>
      </c>
      <c r="O10" s="272">
        <v>160.72</v>
      </c>
      <c r="P10" s="272">
        <v>152.19999999999999</v>
      </c>
      <c r="Q10" s="272">
        <v>148.86000000000001</v>
      </c>
      <c r="R10" s="272">
        <v>142.04</v>
      </c>
      <c r="S10" s="272">
        <v>127.38</v>
      </c>
      <c r="T10" s="272">
        <v>112.87</v>
      </c>
      <c r="U10" s="272">
        <v>126.8</v>
      </c>
      <c r="V10" s="272">
        <v>148.49</v>
      </c>
      <c r="W10" s="272">
        <v>175.06</v>
      </c>
      <c r="X10" s="272">
        <v>180</v>
      </c>
      <c r="Y10" s="272">
        <v>153.77000000000001</v>
      </c>
      <c r="Z10" s="272">
        <v>141.94</v>
      </c>
      <c r="AA10" s="272">
        <v>114.11</v>
      </c>
      <c r="AB10" s="272">
        <v>100.36</v>
      </c>
    </row>
    <row r="11" spans="1:28">
      <c r="A11" s="232" t="s">
        <v>115</v>
      </c>
      <c r="B11" s="271">
        <v>105</v>
      </c>
      <c r="C11" s="271">
        <v>190</v>
      </c>
      <c r="D11" s="271">
        <v>154.9490755276</v>
      </c>
      <c r="E11" s="272">
        <v>125.47</v>
      </c>
      <c r="F11" s="272">
        <v>115.55</v>
      </c>
      <c r="G11" s="272">
        <v>113.29</v>
      </c>
      <c r="H11" s="272">
        <v>105.81</v>
      </c>
      <c r="I11" s="272">
        <v>105</v>
      </c>
      <c r="J11" s="272">
        <v>115.11</v>
      </c>
      <c r="K11" s="272">
        <v>153.77000000000001</v>
      </c>
      <c r="L11" s="272">
        <v>161.03</v>
      </c>
      <c r="M11" s="272">
        <v>178.91</v>
      </c>
      <c r="N11" s="272">
        <v>190</v>
      </c>
      <c r="O11" s="272">
        <v>189.88</v>
      </c>
      <c r="P11" s="272">
        <v>182.42</v>
      </c>
      <c r="Q11" s="272">
        <v>182.46</v>
      </c>
      <c r="R11" s="272">
        <v>179.59</v>
      </c>
      <c r="S11" s="272">
        <v>163.19999999999999</v>
      </c>
      <c r="T11" s="272">
        <v>157.30000000000001</v>
      </c>
      <c r="U11" s="272">
        <v>157.30000000000001</v>
      </c>
      <c r="V11" s="272">
        <v>163.78</v>
      </c>
      <c r="W11" s="272">
        <v>184.94</v>
      </c>
      <c r="X11" s="272">
        <v>178.99</v>
      </c>
      <c r="Y11" s="272">
        <v>156.12</v>
      </c>
      <c r="Z11" s="272">
        <v>148.65</v>
      </c>
      <c r="AA11" s="272">
        <v>137.91999999999999</v>
      </c>
      <c r="AB11" s="272">
        <v>105</v>
      </c>
    </row>
    <row r="12" spans="1:28">
      <c r="A12" s="232" t="s">
        <v>116</v>
      </c>
      <c r="B12" s="271">
        <v>75.38</v>
      </c>
      <c r="C12" s="271">
        <v>250.34</v>
      </c>
      <c r="D12" s="271">
        <v>182.68691332340001</v>
      </c>
      <c r="E12" s="272">
        <v>120.11</v>
      </c>
      <c r="F12" s="272">
        <v>105.1</v>
      </c>
      <c r="G12" s="272">
        <v>84.5</v>
      </c>
      <c r="H12" s="272">
        <v>75.38</v>
      </c>
      <c r="I12" s="272">
        <v>79.11</v>
      </c>
      <c r="J12" s="272">
        <v>94.79</v>
      </c>
      <c r="K12" s="272">
        <v>169.04</v>
      </c>
      <c r="L12" s="272">
        <v>206.07</v>
      </c>
      <c r="M12" s="272">
        <v>211.13</v>
      </c>
      <c r="N12" s="272">
        <v>213.86</v>
      </c>
      <c r="O12" s="272">
        <v>209.1</v>
      </c>
      <c r="P12" s="272">
        <v>202.8</v>
      </c>
      <c r="Q12" s="272">
        <v>199.89</v>
      </c>
      <c r="R12" s="272">
        <v>197.34</v>
      </c>
      <c r="S12" s="272">
        <v>195.6</v>
      </c>
      <c r="T12" s="272">
        <v>200</v>
      </c>
      <c r="U12" s="272">
        <v>206.07</v>
      </c>
      <c r="V12" s="272">
        <v>211.23</v>
      </c>
      <c r="W12" s="272">
        <v>225</v>
      </c>
      <c r="X12" s="272">
        <v>250.34</v>
      </c>
      <c r="Y12" s="272">
        <v>241.93</v>
      </c>
      <c r="Z12" s="272">
        <v>218.95</v>
      </c>
      <c r="AA12" s="272">
        <v>207.46</v>
      </c>
      <c r="AB12" s="272">
        <v>200</v>
      </c>
    </row>
    <row r="13" spans="1:28">
      <c r="A13" s="232" t="s">
        <v>117</v>
      </c>
      <c r="B13" s="271">
        <v>170.1</v>
      </c>
      <c r="C13" s="271">
        <v>278.36</v>
      </c>
      <c r="D13" s="271">
        <v>213.41369880990001</v>
      </c>
      <c r="E13" s="272">
        <v>207.15</v>
      </c>
      <c r="F13" s="272">
        <v>204.22</v>
      </c>
      <c r="G13" s="272">
        <v>191.82</v>
      </c>
      <c r="H13" s="272">
        <v>180.7</v>
      </c>
      <c r="I13" s="272">
        <v>170.1</v>
      </c>
      <c r="J13" s="272">
        <v>194.38</v>
      </c>
      <c r="K13" s="272">
        <v>204.22</v>
      </c>
      <c r="L13" s="272">
        <v>216.14</v>
      </c>
      <c r="M13" s="272">
        <v>219.42</v>
      </c>
      <c r="N13" s="272">
        <v>220</v>
      </c>
      <c r="O13" s="272">
        <v>214.9</v>
      </c>
      <c r="P13" s="272">
        <v>207.9</v>
      </c>
      <c r="Q13" s="272">
        <v>205</v>
      </c>
      <c r="R13" s="272">
        <v>204.43</v>
      </c>
      <c r="S13" s="272">
        <v>196.84</v>
      </c>
      <c r="T13" s="272">
        <v>189.89</v>
      </c>
      <c r="U13" s="272">
        <v>202.17</v>
      </c>
      <c r="V13" s="272">
        <v>222.31</v>
      </c>
      <c r="W13" s="272">
        <v>273.44</v>
      </c>
      <c r="X13" s="272">
        <v>278.36</v>
      </c>
      <c r="Y13" s="272">
        <v>251.71</v>
      </c>
      <c r="Z13" s="272">
        <v>229.96</v>
      </c>
      <c r="AA13" s="272">
        <v>216.44</v>
      </c>
      <c r="AB13" s="272">
        <v>210</v>
      </c>
    </row>
    <row r="14" spans="1:28">
      <c r="A14" s="232" t="s">
        <v>118</v>
      </c>
      <c r="B14" s="271">
        <v>162.80000000000001</v>
      </c>
      <c r="C14" s="271">
        <v>260</v>
      </c>
      <c r="D14" s="271">
        <v>218.44177533999999</v>
      </c>
      <c r="E14" s="272">
        <v>213.47</v>
      </c>
      <c r="F14" s="272">
        <v>189</v>
      </c>
      <c r="G14" s="272">
        <v>180</v>
      </c>
      <c r="H14" s="272">
        <v>164.9</v>
      </c>
      <c r="I14" s="272">
        <v>162.80000000000001</v>
      </c>
      <c r="J14" s="272">
        <v>165</v>
      </c>
      <c r="K14" s="272">
        <v>165.2</v>
      </c>
      <c r="L14" s="272">
        <v>215.89</v>
      </c>
      <c r="M14" s="272">
        <v>243.84</v>
      </c>
      <c r="N14" s="272">
        <v>250.01</v>
      </c>
      <c r="O14" s="272">
        <v>240</v>
      </c>
      <c r="P14" s="272">
        <v>232.53</v>
      </c>
      <c r="Q14" s="272">
        <v>216.28</v>
      </c>
      <c r="R14" s="272">
        <v>211.94</v>
      </c>
      <c r="S14" s="272">
        <v>207.05</v>
      </c>
      <c r="T14" s="272">
        <v>210.11</v>
      </c>
      <c r="U14" s="272">
        <v>220.21</v>
      </c>
      <c r="V14" s="272">
        <v>243.84</v>
      </c>
      <c r="W14" s="272">
        <v>260</v>
      </c>
      <c r="X14" s="272">
        <v>250</v>
      </c>
      <c r="Y14" s="272">
        <v>243.84</v>
      </c>
      <c r="Z14" s="272">
        <v>243.84</v>
      </c>
      <c r="AA14" s="272">
        <v>235.69</v>
      </c>
      <c r="AB14" s="272">
        <v>215.1</v>
      </c>
    </row>
    <row r="15" spans="1:28">
      <c r="A15" s="232" t="s">
        <v>119</v>
      </c>
      <c r="B15" s="271">
        <v>147.94</v>
      </c>
      <c r="C15" s="271">
        <v>270.02</v>
      </c>
      <c r="D15" s="271">
        <v>201.3340542679</v>
      </c>
      <c r="E15" s="272">
        <v>270.02</v>
      </c>
      <c r="F15" s="272">
        <v>237.86</v>
      </c>
      <c r="G15" s="272">
        <v>215.89</v>
      </c>
      <c r="H15" s="272">
        <v>211.44</v>
      </c>
      <c r="I15" s="272">
        <v>200.9</v>
      </c>
      <c r="J15" s="272">
        <v>200</v>
      </c>
      <c r="K15" s="272">
        <v>201.36</v>
      </c>
      <c r="L15" s="272">
        <v>209.09</v>
      </c>
      <c r="M15" s="272">
        <v>215.89</v>
      </c>
      <c r="N15" s="272">
        <v>231</v>
      </c>
      <c r="O15" s="272">
        <v>228.95</v>
      </c>
      <c r="P15" s="272">
        <v>215.39</v>
      </c>
      <c r="Q15" s="272">
        <v>206.68</v>
      </c>
      <c r="R15" s="272">
        <v>185</v>
      </c>
      <c r="S15" s="272">
        <v>169.52</v>
      </c>
      <c r="T15" s="272">
        <v>162.80000000000001</v>
      </c>
      <c r="U15" s="272">
        <v>161.72999999999999</v>
      </c>
      <c r="V15" s="272">
        <v>189.9</v>
      </c>
      <c r="W15" s="272">
        <v>206.68</v>
      </c>
      <c r="X15" s="272">
        <v>210</v>
      </c>
      <c r="Y15" s="272">
        <v>210</v>
      </c>
      <c r="Z15" s="272">
        <v>209.37</v>
      </c>
      <c r="AA15" s="272">
        <v>185.3</v>
      </c>
      <c r="AB15" s="272">
        <v>147.94</v>
      </c>
    </row>
    <row r="16" spans="1:28">
      <c r="A16" s="232" t="s">
        <v>120</v>
      </c>
      <c r="B16" s="271">
        <v>14</v>
      </c>
      <c r="C16" s="271">
        <v>240</v>
      </c>
      <c r="D16" s="271">
        <v>116.5477026806</v>
      </c>
      <c r="E16" s="272">
        <v>109.18</v>
      </c>
      <c r="F16" s="272">
        <v>89.61</v>
      </c>
      <c r="G16" s="272">
        <v>80.239999999999995</v>
      </c>
      <c r="H16" s="272">
        <v>55.46</v>
      </c>
      <c r="I16" s="272">
        <v>45.82</v>
      </c>
      <c r="J16" s="272">
        <v>48.5</v>
      </c>
      <c r="K16" s="272">
        <v>74.290000000000006</v>
      </c>
      <c r="L16" s="272">
        <v>89.78</v>
      </c>
      <c r="M16" s="272">
        <v>104.79</v>
      </c>
      <c r="N16" s="272">
        <v>140</v>
      </c>
      <c r="O16" s="272">
        <v>140</v>
      </c>
      <c r="P16" s="272">
        <v>120</v>
      </c>
      <c r="Q16" s="272">
        <v>69.77</v>
      </c>
      <c r="R16" s="272">
        <v>69.77</v>
      </c>
      <c r="S16" s="272">
        <v>57.96</v>
      </c>
      <c r="T16" s="273">
        <v>14</v>
      </c>
      <c r="U16" s="272">
        <v>92.52</v>
      </c>
      <c r="V16" s="272">
        <v>159.9</v>
      </c>
      <c r="W16" s="272">
        <v>207.9</v>
      </c>
      <c r="X16" s="272">
        <v>240</v>
      </c>
      <c r="Y16" s="272">
        <v>230.82</v>
      </c>
      <c r="Z16" s="272">
        <v>214.02</v>
      </c>
      <c r="AA16" s="272">
        <v>215.88</v>
      </c>
      <c r="AB16" s="272">
        <v>191.64</v>
      </c>
    </row>
    <row r="17" spans="1:28">
      <c r="A17" s="232" t="s">
        <v>121</v>
      </c>
      <c r="B17" s="271">
        <v>158.69999999999999</v>
      </c>
      <c r="C17" s="271">
        <v>294.98</v>
      </c>
      <c r="D17" s="271">
        <v>219.4583616621</v>
      </c>
      <c r="E17" s="272">
        <v>196.23</v>
      </c>
      <c r="F17" s="272">
        <v>165</v>
      </c>
      <c r="G17" s="272">
        <v>158.69999999999999</v>
      </c>
      <c r="H17" s="272">
        <v>159.30000000000001</v>
      </c>
      <c r="I17" s="272">
        <v>160.1</v>
      </c>
      <c r="J17" s="272">
        <v>173.01</v>
      </c>
      <c r="K17" s="272">
        <v>200.1</v>
      </c>
      <c r="L17" s="272">
        <v>228.46</v>
      </c>
      <c r="M17" s="272">
        <v>234.74</v>
      </c>
      <c r="N17" s="272">
        <v>240</v>
      </c>
      <c r="O17" s="272">
        <v>238.76</v>
      </c>
      <c r="P17" s="272">
        <v>228.38</v>
      </c>
      <c r="Q17" s="272">
        <v>222.53</v>
      </c>
      <c r="R17" s="272">
        <v>216.01</v>
      </c>
      <c r="S17" s="272">
        <v>206.01</v>
      </c>
      <c r="T17" s="272">
        <v>200.99</v>
      </c>
      <c r="U17" s="272">
        <v>223</v>
      </c>
      <c r="V17" s="272">
        <v>256.01</v>
      </c>
      <c r="W17" s="272">
        <v>286.39999999999998</v>
      </c>
      <c r="X17" s="272">
        <v>294.98</v>
      </c>
      <c r="Y17" s="272">
        <v>267.45</v>
      </c>
      <c r="Z17" s="272">
        <v>242.23</v>
      </c>
      <c r="AA17" s="272">
        <v>217.03</v>
      </c>
      <c r="AB17" s="272">
        <v>198.93</v>
      </c>
    </row>
    <row r="18" spans="1:28">
      <c r="A18" s="232" t="s">
        <v>122</v>
      </c>
      <c r="B18" s="271">
        <v>193</v>
      </c>
      <c r="C18" s="271">
        <v>262.66000000000003</v>
      </c>
      <c r="D18" s="271">
        <v>224.8328803691</v>
      </c>
      <c r="E18" s="272">
        <v>210.34</v>
      </c>
      <c r="F18" s="272">
        <v>202.42</v>
      </c>
      <c r="G18" s="272">
        <v>197.6</v>
      </c>
      <c r="H18" s="272">
        <v>193</v>
      </c>
      <c r="I18" s="272">
        <v>194.9</v>
      </c>
      <c r="J18" s="272">
        <v>204.45</v>
      </c>
      <c r="K18" s="272">
        <v>219.32</v>
      </c>
      <c r="L18" s="272">
        <v>228.38</v>
      </c>
      <c r="M18" s="272">
        <v>249.97</v>
      </c>
      <c r="N18" s="272">
        <v>249.97</v>
      </c>
      <c r="O18" s="272">
        <v>242.47</v>
      </c>
      <c r="P18" s="272">
        <v>212.2</v>
      </c>
      <c r="Q18" s="272">
        <v>207.1</v>
      </c>
      <c r="R18" s="272">
        <v>207</v>
      </c>
      <c r="S18" s="272">
        <v>206.8</v>
      </c>
      <c r="T18" s="272">
        <v>206.8</v>
      </c>
      <c r="U18" s="272">
        <v>212</v>
      </c>
      <c r="V18" s="272">
        <v>242.47</v>
      </c>
      <c r="W18" s="272">
        <v>260</v>
      </c>
      <c r="X18" s="272">
        <v>261.97000000000003</v>
      </c>
      <c r="Y18" s="272">
        <v>262.66000000000003</v>
      </c>
      <c r="Z18" s="272">
        <v>245</v>
      </c>
      <c r="AA18" s="272">
        <v>227.47</v>
      </c>
      <c r="AB18" s="272">
        <v>211.63</v>
      </c>
    </row>
    <row r="19" spans="1:28">
      <c r="A19" s="232" t="s">
        <v>123</v>
      </c>
      <c r="B19" s="271">
        <v>178.33</v>
      </c>
      <c r="C19" s="271">
        <v>261.38</v>
      </c>
      <c r="D19" s="271">
        <v>207.32298884260001</v>
      </c>
      <c r="E19" s="272">
        <v>196.65</v>
      </c>
      <c r="F19" s="272">
        <v>187.1</v>
      </c>
      <c r="G19" s="272">
        <v>184.27</v>
      </c>
      <c r="H19" s="272">
        <v>179.58</v>
      </c>
      <c r="I19" s="272">
        <v>178.33</v>
      </c>
      <c r="J19" s="272">
        <v>190.14</v>
      </c>
      <c r="K19" s="272">
        <v>185.22</v>
      </c>
      <c r="L19" s="272">
        <v>200.22</v>
      </c>
      <c r="M19" s="272">
        <v>217.15</v>
      </c>
      <c r="N19" s="272">
        <v>205.41</v>
      </c>
      <c r="O19" s="272">
        <v>199.7</v>
      </c>
      <c r="P19" s="272">
        <v>196.66</v>
      </c>
      <c r="Q19" s="272">
        <v>196.95</v>
      </c>
      <c r="R19" s="272">
        <v>197.42</v>
      </c>
      <c r="S19" s="272">
        <v>197.42</v>
      </c>
      <c r="T19" s="272">
        <v>199.6</v>
      </c>
      <c r="U19" s="272">
        <v>200.2</v>
      </c>
      <c r="V19" s="272">
        <v>227.49</v>
      </c>
      <c r="W19" s="272">
        <v>255</v>
      </c>
      <c r="X19" s="272">
        <v>261.38</v>
      </c>
      <c r="Y19" s="272">
        <v>253.1</v>
      </c>
      <c r="Z19" s="272">
        <v>222.79</v>
      </c>
      <c r="AA19" s="272">
        <v>213.64</v>
      </c>
      <c r="AB19" s="272">
        <v>200.22</v>
      </c>
    </row>
    <row r="20" spans="1:28">
      <c r="A20" s="232" t="s">
        <v>124</v>
      </c>
      <c r="B20" s="271">
        <v>182.88</v>
      </c>
      <c r="C20" s="271">
        <v>262.95</v>
      </c>
      <c r="D20" s="271">
        <v>217.82801228080001</v>
      </c>
      <c r="E20" s="272">
        <v>190</v>
      </c>
      <c r="F20" s="272">
        <v>188.72</v>
      </c>
      <c r="G20" s="272">
        <v>187.87</v>
      </c>
      <c r="H20" s="272">
        <v>182.88</v>
      </c>
      <c r="I20" s="272">
        <v>186.65</v>
      </c>
      <c r="J20" s="272">
        <v>187.42</v>
      </c>
      <c r="K20" s="272">
        <v>192.93</v>
      </c>
      <c r="L20" s="272">
        <v>220.14</v>
      </c>
      <c r="M20" s="272">
        <v>226.75</v>
      </c>
      <c r="N20" s="272">
        <v>226.75</v>
      </c>
      <c r="O20" s="272">
        <v>220.25</v>
      </c>
      <c r="P20" s="272">
        <v>216.35</v>
      </c>
      <c r="Q20" s="272">
        <v>213.93</v>
      </c>
      <c r="R20" s="272">
        <v>213.93</v>
      </c>
      <c r="S20" s="272">
        <v>213.75</v>
      </c>
      <c r="T20" s="272">
        <v>213.89</v>
      </c>
      <c r="U20" s="272">
        <v>220.14</v>
      </c>
      <c r="V20" s="272">
        <v>229.57</v>
      </c>
      <c r="W20" s="272">
        <v>259.45</v>
      </c>
      <c r="X20" s="272">
        <v>262.95</v>
      </c>
      <c r="Y20" s="272">
        <v>252.46</v>
      </c>
      <c r="Z20" s="272">
        <v>230.1</v>
      </c>
      <c r="AA20" s="272">
        <v>217.65</v>
      </c>
      <c r="AB20" s="272">
        <v>207.99</v>
      </c>
    </row>
    <row r="21" spans="1:28">
      <c r="A21" s="232" t="s">
        <v>125</v>
      </c>
      <c r="B21" s="271">
        <v>180.3</v>
      </c>
      <c r="C21" s="271">
        <v>235.01</v>
      </c>
      <c r="D21" s="271">
        <v>203.04002230949999</v>
      </c>
      <c r="E21" s="272">
        <v>205</v>
      </c>
      <c r="F21" s="272">
        <v>199.96</v>
      </c>
      <c r="G21" s="272">
        <v>196.42</v>
      </c>
      <c r="H21" s="272">
        <v>192.77</v>
      </c>
      <c r="I21" s="272">
        <v>192.43</v>
      </c>
      <c r="J21" s="272">
        <v>197.6</v>
      </c>
      <c r="K21" s="272">
        <v>206.26</v>
      </c>
      <c r="L21" s="272">
        <v>205.2</v>
      </c>
      <c r="M21" s="272">
        <v>209.07</v>
      </c>
      <c r="N21" s="272">
        <v>207.8</v>
      </c>
      <c r="O21" s="272">
        <v>199.99</v>
      </c>
      <c r="P21" s="272">
        <v>182.52</v>
      </c>
      <c r="Q21" s="272">
        <v>180.3</v>
      </c>
      <c r="R21" s="272">
        <v>180.66</v>
      </c>
      <c r="S21" s="272">
        <v>180.3</v>
      </c>
      <c r="T21" s="272">
        <v>182.52</v>
      </c>
      <c r="U21" s="272">
        <v>200.34</v>
      </c>
      <c r="V21" s="272">
        <v>209.07</v>
      </c>
      <c r="W21" s="272">
        <v>225.61</v>
      </c>
      <c r="X21" s="272">
        <v>233.65</v>
      </c>
      <c r="Y21" s="272">
        <v>235.01</v>
      </c>
      <c r="Z21" s="272">
        <v>225.61</v>
      </c>
      <c r="AA21" s="272">
        <v>216.68</v>
      </c>
      <c r="AB21" s="272">
        <v>205.96</v>
      </c>
    </row>
    <row r="22" spans="1:28">
      <c r="A22" s="232" t="s">
        <v>126</v>
      </c>
      <c r="B22" s="271">
        <v>193.04</v>
      </c>
      <c r="C22" s="271">
        <v>267.02999999999997</v>
      </c>
      <c r="D22" s="271">
        <v>219.81847973640001</v>
      </c>
      <c r="E22" s="272">
        <v>222.01</v>
      </c>
      <c r="F22" s="272">
        <v>214.92</v>
      </c>
      <c r="G22" s="272">
        <v>209.61</v>
      </c>
      <c r="H22" s="272">
        <v>196.7</v>
      </c>
      <c r="I22" s="272">
        <v>193.04</v>
      </c>
      <c r="J22" s="272">
        <v>195.05</v>
      </c>
      <c r="K22" s="272">
        <v>200.9</v>
      </c>
      <c r="L22" s="272">
        <v>217.21</v>
      </c>
      <c r="M22" s="272">
        <v>223.76</v>
      </c>
      <c r="N22" s="272">
        <v>225.76</v>
      </c>
      <c r="O22" s="272">
        <v>222.39</v>
      </c>
      <c r="P22" s="272">
        <v>214.92</v>
      </c>
      <c r="Q22" s="272">
        <v>208.43</v>
      </c>
      <c r="R22" s="272">
        <v>200</v>
      </c>
      <c r="S22" s="272">
        <v>203.09</v>
      </c>
      <c r="T22" s="272">
        <v>213.98</v>
      </c>
      <c r="U22" s="272">
        <v>218.63</v>
      </c>
      <c r="V22" s="272">
        <v>231.67</v>
      </c>
      <c r="W22" s="272">
        <v>267.02999999999997</v>
      </c>
      <c r="X22" s="272">
        <v>261.41000000000003</v>
      </c>
      <c r="Y22" s="272">
        <v>243.62</v>
      </c>
      <c r="Z22" s="272">
        <v>227.85</v>
      </c>
      <c r="AA22" s="272">
        <v>222.66</v>
      </c>
      <c r="AB22" s="272">
        <v>217</v>
      </c>
    </row>
    <row r="23" spans="1:28">
      <c r="A23" s="232" t="s">
        <v>127</v>
      </c>
      <c r="B23" s="271">
        <v>186.6</v>
      </c>
      <c r="C23" s="271">
        <v>265.36</v>
      </c>
      <c r="D23" s="271">
        <v>214.25166683879999</v>
      </c>
      <c r="E23" s="272">
        <v>225.92</v>
      </c>
      <c r="F23" s="272">
        <v>216</v>
      </c>
      <c r="G23" s="272">
        <v>207.62</v>
      </c>
      <c r="H23" s="272">
        <v>197.22</v>
      </c>
      <c r="I23" s="272">
        <v>186.7</v>
      </c>
      <c r="J23" s="272">
        <v>186.6</v>
      </c>
      <c r="K23" s="272">
        <v>198.01</v>
      </c>
      <c r="L23" s="272">
        <v>200.03</v>
      </c>
      <c r="M23" s="272">
        <v>200</v>
      </c>
      <c r="N23" s="272">
        <v>204.86</v>
      </c>
      <c r="O23" s="272">
        <v>204.5</v>
      </c>
      <c r="P23" s="272">
        <v>204.43</v>
      </c>
      <c r="Q23" s="272">
        <v>205.21</v>
      </c>
      <c r="R23" s="272">
        <v>195.02</v>
      </c>
      <c r="S23" s="272">
        <v>191.9</v>
      </c>
      <c r="T23" s="272">
        <v>196.92</v>
      </c>
      <c r="U23" s="272">
        <v>201.02</v>
      </c>
      <c r="V23" s="272">
        <v>222.87</v>
      </c>
      <c r="W23" s="272">
        <v>257.45</v>
      </c>
      <c r="X23" s="272">
        <v>265.36</v>
      </c>
      <c r="Y23" s="272">
        <v>257.13</v>
      </c>
      <c r="Z23" s="272">
        <v>248.2</v>
      </c>
      <c r="AA23" s="272">
        <v>228.52</v>
      </c>
      <c r="AB23" s="272">
        <v>212.82</v>
      </c>
    </row>
    <row r="24" spans="1:28">
      <c r="A24" s="232" t="s">
        <v>128</v>
      </c>
      <c r="B24" s="271">
        <v>209.55</v>
      </c>
      <c r="C24" s="271">
        <v>285.68</v>
      </c>
      <c r="D24" s="271">
        <v>246.20906203089999</v>
      </c>
      <c r="E24" s="272">
        <v>252.53</v>
      </c>
      <c r="F24" s="272">
        <v>242.23</v>
      </c>
      <c r="G24" s="272">
        <v>232.25</v>
      </c>
      <c r="H24" s="272">
        <v>215.01</v>
      </c>
      <c r="I24" s="272">
        <v>209.55</v>
      </c>
      <c r="J24" s="272">
        <v>222.78</v>
      </c>
      <c r="K24" s="272">
        <v>249.93</v>
      </c>
      <c r="L24" s="272">
        <v>272.52</v>
      </c>
      <c r="M24" s="272">
        <v>264.36</v>
      </c>
      <c r="N24" s="272">
        <v>253.83</v>
      </c>
      <c r="O24" s="272">
        <v>241.11</v>
      </c>
      <c r="P24" s="272">
        <v>235.63</v>
      </c>
      <c r="Q24" s="272">
        <v>235.63</v>
      </c>
      <c r="R24" s="272">
        <v>235.16</v>
      </c>
      <c r="S24" s="272">
        <v>234.03</v>
      </c>
      <c r="T24" s="272">
        <v>229.11</v>
      </c>
      <c r="U24" s="272">
        <v>235.01</v>
      </c>
      <c r="V24" s="272">
        <v>248.63</v>
      </c>
      <c r="W24" s="272">
        <v>264.20999999999998</v>
      </c>
      <c r="X24" s="272">
        <v>285.68</v>
      </c>
      <c r="Y24" s="272">
        <v>277.01</v>
      </c>
      <c r="Z24" s="272">
        <v>257.64</v>
      </c>
      <c r="AA24" s="272">
        <v>248.63</v>
      </c>
      <c r="AB24" s="272">
        <v>229.6</v>
      </c>
    </row>
    <row r="25" spans="1:28">
      <c r="A25" s="232" t="s">
        <v>129</v>
      </c>
      <c r="B25" s="271">
        <v>193.99</v>
      </c>
      <c r="C25" s="271">
        <v>272.22000000000003</v>
      </c>
      <c r="D25" s="271">
        <v>224.63285296629999</v>
      </c>
      <c r="E25" s="272">
        <v>213.9</v>
      </c>
      <c r="F25" s="272">
        <v>203.27</v>
      </c>
      <c r="G25" s="272">
        <v>200.48</v>
      </c>
      <c r="H25" s="272">
        <v>194.52</v>
      </c>
      <c r="I25" s="272">
        <v>193.99</v>
      </c>
      <c r="J25" s="272">
        <v>205</v>
      </c>
      <c r="K25" s="272">
        <v>223.94</v>
      </c>
      <c r="L25" s="272">
        <v>227.84</v>
      </c>
      <c r="M25" s="272">
        <v>235.42</v>
      </c>
      <c r="N25" s="272">
        <v>231.78</v>
      </c>
      <c r="O25" s="272">
        <v>221.34</v>
      </c>
      <c r="P25" s="272">
        <v>217.44</v>
      </c>
      <c r="Q25" s="272">
        <v>216.73</v>
      </c>
      <c r="R25" s="272">
        <v>216.73</v>
      </c>
      <c r="S25" s="272">
        <v>215.42</v>
      </c>
      <c r="T25" s="272">
        <v>212.24</v>
      </c>
      <c r="U25" s="272">
        <v>218</v>
      </c>
      <c r="V25" s="272">
        <v>231.78</v>
      </c>
      <c r="W25" s="272">
        <v>254.81</v>
      </c>
      <c r="X25" s="272">
        <v>272.22000000000003</v>
      </c>
      <c r="Y25" s="272">
        <v>259.29000000000002</v>
      </c>
      <c r="Z25" s="272">
        <v>240</v>
      </c>
      <c r="AA25" s="272">
        <v>225.84</v>
      </c>
      <c r="AB25" s="272">
        <v>213.54</v>
      </c>
    </row>
    <row r="26" spans="1:28">
      <c r="A26" s="232" t="s">
        <v>130</v>
      </c>
      <c r="B26" s="271">
        <v>179.64</v>
      </c>
      <c r="C26" s="271">
        <v>259.81</v>
      </c>
      <c r="D26" s="271">
        <v>213.8526652379</v>
      </c>
      <c r="E26" s="272">
        <v>224.68</v>
      </c>
      <c r="F26" s="272">
        <v>215.46</v>
      </c>
      <c r="G26" s="272">
        <v>203.69</v>
      </c>
      <c r="H26" s="272">
        <v>193.91</v>
      </c>
      <c r="I26" s="272">
        <v>188.7</v>
      </c>
      <c r="J26" s="272">
        <v>195.36</v>
      </c>
      <c r="K26" s="272">
        <v>222.81</v>
      </c>
      <c r="L26" s="272">
        <v>226.95</v>
      </c>
      <c r="M26" s="272">
        <v>239.14</v>
      </c>
      <c r="N26" s="272">
        <v>230.85</v>
      </c>
      <c r="O26" s="272">
        <v>216.18</v>
      </c>
      <c r="P26" s="272">
        <v>207.56</v>
      </c>
      <c r="Q26" s="272">
        <v>207.56</v>
      </c>
      <c r="R26" s="272">
        <v>206.96</v>
      </c>
      <c r="S26" s="272">
        <v>180.3</v>
      </c>
      <c r="T26" s="272">
        <v>179.64</v>
      </c>
      <c r="U26" s="272">
        <v>184.2</v>
      </c>
      <c r="V26" s="272">
        <v>217.64</v>
      </c>
      <c r="W26" s="272">
        <v>238.1</v>
      </c>
      <c r="X26" s="272">
        <v>259.81</v>
      </c>
      <c r="Y26" s="272">
        <v>254.21</v>
      </c>
      <c r="Z26" s="272">
        <v>222.26</v>
      </c>
      <c r="AA26" s="272">
        <v>208.8</v>
      </c>
      <c r="AB26" s="272">
        <v>191.09</v>
      </c>
    </row>
    <row r="27" spans="1:28">
      <c r="A27" s="232" t="s">
        <v>131</v>
      </c>
      <c r="B27" s="271">
        <v>160.69</v>
      </c>
      <c r="C27" s="271">
        <v>239.38</v>
      </c>
      <c r="D27" s="271">
        <v>191.2765617124</v>
      </c>
      <c r="E27" s="272">
        <v>194.18</v>
      </c>
      <c r="F27" s="272">
        <v>185.18</v>
      </c>
      <c r="G27" s="272">
        <v>179.53</v>
      </c>
      <c r="H27" s="272">
        <v>171.43</v>
      </c>
      <c r="I27" s="272">
        <v>168.18</v>
      </c>
      <c r="J27" s="272">
        <v>176.44</v>
      </c>
      <c r="K27" s="272">
        <v>185.01</v>
      </c>
      <c r="L27" s="272">
        <v>206.41</v>
      </c>
      <c r="M27" s="272">
        <v>218.11</v>
      </c>
      <c r="N27" s="272">
        <v>216.81</v>
      </c>
      <c r="O27" s="272">
        <v>206.41</v>
      </c>
      <c r="P27" s="272">
        <v>185.21</v>
      </c>
      <c r="Q27" s="272">
        <v>172.66</v>
      </c>
      <c r="R27" s="272">
        <v>172.01</v>
      </c>
      <c r="S27" s="272">
        <v>163.11000000000001</v>
      </c>
      <c r="T27" s="272">
        <v>160.69</v>
      </c>
      <c r="U27" s="272">
        <v>164.05</v>
      </c>
      <c r="V27" s="272">
        <v>202.51</v>
      </c>
      <c r="W27" s="272">
        <v>215.51</v>
      </c>
      <c r="X27" s="272">
        <v>239.38</v>
      </c>
      <c r="Y27" s="272">
        <v>220.63</v>
      </c>
      <c r="Z27" s="272">
        <v>209.01</v>
      </c>
      <c r="AA27" s="272">
        <v>186.44</v>
      </c>
      <c r="AB27" s="272">
        <v>176.44</v>
      </c>
    </row>
    <row r="28" spans="1:28">
      <c r="A28" s="232" t="s">
        <v>132</v>
      </c>
      <c r="B28" s="271">
        <v>154.69999999999999</v>
      </c>
      <c r="C28" s="271">
        <v>214.7</v>
      </c>
      <c r="D28" s="271">
        <v>179.50939367300001</v>
      </c>
      <c r="E28" s="272">
        <v>180</v>
      </c>
      <c r="F28" s="272">
        <v>162.97</v>
      </c>
      <c r="G28" s="272">
        <v>159.5</v>
      </c>
      <c r="H28" s="272">
        <v>154.69999999999999</v>
      </c>
      <c r="I28" s="272">
        <v>154.69999999999999</v>
      </c>
      <c r="J28" s="272">
        <v>159.4</v>
      </c>
      <c r="K28" s="272">
        <v>161.1</v>
      </c>
      <c r="L28" s="272">
        <v>185</v>
      </c>
      <c r="M28" s="272">
        <v>205.22</v>
      </c>
      <c r="N28" s="272">
        <v>204.3</v>
      </c>
      <c r="O28" s="272">
        <v>184.57</v>
      </c>
      <c r="P28" s="272">
        <v>162.97</v>
      </c>
      <c r="Q28" s="272">
        <v>161.52000000000001</v>
      </c>
      <c r="R28" s="272">
        <v>161.80000000000001</v>
      </c>
      <c r="S28" s="272">
        <v>161.1</v>
      </c>
      <c r="T28" s="272">
        <v>160</v>
      </c>
      <c r="U28" s="272">
        <v>162.97</v>
      </c>
      <c r="V28" s="272">
        <v>184.67</v>
      </c>
      <c r="W28" s="272">
        <v>206.15</v>
      </c>
      <c r="X28" s="272">
        <v>214.7</v>
      </c>
      <c r="Y28" s="272">
        <v>214.68</v>
      </c>
      <c r="Z28" s="272">
        <v>209.57</v>
      </c>
      <c r="AA28" s="272">
        <v>201.7</v>
      </c>
      <c r="AB28" s="272">
        <v>184.86</v>
      </c>
    </row>
    <row r="29" spans="1:28">
      <c r="A29" s="232" t="s">
        <v>133</v>
      </c>
      <c r="B29" s="271">
        <v>166.9</v>
      </c>
      <c r="C29" s="271">
        <v>245.27</v>
      </c>
      <c r="D29" s="271">
        <v>191.52969615750001</v>
      </c>
      <c r="E29" s="272">
        <v>192.89</v>
      </c>
      <c r="F29" s="272">
        <v>175</v>
      </c>
      <c r="G29" s="272">
        <v>168.46</v>
      </c>
      <c r="H29" s="272">
        <v>166.9</v>
      </c>
      <c r="I29" s="272">
        <v>167</v>
      </c>
      <c r="J29" s="272">
        <v>168</v>
      </c>
      <c r="K29" s="272">
        <v>169.94</v>
      </c>
      <c r="L29" s="272">
        <v>169.94</v>
      </c>
      <c r="M29" s="272">
        <v>168.98</v>
      </c>
      <c r="N29" s="272">
        <v>182.3</v>
      </c>
      <c r="O29" s="272">
        <v>188.29</v>
      </c>
      <c r="P29" s="272">
        <v>184</v>
      </c>
      <c r="Q29" s="272">
        <v>184.39</v>
      </c>
      <c r="R29" s="272">
        <v>191.05</v>
      </c>
      <c r="S29" s="272">
        <v>189.99</v>
      </c>
      <c r="T29" s="272">
        <v>191.5</v>
      </c>
      <c r="U29" s="272">
        <v>193.9</v>
      </c>
      <c r="V29" s="272">
        <v>204.99</v>
      </c>
      <c r="W29" s="272">
        <v>227.41</v>
      </c>
      <c r="X29" s="272">
        <v>245.27</v>
      </c>
      <c r="Y29" s="272">
        <v>227.75</v>
      </c>
      <c r="Z29" s="272">
        <v>212</v>
      </c>
      <c r="AA29" s="272">
        <v>203</v>
      </c>
      <c r="AB29" s="272">
        <v>197</v>
      </c>
    </row>
    <row r="30" spans="1:28">
      <c r="A30" s="232" t="s">
        <v>134</v>
      </c>
      <c r="B30" s="271">
        <v>179.04</v>
      </c>
      <c r="C30" s="271">
        <v>249</v>
      </c>
      <c r="D30" s="271">
        <v>203.5479337214</v>
      </c>
      <c r="E30" s="272">
        <v>197.14</v>
      </c>
      <c r="F30" s="272">
        <v>190</v>
      </c>
      <c r="G30" s="272">
        <v>187.98</v>
      </c>
      <c r="H30" s="272">
        <v>179.73</v>
      </c>
      <c r="I30" s="272">
        <v>179.04</v>
      </c>
      <c r="J30" s="272">
        <v>179.49</v>
      </c>
      <c r="K30" s="272">
        <v>179.93</v>
      </c>
      <c r="L30" s="272">
        <v>189.99</v>
      </c>
      <c r="M30" s="272">
        <v>190</v>
      </c>
      <c r="N30" s="272">
        <v>195.31</v>
      </c>
      <c r="O30" s="272">
        <v>195.34</v>
      </c>
      <c r="P30" s="272">
        <v>195.87</v>
      </c>
      <c r="Q30" s="272">
        <v>195.41</v>
      </c>
      <c r="R30" s="272">
        <v>186.29</v>
      </c>
      <c r="S30" s="272">
        <v>184.49</v>
      </c>
      <c r="T30" s="272">
        <v>190</v>
      </c>
      <c r="U30" s="272">
        <v>194</v>
      </c>
      <c r="V30" s="272">
        <v>214.95</v>
      </c>
      <c r="W30" s="272">
        <v>239.49</v>
      </c>
      <c r="X30" s="272">
        <v>244.31</v>
      </c>
      <c r="Y30" s="272">
        <v>249</v>
      </c>
      <c r="Z30" s="272">
        <v>247.3</v>
      </c>
      <c r="AA30" s="272">
        <v>222.8</v>
      </c>
      <c r="AB30" s="272">
        <v>204.3</v>
      </c>
    </row>
    <row r="31" spans="1:28">
      <c r="A31" s="232" t="s">
        <v>135</v>
      </c>
      <c r="B31" s="271">
        <v>177.46</v>
      </c>
      <c r="C31" s="271">
        <v>297.33</v>
      </c>
      <c r="D31" s="271">
        <v>230.88546927830001</v>
      </c>
      <c r="E31" s="272">
        <v>190.27</v>
      </c>
      <c r="F31" s="272">
        <v>179.97</v>
      </c>
      <c r="G31" s="272">
        <v>178.99</v>
      </c>
      <c r="H31" s="272">
        <v>177.46</v>
      </c>
      <c r="I31" s="272">
        <v>177.61</v>
      </c>
      <c r="J31" s="272">
        <v>190</v>
      </c>
      <c r="K31" s="272">
        <v>224.83</v>
      </c>
      <c r="L31" s="272">
        <v>237.53</v>
      </c>
      <c r="M31" s="272">
        <v>243.47</v>
      </c>
      <c r="N31" s="272">
        <v>243.47</v>
      </c>
      <c r="O31" s="272">
        <v>239.52</v>
      </c>
      <c r="P31" s="272">
        <v>233.99</v>
      </c>
      <c r="Q31" s="272">
        <v>231.21</v>
      </c>
      <c r="R31" s="272">
        <v>230.63</v>
      </c>
      <c r="S31" s="272">
        <v>229.4</v>
      </c>
      <c r="T31" s="272">
        <v>230.5</v>
      </c>
      <c r="U31" s="272">
        <v>231.77</v>
      </c>
      <c r="V31" s="272">
        <v>240</v>
      </c>
      <c r="W31" s="272">
        <v>265</v>
      </c>
      <c r="X31" s="274">
        <v>297.33</v>
      </c>
      <c r="Y31" s="272">
        <v>274.98</v>
      </c>
      <c r="Z31" s="272">
        <v>250</v>
      </c>
      <c r="AA31" s="272">
        <v>235.02</v>
      </c>
      <c r="AB31" s="272">
        <v>215.02</v>
      </c>
    </row>
    <row r="32" spans="1:28">
      <c r="A32" s="232" t="s">
        <v>137</v>
      </c>
      <c r="B32" s="271">
        <v>196.24</v>
      </c>
      <c r="C32" s="271">
        <v>256.36</v>
      </c>
      <c r="D32" s="271">
        <v>225.872078711</v>
      </c>
      <c r="E32" s="272">
        <v>220.27</v>
      </c>
      <c r="F32" s="272">
        <v>212.9</v>
      </c>
      <c r="G32" s="272">
        <v>203.75</v>
      </c>
      <c r="H32" s="272">
        <v>196.24</v>
      </c>
      <c r="I32" s="272">
        <v>198.89</v>
      </c>
      <c r="J32" s="272">
        <v>215.01</v>
      </c>
      <c r="K32" s="272">
        <v>225</v>
      </c>
      <c r="L32" s="272">
        <v>228.36</v>
      </c>
      <c r="M32" s="272">
        <v>236.4</v>
      </c>
      <c r="N32" s="272">
        <v>235.1</v>
      </c>
      <c r="O32" s="272">
        <v>227.41</v>
      </c>
      <c r="P32" s="272">
        <v>222.8</v>
      </c>
      <c r="Q32" s="272">
        <v>219.5</v>
      </c>
      <c r="R32" s="272">
        <v>216.53</v>
      </c>
      <c r="S32" s="272">
        <v>216.31</v>
      </c>
      <c r="T32" s="272">
        <v>219.89</v>
      </c>
      <c r="U32" s="272">
        <v>226</v>
      </c>
      <c r="V32" s="272">
        <v>231.02</v>
      </c>
      <c r="W32" s="272">
        <v>239.1</v>
      </c>
      <c r="X32" s="272">
        <v>248.53</v>
      </c>
      <c r="Y32" s="272">
        <v>256.36</v>
      </c>
      <c r="Z32" s="272">
        <v>242</v>
      </c>
      <c r="AA32" s="272">
        <v>229.9</v>
      </c>
      <c r="AB32" s="272">
        <v>214.41</v>
      </c>
    </row>
    <row r="33" spans="1:28">
      <c r="A33" s="232" t="s">
        <v>138</v>
      </c>
      <c r="B33" s="271">
        <v>225.01</v>
      </c>
      <c r="C33" s="271">
        <v>250</v>
      </c>
      <c r="D33" s="271">
        <v>237.30354925200001</v>
      </c>
      <c r="E33" s="272">
        <v>244.86</v>
      </c>
      <c r="F33" s="272">
        <v>235</v>
      </c>
      <c r="G33" s="272">
        <v>231.86</v>
      </c>
      <c r="H33" s="272">
        <v>228</v>
      </c>
      <c r="I33" s="272">
        <v>225.01</v>
      </c>
      <c r="J33" s="272">
        <v>233.16</v>
      </c>
      <c r="K33" s="272">
        <v>233.16</v>
      </c>
      <c r="L33" s="272">
        <v>238.57</v>
      </c>
      <c r="M33" s="272">
        <v>243.97</v>
      </c>
      <c r="N33" s="272">
        <v>243.97</v>
      </c>
      <c r="O33" s="272">
        <v>239.66</v>
      </c>
      <c r="P33" s="272">
        <v>237.81</v>
      </c>
      <c r="Q33" s="272">
        <v>234.69</v>
      </c>
      <c r="R33" s="272">
        <v>233.16</v>
      </c>
      <c r="S33" s="272">
        <v>229.47</v>
      </c>
      <c r="T33" s="272">
        <v>229.17</v>
      </c>
      <c r="U33" s="272">
        <v>234.18</v>
      </c>
      <c r="V33" s="272">
        <v>237.92</v>
      </c>
      <c r="W33" s="272">
        <v>243.97</v>
      </c>
      <c r="X33" s="272">
        <v>248.76</v>
      </c>
      <c r="Y33" s="272">
        <v>250</v>
      </c>
      <c r="Z33" s="272">
        <v>243.97</v>
      </c>
      <c r="AA33" s="272">
        <v>235.92</v>
      </c>
      <c r="AB33" s="272">
        <v>226.27</v>
      </c>
    </row>
    <row r="34" spans="1:28">
      <c r="A34" s="232" t="s">
        <v>139</v>
      </c>
      <c r="B34" s="271">
        <v>215.75</v>
      </c>
      <c r="C34" s="271">
        <v>249.01</v>
      </c>
      <c r="D34" s="271">
        <v>233.27378319339999</v>
      </c>
      <c r="E34" s="272">
        <v>238.4</v>
      </c>
      <c r="F34" s="272">
        <v>229.89</v>
      </c>
      <c r="G34" s="272">
        <v>229</v>
      </c>
      <c r="H34" s="272">
        <v>221.4</v>
      </c>
      <c r="I34" s="272">
        <v>219</v>
      </c>
      <c r="J34" s="272">
        <v>220</v>
      </c>
      <c r="K34" s="272">
        <v>223.66</v>
      </c>
      <c r="L34" s="272">
        <v>237</v>
      </c>
      <c r="M34" s="272">
        <v>248.8</v>
      </c>
      <c r="N34" s="272">
        <v>248.8</v>
      </c>
      <c r="O34" s="272">
        <v>238.1</v>
      </c>
      <c r="P34" s="272">
        <v>229.89</v>
      </c>
      <c r="Q34" s="272">
        <v>230.5</v>
      </c>
      <c r="R34" s="272">
        <v>231</v>
      </c>
      <c r="S34" s="272">
        <v>226.6</v>
      </c>
      <c r="T34" s="272">
        <v>225</v>
      </c>
      <c r="U34" s="272">
        <v>229.5</v>
      </c>
      <c r="V34" s="272">
        <v>237</v>
      </c>
      <c r="W34" s="272">
        <v>244</v>
      </c>
      <c r="X34" s="272">
        <v>249.01</v>
      </c>
      <c r="Y34" s="272">
        <v>248.35</v>
      </c>
      <c r="Z34" s="272">
        <v>237</v>
      </c>
      <c r="AA34" s="272">
        <v>215.75</v>
      </c>
      <c r="AB34" s="272">
        <v>222.4</v>
      </c>
    </row>
    <row r="35" spans="1:28">
      <c r="A35" s="232" t="s">
        <v>140</v>
      </c>
      <c r="B35" s="271">
        <v>190</v>
      </c>
      <c r="C35" s="271">
        <v>255.38</v>
      </c>
      <c r="D35" s="271">
        <v>225.61380612260001</v>
      </c>
      <c r="E35" s="272">
        <v>232.13</v>
      </c>
      <c r="F35" s="272">
        <v>220</v>
      </c>
      <c r="G35" s="272">
        <v>209.1</v>
      </c>
      <c r="H35" s="272">
        <v>199.5</v>
      </c>
      <c r="I35" s="272">
        <v>190</v>
      </c>
      <c r="J35" s="272">
        <v>204.5</v>
      </c>
      <c r="K35" s="272">
        <v>223.8</v>
      </c>
      <c r="L35" s="272">
        <v>243.17</v>
      </c>
      <c r="M35" s="272">
        <v>250.73</v>
      </c>
      <c r="N35" s="272">
        <v>246.03</v>
      </c>
      <c r="O35" s="272">
        <v>230.29</v>
      </c>
      <c r="P35" s="272">
        <v>221.53</v>
      </c>
      <c r="Q35" s="272">
        <v>217.46</v>
      </c>
      <c r="R35" s="272">
        <v>211.88</v>
      </c>
      <c r="S35" s="272">
        <v>193.61</v>
      </c>
      <c r="T35" s="272">
        <v>203.42</v>
      </c>
      <c r="U35" s="272">
        <v>215.01</v>
      </c>
      <c r="V35" s="272">
        <v>237.45</v>
      </c>
      <c r="W35" s="272">
        <v>249.2</v>
      </c>
      <c r="X35" s="272">
        <v>255.38</v>
      </c>
      <c r="Y35" s="272">
        <v>250</v>
      </c>
      <c r="Z35" s="272">
        <v>238.88</v>
      </c>
      <c r="AA35" s="272">
        <v>229.05</v>
      </c>
      <c r="AB35" s="272">
        <v>217.99</v>
      </c>
    </row>
    <row r="36" spans="1:28">
      <c r="A36" s="232" t="s">
        <v>295</v>
      </c>
      <c r="B36" s="271">
        <v>181.97</v>
      </c>
      <c r="C36" s="271">
        <v>263.02999999999997</v>
      </c>
      <c r="D36" s="271">
        <v>224.19755003840001</v>
      </c>
      <c r="E36" s="272">
        <v>228.06</v>
      </c>
      <c r="F36" s="272">
        <v>216.52</v>
      </c>
      <c r="G36" s="272">
        <v>199.56</v>
      </c>
      <c r="H36" s="272">
        <v>204.94</v>
      </c>
      <c r="I36" s="272">
        <v>202.12</v>
      </c>
      <c r="J36" s="272">
        <v>196.98</v>
      </c>
      <c r="K36" s="272">
        <v>208.12</v>
      </c>
      <c r="L36" s="272">
        <v>224.53</v>
      </c>
      <c r="M36" s="272">
        <v>238.74</v>
      </c>
      <c r="N36" s="272">
        <v>235.88</v>
      </c>
      <c r="O36" s="272">
        <v>236.02</v>
      </c>
      <c r="P36" s="272">
        <v>220.87</v>
      </c>
      <c r="Q36" s="272">
        <v>217.41</v>
      </c>
      <c r="R36" s="272">
        <v>212.19</v>
      </c>
      <c r="S36" s="272">
        <v>206.99</v>
      </c>
      <c r="T36" s="272">
        <v>181.97</v>
      </c>
      <c r="U36" s="272">
        <v>182.25</v>
      </c>
      <c r="V36" s="272">
        <v>221.53</v>
      </c>
      <c r="W36" s="272">
        <v>247</v>
      </c>
      <c r="X36" s="272">
        <v>263.02999999999997</v>
      </c>
      <c r="Y36" s="272">
        <v>259.94</v>
      </c>
      <c r="Z36" s="272">
        <v>259.94</v>
      </c>
      <c r="AA36" s="272">
        <v>250.73</v>
      </c>
      <c r="AB36" s="272">
        <v>245.2</v>
      </c>
    </row>
    <row r="37" spans="1:28">
      <c r="A37" s="232" t="s">
        <v>296</v>
      </c>
      <c r="B37" s="271">
        <v>206.5</v>
      </c>
      <c r="C37" s="271">
        <v>268.64999999999998</v>
      </c>
      <c r="D37" s="271">
        <v>232.70119070909999</v>
      </c>
      <c r="E37" s="272">
        <v>234.5</v>
      </c>
      <c r="F37" s="272">
        <v>220.58</v>
      </c>
      <c r="G37" s="272">
        <v>216</v>
      </c>
      <c r="H37" s="272">
        <v>207.63</v>
      </c>
      <c r="I37" s="272">
        <v>206.5</v>
      </c>
      <c r="J37" s="272">
        <v>211.34</v>
      </c>
      <c r="K37" s="272">
        <v>214</v>
      </c>
      <c r="L37" s="272">
        <v>223</v>
      </c>
      <c r="M37" s="272">
        <v>218</v>
      </c>
      <c r="N37" s="272">
        <v>229</v>
      </c>
      <c r="O37" s="272">
        <v>223.53</v>
      </c>
      <c r="P37" s="272">
        <v>231.2</v>
      </c>
      <c r="Q37" s="272">
        <v>234.89</v>
      </c>
      <c r="R37" s="272">
        <v>221.86</v>
      </c>
      <c r="S37" s="272">
        <v>214.01</v>
      </c>
      <c r="T37" s="272">
        <v>209.03</v>
      </c>
      <c r="U37" s="272">
        <v>220</v>
      </c>
      <c r="V37" s="272">
        <v>229</v>
      </c>
      <c r="W37" s="272">
        <v>261.5</v>
      </c>
      <c r="X37" s="272">
        <v>263.39</v>
      </c>
      <c r="Y37" s="272">
        <v>268.64999999999998</v>
      </c>
      <c r="Z37" s="272">
        <v>266.01</v>
      </c>
      <c r="AA37" s="272">
        <v>257.55</v>
      </c>
      <c r="AB37" s="272">
        <v>250.94</v>
      </c>
    </row>
    <row r="38" spans="1:28">
      <c r="A38" s="232" t="s">
        <v>327</v>
      </c>
      <c r="B38" s="271">
        <v>167.8</v>
      </c>
      <c r="C38" s="271">
        <v>260</v>
      </c>
      <c r="D38" s="271">
        <v>223.44977961320001</v>
      </c>
      <c r="E38" s="272">
        <v>242.36</v>
      </c>
      <c r="F38" s="272">
        <v>222</v>
      </c>
      <c r="G38" s="272">
        <v>193.43</v>
      </c>
      <c r="H38" s="272">
        <v>179.75</v>
      </c>
      <c r="I38" s="272">
        <v>167.8</v>
      </c>
      <c r="J38" s="272">
        <v>167.8</v>
      </c>
      <c r="K38" s="272">
        <v>193.09</v>
      </c>
      <c r="L38" s="272">
        <v>240</v>
      </c>
      <c r="M38" s="272">
        <v>251.24</v>
      </c>
      <c r="N38" s="272">
        <v>251.92</v>
      </c>
      <c r="O38" s="272">
        <v>248.08</v>
      </c>
      <c r="P38" s="272">
        <v>243.21</v>
      </c>
      <c r="Q38" s="272">
        <v>237.81</v>
      </c>
      <c r="R38" s="272">
        <v>221.57</v>
      </c>
      <c r="S38" s="272">
        <v>207.22</v>
      </c>
      <c r="T38" s="272">
        <v>193.81</v>
      </c>
      <c r="U38" s="272">
        <v>195.13</v>
      </c>
      <c r="V38" s="272">
        <v>240.67</v>
      </c>
      <c r="W38" s="272">
        <v>253.8</v>
      </c>
      <c r="X38" s="272">
        <v>260</v>
      </c>
      <c r="Y38" s="272">
        <v>252.22</v>
      </c>
      <c r="Z38" s="272">
        <v>240</v>
      </c>
      <c r="AA38" s="272">
        <v>218.69</v>
      </c>
      <c r="AB38" s="272">
        <v>202.01</v>
      </c>
    </row>
    <row r="41" spans="1:28">
      <c r="A41" s="212" t="s">
        <v>30</v>
      </c>
      <c r="B41" s="318" t="s">
        <v>56</v>
      </c>
      <c r="C41" s="313"/>
      <c r="D41" s="313"/>
      <c r="E41" s="313"/>
      <c r="F41" s="313"/>
      <c r="G41" s="313"/>
      <c r="H41" s="313"/>
      <c r="I41" s="313"/>
      <c r="J41" s="313"/>
      <c r="K41" s="313"/>
      <c r="L41" s="313"/>
      <c r="M41" s="313"/>
      <c r="N41" s="313"/>
    </row>
    <row r="42" spans="1:28">
      <c r="A42" s="231" t="s">
        <v>142</v>
      </c>
      <c r="B42" s="287">
        <v>202101</v>
      </c>
      <c r="C42" s="287">
        <v>202102</v>
      </c>
      <c r="D42" s="287">
        <v>202103</v>
      </c>
      <c r="E42" s="287">
        <v>202104</v>
      </c>
      <c r="F42" s="287">
        <v>202105</v>
      </c>
      <c r="G42" s="287">
        <v>202106</v>
      </c>
      <c r="H42" s="287">
        <v>202107</v>
      </c>
      <c r="I42" s="287">
        <v>202108</v>
      </c>
      <c r="J42" s="287">
        <v>202109</v>
      </c>
      <c r="K42" s="287">
        <v>202110</v>
      </c>
      <c r="L42" s="287">
        <v>202111</v>
      </c>
      <c r="M42" s="287">
        <v>202112</v>
      </c>
      <c r="N42" s="287">
        <v>202201</v>
      </c>
    </row>
    <row r="43" spans="1:28">
      <c r="A43" s="231" t="s">
        <v>108</v>
      </c>
      <c r="B43" s="286" t="s">
        <v>287</v>
      </c>
      <c r="C43" s="286" t="s">
        <v>292</v>
      </c>
      <c r="D43" s="286" t="s">
        <v>297</v>
      </c>
      <c r="E43" s="286" t="s">
        <v>302</v>
      </c>
      <c r="F43" s="286" t="s">
        <v>304</v>
      </c>
      <c r="G43" s="286" t="s">
        <v>306</v>
      </c>
      <c r="H43" s="286" t="s">
        <v>313</v>
      </c>
      <c r="I43" s="286" t="s">
        <v>315</v>
      </c>
      <c r="J43" s="286" t="s">
        <v>317</v>
      </c>
      <c r="K43" s="286" t="s">
        <v>319</v>
      </c>
      <c r="L43" s="286" t="s">
        <v>325</v>
      </c>
      <c r="M43" s="286" t="s">
        <v>328</v>
      </c>
      <c r="N43" s="286" t="s">
        <v>330</v>
      </c>
    </row>
    <row r="44" spans="1:28">
      <c r="A44" s="212" t="s">
        <v>143</v>
      </c>
      <c r="B44" s="287"/>
      <c r="C44" s="287"/>
      <c r="D44" s="287"/>
      <c r="E44" s="287"/>
      <c r="F44" s="287"/>
      <c r="G44" s="287"/>
      <c r="H44" s="287"/>
      <c r="I44" s="287"/>
      <c r="J44" s="287"/>
      <c r="K44" s="287"/>
      <c r="L44" s="287"/>
      <c r="M44" s="287"/>
      <c r="N44" s="287"/>
    </row>
    <row r="45" spans="1:28">
      <c r="A45" s="232" t="s">
        <v>57</v>
      </c>
      <c r="B45" s="266">
        <v>22763718.625999998</v>
      </c>
      <c r="C45" s="266">
        <v>19226403.559</v>
      </c>
      <c r="D45" s="266">
        <v>20723314.798</v>
      </c>
      <c r="E45" s="266">
        <v>18861372.109999999</v>
      </c>
      <c r="F45" s="266">
        <v>19251887.315000001</v>
      </c>
      <c r="G45" s="266">
        <v>19527579.833000001</v>
      </c>
      <c r="H45" s="266">
        <v>21502582.151000001</v>
      </c>
      <c r="I45" s="266">
        <v>20619995.693</v>
      </c>
      <c r="J45" s="266">
        <v>19627077.671999998</v>
      </c>
      <c r="K45" s="266">
        <v>18915337.754999999</v>
      </c>
      <c r="L45" s="266">
        <v>20241424.925000001</v>
      </c>
      <c r="M45" s="266">
        <v>20757163.548999999</v>
      </c>
      <c r="N45" s="266">
        <v>21451525.493999999</v>
      </c>
    </row>
    <row r="46" spans="1:28">
      <c r="A46" s="232" t="s">
        <v>58</v>
      </c>
      <c r="B46" s="267">
        <v>100</v>
      </c>
      <c r="C46" s="267">
        <v>100</v>
      </c>
      <c r="D46" s="267">
        <v>100</v>
      </c>
      <c r="E46" s="267">
        <v>100</v>
      </c>
      <c r="F46" s="267">
        <v>100</v>
      </c>
      <c r="G46" s="267">
        <v>100</v>
      </c>
      <c r="H46" s="267">
        <v>100</v>
      </c>
      <c r="I46" s="267">
        <v>100</v>
      </c>
      <c r="J46" s="267">
        <v>100</v>
      </c>
      <c r="K46" s="267">
        <v>100</v>
      </c>
      <c r="L46" s="267">
        <v>100</v>
      </c>
      <c r="M46" s="267">
        <v>100</v>
      </c>
      <c r="N46" s="267">
        <v>100</v>
      </c>
    </row>
    <row r="47" spans="1:28">
      <c r="A47" s="232" t="s">
        <v>59</v>
      </c>
      <c r="B47" s="213">
        <v>63.6</v>
      </c>
      <c r="C47" s="213">
        <v>29.86</v>
      </c>
      <c r="D47" s="213">
        <v>46.39</v>
      </c>
      <c r="E47" s="213">
        <v>66.2</v>
      </c>
      <c r="F47" s="213">
        <v>67.930000000000007</v>
      </c>
      <c r="G47" s="213">
        <v>83.94</v>
      </c>
      <c r="H47" s="213">
        <v>92.81</v>
      </c>
      <c r="I47" s="213">
        <v>106.45</v>
      </c>
      <c r="J47" s="213">
        <v>156.53</v>
      </c>
      <c r="K47" s="213">
        <v>202.59</v>
      </c>
      <c r="L47" s="213">
        <v>197.46</v>
      </c>
      <c r="M47" s="213">
        <v>245.7</v>
      </c>
      <c r="N47" s="213">
        <v>205.79</v>
      </c>
    </row>
    <row r="48" spans="1:28">
      <c r="A48" s="232" t="s">
        <v>60</v>
      </c>
      <c r="B48" s="213">
        <v>1.8</v>
      </c>
      <c r="C48" s="213">
        <v>2.14</v>
      </c>
      <c r="D48" s="213">
        <v>1.99</v>
      </c>
      <c r="E48" s="213">
        <v>1.7</v>
      </c>
      <c r="F48" s="213">
        <v>2.4900000000000002</v>
      </c>
      <c r="G48" s="213">
        <v>1.96</v>
      </c>
      <c r="H48" s="213">
        <v>1.21</v>
      </c>
      <c r="I48" s="213">
        <v>2.0699999999999998</v>
      </c>
      <c r="J48" s="213">
        <v>1.02</v>
      </c>
      <c r="K48" s="213">
        <v>2.44</v>
      </c>
      <c r="L48" s="213">
        <v>1.49</v>
      </c>
      <c r="M48" s="213">
        <v>1.8</v>
      </c>
      <c r="N48" s="213">
        <v>1.25</v>
      </c>
    </row>
    <row r="49" spans="1:14">
      <c r="A49" s="232" t="s">
        <v>61</v>
      </c>
      <c r="B49" s="213">
        <v>0.95</v>
      </c>
      <c r="C49" s="213">
        <v>0.67</v>
      </c>
      <c r="D49" s="213">
        <v>0.53</v>
      </c>
      <c r="E49" s="213">
        <v>0.67</v>
      </c>
      <c r="F49" s="213">
        <v>0.42</v>
      </c>
      <c r="G49" s="213">
        <v>0.3</v>
      </c>
      <c r="H49" s="213">
        <v>1.08</v>
      </c>
      <c r="I49" s="213">
        <v>1.19</v>
      </c>
      <c r="J49" s="213">
        <v>1.43</v>
      </c>
      <c r="K49" s="213">
        <v>1.87</v>
      </c>
      <c r="L49" s="213">
        <v>2.4500000000000002</v>
      </c>
      <c r="M49" s="213">
        <v>2.2799999999999998</v>
      </c>
      <c r="N49" s="213">
        <v>1.05</v>
      </c>
    </row>
    <row r="50" spans="1:14">
      <c r="A50" s="232" t="s">
        <v>62</v>
      </c>
      <c r="B50" s="213">
        <v>0.03</v>
      </c>
      <c r="C50" s="213">
        <v>-0.02</v>
      </c>
      <c r="D50" s="213">
        <v>-0.02</v>
      </c>
      <c r="E50" s="213">
        <v>-0.03</v>
      </c>
      <c r="F50" s="213">
        <v>-0.03</v>
      </c>
      <c r="G50" s="213">
        <v>-0.03</v>
      </c>
      <c r="H50" s="213">
        <v>-0.03</v>
      </c>
      <c r="I50" s="213">
        <v>-0.04</v>
      </c>
      <c r="J50" s="213">
        <v>0</v>
      </c>
      <c r="K50" s="213">
        <v>-0.02</v>
      </c>
      <c r="L50" s="213">
        <v>0.03</v>
      </c>
      <c r="M50" s="213">
        <v>-0.06</v>
      </c>
      <c r="N50" s="213">
        <v>-0.04</v>
      </c>
    </row>
    <row r="51" spans="1:14">
      <c r="A51" s="232" t="s">
        <v>63</v>
      </c>
      <c r="B51" s="213">
        <v>0</v>
      </c>
      <c r="C51" s="213">
        <v>0</v>
      </c>
      <c r="D51" s="213">
        <v>0</v>
      </c>
      <c r="E51" s="213">
        <v>0</v>
      </c>
      <c r="F51" s="213">
        <v>0</v>
      </c>
      <c r="G51" s="213">
        <v>0</v>
      </c>
      <c r="H51" s="213">
        <v>0</v>
      </c>
      <c r="I51" s="213">
        <v>0</v>
      </c>
      <c r="J51" s="213">
        <v>0</v>
      </c>
      <c r="K51" s="213">
        <v>0</v>
      </c>
      <c r="L51" s="213">
        <v>0</v>
      </c>
      <c r="M51" s="213">
        <v>0</v>
      </c>
      <c r="N51" s="213">
        <v>0</v>
      </c>
    </row>
    <row r="52" spans="1:14">
      <c r="A52" s="232" t="s">
        <v>64</v>
      </c>
      <c r="B52" s="213">
        <v>0</v>
      </c>
      <c r="C52" s="213">
        <v>0</v>
      </c>
      <c r="D52" s="213">
        <v>0</v>
      </c>
      <c r="E52" s="213">
        <v>0</v>
      </c>
      <c r="F52" s="213">
        <v>0</v>
      </c>
      <c r="G52" s="213">
        <v>0</v>
      </c>
      <c r="H52" s="213">
        <v>0</v>
      </c>
      <c r="I52" s="213">
        <v>0</v>
      </c>
      <c r="J52" s="213">
        <v>0</v>
      </c>
      <c r="K52" s="213">
        <v>0</v>
      </c>
      <c r="L52" s="213">
        <v>0</v>
      </c>
      <c r="M52" s="213">
        <v>0</v>
      </c>
      <c r="N52" s="213">
        <v>0</v>
      </c>
    </row>
    <row r="53" spans="1:14">
      <c r="A53" s="232" t="s">
        <v>65</v>
      </c>
      <c r="B53" s="213">
        <v>0.71</v>
      </c>
      <c r="C53" s="213">
        <v>1.1599999999999999</v>
      </c>
      <c r="D53" s="213">
        <v>0.66</v>
      </c>
      <c r="E53" s="213">
        <v>0.57999999999999996</v>
      </c>
      <c r="F53" s="213">
        <v>0.97</v>
      </c>
      <c r="G53" s="213">
        <v>0.73</v>
      </c>
      <c r="H53" s="213">
        <v>0.72</v>
      </c>
      <c r="I53" s="213">
        <v>1.17</v>
      </c>
      <c r="J53" s="213">
        <v>1.23</v>
      </c>
      <c r="K53" s="213">
        <v>1.97</v>
      </c>
      <c r="L53" s="213">
        <v>1.6</v>
      </c>
      <c r="M53" s="213">
        <v>1.5</v>
      </c>
      <c r="N53" s="213">
        <v>1.02</v>
      </c>
    </row>
    <row r="54" spans="1:14">
      <c r="A54" s="232" t="s">
        <v>66</v>
      </c>
      <c r="B54" s="213">
        <v>-0.05</v>
      </c>
      <c r="C54" s="213">
        <v>-0.02</v>
      </c>
      <c r="D54" s="213">
        <v>-0.02</v>
      </c>
      <c r="E54" s="213">
        <v>-0.04</v>
      </c>
      <c r="F54" s="213">
        <v>-0.04</v>
      </c>
      <c r="G54" s="213">
        <v>-0.04</v>
      </c>
      <c r="H54" s="213">
        <v>-0.04</v>
      </c>
      <c r="I54" s="213">
        <v>-0.04</v>
      </c>
      <c r="J54" s="213">
        <v>-0.09</v>
      </c>
      <c r="K54" s="213">
        <v>-0.13</v>
      </c>
      <c r="L54" s="213">
        <v>-0.13</v>
      </c>
      <c r="M54" s="213">
        <v>-0.27</v>
      </c>
      <c r="N54" s="213">
        <v>-0.18</v>
      </c>
    </row>
    <row r="55" spans="1:14">
      <c r="A55" s="232" t="s">
        <v>67</v>
      </c>
      <c r="B55" s="213">
        <v>0.49</v>
      </c>
      <c r="C55" s="213">
        <v>0.24</v>
      </c>
      <c r="D55" s="213">
        <v>0.25</v>
      </c>
      <c r="E55" s="213">
        <v>0.25</v>
      </c>
      <c r="F55" s="213">
        <v>0.28999999999999998</v>
      </c>
      <c r="G55" s="213">
        <v>0.25</v>
      </c>
      <c r="H55" s="213">
        <v>0.15</v>
      </c>
      <c r="I55" s="213">
        <v>0.32</v>
      </c>
      <c r="J55" s="213">
        <v>0.56999999999999995</v>
      </c>
      <c r="K55" s="213">
        <v>0.5</v>
      </c>
      <c r="L55" s="213">
        <v>0.42</v>
      </c>
      <c r="M55" s="213">
        <v>0.86</v>
      </c>
      <c r="N55" s="213">
        <v>0.64</v>
      </c>
    </row>
    <row r="56" spans="1:14">
      <c r="A56" s="232" t="s">
        <v>68</v>
      </c>
      <c r="B56" s="213">
        <v>-0.2</v>
      </c>
      <c r="C56" s="213">
        <v>-0.13</v>
      </c>
      <c r="D56" s="213">
        <v>-0.1</v>
      </c>
      <c r="E56" s="213">
        <v>-0.13</v>
      </c>
      <c r="F56" s="213">
        <v>-0.17</v>
      </c>
      <c r="G56" s="213">
        <v>-0.12</v>
      </c>
      <c r="H56" s="213">
        <v>0.01</v>
      </c>
      <c r="I56" s="213">
        <v>-0.05</v>
      </c>
      <c r="J56" s="213">
        <v>-0.25</v>
      </c>
      <c r="K56" s="213">
        <v>0.16</v>
      </c>
      <c r="L56" s="213">
        <v>0.19</v>
      </c>
      <c r="M56" s="213">
        <v>-0.19</v>
      </c>
      <c r="N56" s="213">
        <v>0.04</v>
      </c>
    </row>
    <row r="57" spans="1:14">
      <c r="A57" s="232" t="s">
        <v>23</v>
      </c>
      <c r="B57" s="213">
        <v>0</v>
      </c>
      <c r="C57" s="213">
        <v>-7.0000000000000007E-2</v>
      </c>
      <c r="D57" s="213">
        <v>-0.06</v>
      </c>
      <c r="E57" s="213">
        <v>-0.06</v>
      </c>
      <c r="F57" s="213">
        <v>-7.0000000000000007E-2</v>
      </c>
      <c r="G57" s="213">
        <v>-7.0000000000000007E-2</v>
      </c>
      <c r="H57" s="213">
        <v>-7.0000000000000007E-2</v>
      </c>
      <c r="I57" s="213">
        <v>-0.06</v>
      </c>
      <c r="J57" s="213">
        <v>-0.06</v>
      </c>
      <c r="K57" s="213">
        <v>-7.0000000000000007E-2</v>
      </c>
      <c r="L57" s="213">
        <v>-0.08</v>
      </c>
      <c r="M57" s="213">
        <v>-0.08</v>
      </c>
      <c r="N57" s="213">
        <v>-0.08</v>
      </c>
    </row>
    <row r="58" spans="1:14">
      <c r="A58" s="232" t="s">
        <v>69</v>
      </c>
      <c r="B58" s="213">
        <v>3.02</v>
      </c>
      <c r="C58" s="213">
        <v>2.98</v>
      </c>
      <c r="D58" s="213">
        <v>2.38</v>
      </c>
      <c r="E58" s="213">
        <v>2.31</v>
      </c>
      <c r="F58" s="213">
        <v>2.2200000000000002</v>
      </c>
      <c r="G58" s="213">
        <v>0.3</v>
      </c>
      <c r="H58" s="213">
        <v>0.54</v>
      </c>
      <c r="I58" s="213">
        <v>0.31</v>
      </c>
      <c r="J58" s="213">
        <v>0.31</v>
      </c>
      <c r="K58" s="213">
        <v>0.26</v>
      </c>
      <c r="L58" s="213">
        <v>0.38</v>
      </c>
      <c r="M58" s="213">
        <v>0.54</v>
      </c>
      <c r="N58" s="213">
        <v>0.43</v>
      </c>
    </row>
    <row r="59" spans="1:14">
      <c r="A59" s="232" t="s">
        <v>37</v>
      </c>
      <c r="B59" s="213">
        <v>0</v>
      </c>
      <c r="C59" s="213">
        <v>0</v>
      </c>
      <c r="D59" s="213">
        <v>0</v>
      </c>
      <c r="E59" s="213">
        <v>0</v>
      </c>
      <c r="F59" s="213">
        <v>0</v>
      </c>
      <c r="G59" s="213">
        <v>0</v>
      </c>
      <c r="H59" s="213">
        <v>0</v>
      </c>
      <c r="I59" s="213">
        <v>0</v>
      </c>
      <c r="J59" s="213">
        <v>0</v>
      </c>
      <c r="K59" s="213">
        <v>0</v>
      </c>
      <c r="L59" s="213">
        <v>0</v>
      </c>
      <c r="M59" s="213">
        <v>0</v>
      </c>
      <c r="N59" s="213">
        <v>0</v>
      </c>
    </row>
    <row r="60" spans="1:14">
      <c r="A60" s="232" t="s">
        <v>70</v>
      </c>
      <c r="B60" s="213">
        <v>0.02</v>
      </c>
      <c r="C60" s="213">
        <v>0.01</v>
      </c>
      <c r="D60" s="213">
        <v>0.01</v>
      </c>
      <c r="E60" s="213">
        <v>0.05</v>
      </c>
      <c r="F60" s="213">
        <v>0.02</v>
      </c>
      <c r="G60" s="213">
        <v>-0.01</v>
      </c>
      <c r="H60" s="213">
        <v>0.03</v>
      </c>
      <c r="I60" s="213">
        <v>0.01</v>
      </c>
      <c r="J60" s="213">
        <v>0.06</v>
      </c>
      <c r="K60" s="213">
        <v>-0.01</v>
      </c>
      <c r="L60" s="213">
        <v>0.04</v>
      </c>
      <c r="M60" s="213">
        <v>0.05</v>
      </c>
      <c r="N60" s="213">
        <v>0.04</v>
      </c>
    </row>
    <row r="61" spans="1:14">
      <c r="A61" s="232" t="s">
        <v>71</v>
      </c>
      <c r="B61" s="213">
        <v>0</v>
      </c>
      <c r="C61" s="213">
        <v>0</v>
      </c>
      <c r="D61" s="213">
        <v>0</v>
      </c>
      <c r="E61" s="213">
        <v>0</v>
      </c>
      <c r="F61" s="213">
        <v>0</v>
      </c>
      <c r="G61" s="213">
        <v>0</v>
      </c>
      <c r="H61" s="213">
        <v>0</v>
      </c>
      <c r="I61" s="213">
        <v>0</v>
      </c>
      <c r="J61" s="213">
        <v>0</v>
      </c>
      <c r="K61" s="213">
        <v>0</v>
      </c>
      <c r="L61" s="213">
        <v>0</v>
      </c>
      <c r="M61" s="213">
        <v>0</v>
      </c>
      <c r="N61" s="213">
        <v>0</v>
      </c>
    </row>
    <row r="62" spans="1:14">
      <c r="A62" s="232" t="s">
        <v>72</v>
      </c>
      <c r="B62" s="268">
        <v>70.37</v>
      </c>
      <c r="C62" s="268">
        <v>36.82</v>
      </c>
      <c r="D62" s="268">
        <v>52.01</v>
      </c>
      <c r="E62" s="268">
        <v>71.5</v>
      </c>
      <c r="F62" s="268">
        <v>74.03</v>
      </c>
      <c r="G62" s="268">
        <v>87.21</v>
      </c>
      <c r="H62" s="268">
        <v>96.41</v>
      </c>
      <c r="I62" s="268">
        <v>111.33</v>
      </c>
      <c r="J62" s="268">
        <v>160.75</v>
      </c>
      <c r="K62" s="268">
        <v>209.56</v>
      </c>
      <c r="L62" s="268">
        <v>203.85</v>
      </c>
      <c r="M62" s="268">
        <v>252.13</v>
      </c>
      <c r="N62" s="268">
        <v>209.96</v>
      </c>
    </row>
    <row r="64" spans="1:14">
      <c r="A64" s="125" t="s">
        <v>77</v>
      </c>
      <c r="B64" s="99"/>
      <c r="C64" s="99"/>
      <c r="D64" s="99"/>
      <c r="E64" s="99"/>
      <c r="F64" s="99"/>
      <c r="G64" s="99"/>
      <c r="H64" s="99"/>
      <c r="I64" s="99"/>
    </row>
    <row r="65" spans="1:13">
      <c r="A65" s="16"/>
      <c r="B65" s="301" t="s">
        <v>1</v>
      </c>
      <c r="C65" s="301" t="s">
        <v>2</v>
      </c>
      <c r="D65" s="301" t="s">
        <v>28</v>
      </c>
      <c r="E65" s="301" t="s">
        <v>17</v>
      </c>
      <c r="F65" s="301" t="s">
        <v>18</v>
      </c>
      <c r="G65" s="301" t="s">
        <v>27</v>
      </c>
      <c r="H65" s="301" t="s">
        <v>29</v>
      </c>
      <c r="I65" s="301" t="s">
        <v>32</v>
      </c>
      <c r="J65" s="323" t="s">
        <v>144</v>
      </c>
    </row>
    <row r="66" spans="1:13">
      <c r="A66" s="17"/>
      <c r="B66" s="302"/>
      <c r="C66" s="302"/>
      <c r="D66" s="302"/>
      <c r="E66" s="302"/>
      <c r="F66" s="302"/>
      <c r="G66" s="302"/>
      <c r="H66" s="302"/>
      <c r="I66" s="302"/>
      <c r="J66" s="324"/>
    </row>
    <row r="67" spans="1:13">
      <c r="A67" s="127" t="str">
        <f>MID(B43,6,3) &amp; "-" &amp; MID(B43,3,2)</f>
        <v>Ene-21</v>
      </c>
      <c r="B67" s="124">
        <f>VLOOKUP("Mercado Diario",$A$45:$N$62,2,FALSE)</f>
        <v>63.6</v>
      </c>
      <c r="C67" s="124">
        <f>VLOOKUP("Mercado Intradiario",$A$45:$N$62,2,FALSE)</f>
        <v>0.03</v>
      </c>
      <c r="D67" s="124">
        <f t="shared" ref="D67:D79" si="0">SUM(B67:C67)</f>
        <v>63.63</v>
      </c>
      <c r="E67" s="124">
        <f>SUM(B83:B90)</f>
        <v>3.72</v>
      </c>
      <c r="F67" s="124">
        <f>VLOOKUP("Pago capacidad",$A$45:$N$62,2,FALSE)</f>
        <v>3.02</v>
      </c>
      <c r="G67" s="124">
        <f>VLOOKUP("Servicio interrumpibilidad",$A$45:$N$62,2,FALSE)</f>
        <v>0</v>
      </c>
      <c r="H67" s="124">
        <f t="shared" ref="H67:H79" si="1">SUM(D67:G67)</f>
        <v>70.37</v>
      </c>
      <c r="I67" s="129">
        <f>VLOOKUP("Energía final MWh",$A$45:$N$62,2,FALSE)/1000</f>
        <v>22763.718625999998</v>
      </c>
      <c r="J67" s="131" t="str">
        <f>MID(A67,1,1)</f>
        <v>E</v>
      </c>
    </row>
    <row r="68" spans="1:13">
      <c r="A68" s="127" t="str">
        <f>MID(C43,6,3) &amp; "-" &amp; MID(C43,3,2)</f>
        <v>Feb-21</v>
      </c>
      <c r="B68" s="124">
        <f>VLOOKUP("Mercado Diario",$A$45:$N$62,3,FALSE)</f>
        <v>29.86</v>
      </c>
      <c r="C68" s="124">
        <f>VLOOKUP("Mercado Intradiario",$A$45:$N$62,3,FALSE)</f>
        <v>-0.02</v>
      </c>
      <c r="D68" s="124">
        <f t="shared" si="0"/>
        <v>29.84</v>
      </c>
      <c r="E68" s="124">
        <f>SUM(C83:C90)</f>
        <v>3.9999999999999996</v>
      </c>
      <c r="F68" s="124">
        <f>VLOOKUP("Pago capacidad",$A$45:$N$62,3,FALSE)</f>
        <v>2.98</v>
      </c>
      <c r="G68" s="124">
        <f>VLOOKUP("Servicio interrumpibilidad",$A$45:$N$62,3,FALSE)</f>
        <v>0</v>
      </c>
      <c r="H68" s="124">
        <f t="shared" si="1"/>
        <v>36.819999999999993</v>
      </c>
      <c r="I68" s="129">
        <f>VLOOKUP("Energía final MWh",$A$45:$N$62,3,FALSE)/1000</f>
        <v>19226.403559000002</v>
      </c>
      <c r="J68" s="131" t="str">
        <f t="shared" ref="J68:J79" si="2">MID(A68,1,1)</f>
        <v>F</v>
      </c>
    </row>
    <row r="69" spans="1:13">
      <c r="A69" s="127" t="str">
        <f>MID(D43,6,3) &amp; "-" &amp; MID(D43,3,2)</f>
        <v>Mar-21</v>
      </c>
      <c r="B69" s="124">
        <f>VLOOKUP("Mercado Diario",$A$45:$N$62,4,FALSE)</f>
        <v>46.39</v>
      </c>
      <c r="C69" s="124">
        <f>VLOOKUP("Mercado Intradiario",$A$45:$N$62,4,FALSE)</f>
        <v>-0.02</v>
      </c>
      <c r="D69" s="124">
        <f t="shared" si="0"/>
        <v>46.37</v>
      </c>
      <c r="E69" s="124">
        <f>SUM(D83:D90)</f>
        <v>3.26</v>
      </c>
      <c r="F69" s="124">
        <f>VLOOKUP("Pago capacidad",$A$45:$N$62,4,FALSE)</f>
        <v>2.38</v>
      </c>
      <c r="G69" s="124">
        <f>VLOOKUP("Servicio interrumpibilidad",$A$45:$N$62,4,FALSE)</f>
        <v>0</v>
      </c>
      <c r="H69" s="124">
        <f t="shared" si="1"/>
        <v>52.01</v>
      </c>
      <c r="I69" s="129">
        <f>VLOOKUP("Energía final MWh",$A$45:$N$62,4,FALSE)/1000</f>
        <v>20723.314797999999</v>
      </c>
      <c r="J69" s="131" t="str">
        <f t="shared" si="2"/>
        <v>M</v>
      </c>
    </row>
    <row r="70" spans="1:13">
      <c r="A70" s="127" t="str">
        <f>MID(E43,6,3) &amp; "-" &amp; MID(E43,3,2)</f>
        <v>Abr-21</v>
      </c>
      <c r="B70" s="124">
        <f>VLOOKUP("Mercado Diario",$A$45:$N$62,5,FALSE)</f>
        <v>66.2</v>
      </c>
      <c r="C70" s="124">
        <f>VLOOKUP("Mercado Intradiario",$A$45:$N$62,5,FALSE)</f>
        <v>-0.03</v>
      </c>
      <c r="D70" s="124">
        <f t="shared" si="0"/>
        <v>66.17</v>
      </c>
      <c r="E70" s="124">
        <f>SUM(E83:E90)</f>
        <v>3.02</v>
      </c>
      <c r="F70" s="124">
        <f>VLOOKUP("Pago capacidad",$A$45:$N$62,5,FALSE)</f>
        <v>2.31</v>
      </c>
      <c r="G70" s="124">
        <f>VLOOKUP("Servicio interrumpibilidad",$A$45:$N$62,5,FALSE)</f>
        <v>0</v>
      </c>
      <c r="H70" s="124">
        <f t="shared" si="1"/>
        <v>71.5</v>
      </c>
      <c r="I70" s="129">
        <f>VLOOKUP("Energía final MWh",$A$45:$N$62,5,FALSE)/1000</f>
        <v>18861.37211</v>
      </c>
      <c r="J70" s="131" t="str">
        <f t="shared" si="2"/>
        <v>A</v>
      </c>
    </row>
    <row r="71" spans="1:13">
      <c r="A71" s="127" t="str">
        <f>MID(F43,6,3) &amp; "-" &amp; MID(F43,3,2)</f>
        <v>May-21</v>
      </c>
      <c r="B71" s="124">
        <f>VLOOKUP("Mercado Diario",$A$45:$N$62,6,FALSE)</f>
        <v>67.930000000000007</v>
      </c>
      <c r="C71" s="124">
        <f>VLOOKUP("Mercado Intradiario",$A$45:$N$62,6,FALSE)</f>
        <v>-0.03</v>
      </c>
      <c r="D71" s="124">
        <f t="shared" si="0"/>
        <v>67.900000000000006</v>
      </c>
      <c r="E71" s="124">
        <f>SUM(F83:F90)</f>
        <v>3.91</v>
      </c>
      <c r="F71" s="124">
        <f>VLOOKUP("Pago capacidad",$A$45:$N$62,6,FALSE)</f>
        <v>2.2200000000000002</v>
      </c>
      <c r="G71" s="124">
        <f>VLOOKUP("Servicio interrumpibilidad",$A$45:$N$62,6,FALSE)</f>
        <v>0</v>
      </c>
      <c r="H71" s="124">
        <f t="shared" si="1"/>
        <v>74.03</v>
      </c>
      <c r="I71" s="129">
        <f>VLOOKUP("Energía final MWh",$A$45:$N$62,6,FALSE)/1000</f>
        <v>19251.887315</v>
      </c>
      <c r="J71" s="131" t="str">
        <f t="shared" si="2"/>
        <v>M</v>
      </c>
    </row>
    <row r="72" spans="1:13">
      <c r="A72" s="127" t="str">
        <f>MID(G43,6,3) &amp; "-" &amp; MID(G43,3,2)</f>
        <v>Jun-21</v>
      </c>
      <c r="B72" s="124">
        <f>VLOOKUP("Mercado Diario",$A$45:$N$62,7,FALSE)</f>
        <v>83.94</v>
      </c>
      <c r="C72" s="124">
        <f>VLOOKUP("Mercado Intradiario",$A$45:$N$62,7,FALSE)</f>
        <v>-0.03</v>
      </c>
      <c r="D72" s="124">
        <f t="shared" si="0"/>
        <v>83.91</v>
      </c>
      <c r="E72" s="124">
        <f>SUM(G83:G90)</f>
        <v>3</v>
      </c>
      <c r="F72" s="124">
        <f>VLOOKUP("Pago capacidad",$A$45:$N$62,7,FALSE)</f>
        <v>0.3</v>
      </c>
      <c r="G72" s="124">
        <f>VLOOKUP("Servicio interrumpibilidad",$A$45:$N$62,7,FALSE)</f>
        <v>0</v>
      </c>
      <c r="H72" s="124">
        <f t="shared" si="1"/>
        <v>87.21</v>
      </c>
      <c r="I72" s="129">
        <f>VLOOKUP("Energía final MWh",$A$45:$N$62,7,FALSE)/1000</f>
        <v>19527.579833</v>
      </c>
      <c r="J72" s="131" t="str">
        <f t="shared" si="2"/>
        <v>J</v>
      </c>
    </row>
    <row r="73" spans="1:13">
      <c r="A73" s="127" t="str">
        <f>MID(H43,6,3) &amp; "-" &amp; MID(H43,3,2)</f>
        <v>Jul-21</v>
      </c>
      <c r="B73" s="124">
        <f>VLOOKUP("Mercado Diario",$A$45:$N$62,8,FALSE)</f>
        <v>92.81</v>
      </c>
      <c r="C73" s="124">
        <f>VLOOKUP("Mercado Intradiario",$A$45:$N$62,8,FALSE)</f>
        <v>-0.03</v>
      </c>
      <c r="D73" s="124">
        <f t="shared" si="0"/>
        <v>92.78</v>
      </c>
      <c r="E73" s="124">
        <f>SUM(H83:H90)</f>
        <v>3.0899999999999994</v>
      </c>
      <c r="F73" s="124">
        <f>VLOOKUP("Pago capacidad",$A$45:$N$62,8,FALSE)</f>
        <v>0.54</v>
      </c>
      <c r="G73" s="124">
        <f>VLOOKUP("Servicio interrumpibilidad",$A$45:$N$62,8,FALSE)</f>
        <v>0</v>
      </c>
      <c r="H73" s="124">
        <f t="shared" si="1"/>
        <v>96.410000000000011</v>
      </c>
      <c r="I73" s="129">
        <f>VLOOKUP("Energía final MWh",$A$45:$N$62,8,FALSE)/1000</f>
        <v>21502.582151000002</v>
      </c>
      <c r="J73" s="131" t="str">
        <f t="shared" si="2"/>
        <v>J</v>
      </c>
    </row>
    <row r="74" spans="1:13">
      <c r="A74" s="127" t="str">
        <f>MID(I43,6,3) &amp; "-" &amp; MID(I43,3,2)</f>
        <v>Ago-21</v>
      </c>
      <c r="B74" s="124">
        <f>VLOOKUP("Mercado Diario",$A$45:$N$62,9,FALSE)</f>
        <v>106.45</v>
      </c>
      <c r="C74" s="124">
        <f>VLOOKUP("Mercado Intradiario",$A$45:$N$62,9,FALSE)</f>
        <v>-0.04</v>
      </c>
      <c r="D74" s="124">
        <f t="shared" si="0"/>
        <v>106.41</v>
      </c>
      <c r="E74" s="124">
        <f>SUM(I83:I90)</f>
        <v>4.6100000000000003</v>
      </c>
      <c r="F74" s="124">
        <f>VLOOKUP("Pago capacidad",$A$45:$N$62,9,FALSE)</f>
        <v>0.31</v>
      </c>
      <c r="G74" s="124">
        <f>VLOOKUP("Servicio interrumpibilidad",$A$45:$N$62,9,FALSE)</f>
        <v>0</v>
      </c>
      <c r="H74" s="124">
        <f t="shared" si="1"/>
        <v>111.33</v>
      </c>
      <c r="I74" s="129">
        <f>VLOOKUP("Energía final MWh",$A$45:$N$62,9,FALSE)/1000</f>
        <v>20619.995693000001</v>
      </c>
      <c r="J74" s="131" t="str">
        <f t="shared" si="2"/>
        <v>A</v>
      </c>
    </row>
    <row r="75" spans="1:13">
      <c r="A75" s="127" t="str">
        <f>MID(J43,6,3) &amp; "-" &amp; MID(J43,3,2)</f>
        <v>Sep-21</v>
      </c>
      <c r="B75" s="124">
        <f>VLOOKUP("Mercado Diario",$A$45:$N$62,10,FALSE)</f>
        <v>156.53</v>
      </c>
      <c r="C75" s="124">
        <f>VLOOKUP("Mercado Intradiario",$A$45:$N$62,10,FALSE)</f>
        <v>0</v>
      </c>
      <c r="D75" s="124">
        <f t="shared" si="0"/>
        <v>156.53</v>
      </c>
      <c r="E75" s="124">
        <f>SUM(J83:J90)</f>
        <v>3.91</v>
      </c>
      <c r="F75" s="124">
        <f>VLOOKUP("Pago capacidad",$A$45:$N$62,10,FALSE)</f>
        <v>0.31</v>
      </c>
      <c r="G75" s="124">
        <f>VLOOKUP("Servicio interrumpibilidad",$A$45:$N$62,10,FALSE)</f>
        <v>0</v>
      </c>
      <c r="H75" s="124">
        <f t="shared" si="1"/>
        <v>160.75</v>
      </c>
      <c r="I75" s="129">
        <f>VLOOKUP("Energía final MWh",$A$45:$N$62,10,FALSE)/1000</f>
        <v>19627.077671999999</v>
      </c>
      <c r="J75" s="131" t="str">
        <f t="shared" si="2"/>
        <v>S</v>
      </c>
    </row>
    <row r="76" spans="1:13">
      <c r="A76" s="127" t="str">
        <f>MID(K43,6,3) &amp; "-" &amp; MID(K43,3,2)</f>
        <v>Oct-21</v>
      </c>
      <c r="B76" s="124">
        <f>VLOOKUP("Mercado Diario",$A$45:$N$62,11,FALSE)</f>
        <v>202.59</v>
      </c>
      <c r="C76" s="124">
        <f>VLOOKUP("Mercado Intradiario",$A$45:$N$62,11,FALSE)</f>
        <v>-0.02</v>
      </c>
      <c r="D76" s="124">
        <f t="shared" si="0"/>
        <v>202.57</v>
      </c>
      <c r="E76" s="124">
        <f>SUM(K83:K90)</f>
        <v>6.73</v>
      </c>
      <c r="F76" s="124">
        <f>VLOOKUP("Pago capacidad",$A$45:$N$62,11,FALSE)</f>
        <v>0.26</v>
      </c>
      <c r="G76" s="124">
        <f>VLOOKUP("Servicio interrumpibilidad",$A$45:$N$62,11,FALSE)</f>
        <v>0</v>
      </c>
      <c r="H76" s="124">
        <f t="shared" si="1"/>
        <v>209.55999999999997</v>
      </c>
      <c r="I76" s="129">
        <f>VLOOKUP("Energía final MWh",$A$45:$N$62,11,FALSE)/1000</f>
        <v>18915.337755</v>
      </c>
      <c r="J76" s="131" t="str">
        <f t="shared" si="2"/>
        <v>O</v>
      </c>
    </row>
    <row r="77" spans="1:13">
      <c r="A77" s="127" t="str">
        <f>MID(L43,6,3) &amp; "-" &amp; MID(L43,3,2)</f>
        <v>Nov-21</v>
      </c>
      <c r="B77" s="124">
        <f>VLOOKUP("Mercado Diario",$A$45:$N$62,12,FALSE)</f>
        <v>197.46</v>
      </c>
      <c r="C77" s="124">
        <f>VLOOKUP("Mercado Intradiario",$A$45:$N$62,12,FALSE)</f>
        <v>0.03</v>
      </c>
      <c r="D77" s="124">
        <f t="shared" si="0"/>
        <v>197.49</v>
      </c>
      <c r="E77" s="124">
        <f>SUM(L83:L90)</f>
        <v>5.9800000000000013</v>
      </c>
      <c r="F77" s="124">
        <f>VLOOKUP("Pago capacidad",$A$45:$N$62,12,FALSE)</f>
        <v>0.38</v>
      </c>
      <c r="G77" s="124">
        <f>VLOOKUP("Servicio interrumpibilidad",$A$45:$N$62,12,FALSE)</f>
        <v>0</v>
      </c>
      <c r="H77" s="124">
        <f t="shared" si="1"/>
        <v>203.85</v>
      </c>
      <c r="I77" s="129">
        <f>VLOOKUP("Energía final MWh",$A$45:$N$62,12,FALSE)/1000</f>
        <v>20241.424924999999</v>
      </c>
      <c r="J77" s="131" t="str">
        <f t="shared" si="2"/>
        <v>N</v>
      </c>
    </row>
    <row r="78" spans="1:13">
      <c r="A78" s="127" t="str">
        <f>MID(M43,6,3) &amp; "-" &amp; MID(M43,3,2)</f>
        <v>Dic-21</v>
      </c>
      <c r="B78" s="124">
        <f>VLOOKUP("Mercado Diario",$A$45:$N$62,13,FALSE)</f>
        <v>245.7</v>
      </c>
      <c r="C78" s="124">
        <f>VLOOKUP("Mercado Intradiario",$A$45:$N$62,13,FALSE)</f>
        <v>-0.06</v>
      </c>
      <c r="D78" s="124">
        <f t="shared" si="0"/>
        <v>245.64</v>
      </c>
      <c r="E78" s="124">
        <f>SUM(M83:M90)</f>
        <v>5.95</v>
      </c>
      <c r="F78" s="124">
        <f>VLOOKUP("Pago capacidad",$A$45:$N$62,13,FALSE)</f>
        <v>0.54</v>
      </c>
      <c r="G78" s="124">
        <f>VLOOKUP("Servicio interrumpibilidad",$A$45:$N$62,13,FALSE)</f>
        <v>0</v>
      </c>
      <c r="H78" s="124">
        <f t="shared" si="1"/>
        <v>252.12999999999997</v>
      </c>
      <c r="I78" s="129">
        <f>VLOOKUP("Energía final MWh",$A$45:$N$62,13,FALSE)/1000</f>
        <v>20757.163548999997</v>
      </c>
      <c r="J78" s="131" t="str">
        <f t="shared" si="2"/>
        <v>D</v>
      </c>
      <c r="K78" s="237"/>
    </row>
    <row r="79" spans="1:13">
      <c r="A79" s="128" t="str">
        <f>MID(N43,6,3) &amp; "-" &amp; MID(N43,3,2)</f>
        <v>Ene-22</v>
      </c>
      <c r="B79" s="123">
        <f>VLOOKUP("Mercado Diario",$A$45:$N$62,14,FALSE)</f>
        <v>205.79</v>
      </c>
      <c r="C79" s="123">
        <f>VLOOKUP("Mercado Intradiario",$A$45:$N$62,14,FALSE)</f>
        <v>-0.04</v>
      </c>
      <c r="D79" s="123">
        <f t="shared" si="0"/>
        <v>205.75</v>
      </c>
      <c r="E79" s="123">
        <f>SUM(N83:N90)</f>
        <v>3.78</v>
      </c>
      <c r="F79" s="123">
        <f>VLOOKUP("Pago capacidad",$A$45:$N$62,14,FALSE)</f>
        <v>0.43</v>
      </c>
      <c r="G79" s="123">
        <f>VLOOKUP("Servicio interrumpibilidad",$A$45:$N$62,14,FALSE)</f>
        <v>0</v>
      </c>
      <c r="H79" s="123">
        <f t="shared" si="1"/>
        <v>209.96</v>
      </c>
      <c r="I79" s="130">
        <f>VLOOKUP("Energía final MWh",$A$45:$N$62,14,FALSE)/1000</f>
        <v>21451.525493999998</v>
      </c>
      <c r="J79" s="132" t="str">
        <f t="shared" si="2"/>
        <v>E</v>
      </c>
      <c r="K79" s="238">
        <f>(H79/H78-1)*100</f>
        <v>-16.725498750644498</v>
      </c>
      <c r="L79" s="238">
        <f>(H79/H67-1)*100</f>
        <v>198.36578087253091</v>
      </c>
      <c r="M79" s="60">
        <f>H79/H67</f>
        <v>2.9836578087253089</v>
      </c>
    </row>
    <row r="81" spans="1:15">
      <c r="A81" s="98" t="s">
        <v>19</v>
      </c>
      <c r="B81" s="103"/>
      <c r="C81" s="103"/>
      <c r="D81" s="103"/>
      <c r="E81" s="104"/>
      <c r="F81" s="104"/>
      <c r="G81" s="104"/>
      <c r="H81" s="104"/>
      <c r="I81" s="104"/>
      <c r="J81" s="104"/>
      <c r="K81" s="104"/>
      <c r="L81" s="104"/>
      <c r="M81" s="104"/>
      <c r="N81" s="104"/>
    </row>
    <row r="82" spans="1:15">
      <c r="A82" s="100"/>
      <c r="B82" s="105" t="str">
        <f>MID(B43,6,1)</f>
        <v>E</v>
      </c>
      <c r="C82" s="105" t="str">
        <f t="shared" ref="C82:N82" si="3">MID(C43,6,1)</f>
        <v>F</v>
      </c>
      <c r="D82" s="105" t="str">
        <f t="shared" si="3"/>
        <v>M</v>
      </c>
      <c r="E82" s="105" t="str">
        <f t="shared" si="3"/>
        <v>A</v>
      </c>
      <c r="F82" s="105" t="str">
        <f t="shared" si="3"/>
        <v>M</v>
      </c>
      <c r="G82" s="105" t="str">
        <f t="shared" si="3"/>
        <v>J</v>
      </c>
      <c r="H82" s="105" t="str">
        <f t="shared" si="3"/>
        <v>J</v>
      </c>
      <c r="I82" s="105" t="str">
        <f t="shared" si="3"/>
        <v>A</v>
      </c>
      <c r="J82" s="105" t="str">
        <f t="shared" si="3"/>
        <v>S</v>
      </c>
      <c r="K82" s="105" t="str">
        <f t="shared" si="3"/>
        <v>O</v>
      </c>
      <c r="L82" s="105" t="str">
        <f t="shared" si="3"/>
        <v>N</v>
      </c>
      <c r="M82" s="105" t="str">
        <f t="shared" si="3"/>
        <v>D</v>
      </c>
      <c r="N82" s="105" t="str">
        <f t="shared" si="3"/>
        <v>E</v>
      </c>
    </row>
    <row r="83" spans="1:15">
      <c r="A83" s="101" t="s">
        <v>21</v>
      </c>
      <c r="B83" s="106">
        <f>VLOOKUP("Restricciones PBF",$A$45:$N$62,2,FALSE)</f>
        <v>1.8</v>
      </c>
      <c r="C83" s="106">
        <f>VLOOKUP("Restricciones PBF",$A$45:$N$62,3,FALSE)</f>
        <v>2.14</v>
      </c>
      <c r="D83" s="106">
        <f>VLOOKUP("Restricciones PBF",$A$45:$N$62,4,FALSE)</f>
        <v>1.99</v>
      </c>
      <c r="E83" s="106">
        <f>VLOOKUP("Restricciones PBF",$A$45:$N$62,5,FALSE)</f>
        <v>1.7</v>
      </c>
      <c r="F83" s="106">
        <f>VLOOKUP("Restricciones PBF",$A$45:$N$62,6,FALSE)</f>
        <v>2.4900000000000002</v>
      </c>
      <c r="G83" s="106">
        <f>VLOOKUP("Restricciones PBF",$A$45:$N$62,7,FALSE)</f>
        <v>1.96</v>
      </c>
      <c r="H83" s="106">
        <f>VLOOKUP("Restricciones PBF",$A$45:$N$62,8,FALSE)</f>
        <v>1.21</v>
      </c>
      <c r="I83" s="106">
        <f>VLOOKUP("Restricciones PBF",$A$45:$N$62,9,FALSE)</f>
        <v>2.0699999999999998</v>
      </c>
      <c r="J83" s="106">
        <f>VLOOKUP("Restricciones PBF",$A$45:$N$62,10,FALSE)</f>
        <v>1.02</v>
      </c>
      <c r="K83" s="106">
        <f>VLOOKUP("Restricciones PBF",$A$45:$N$62,11,FALSE)</f>
        <v>2.44</v>
      </c>
      <c r="L83" s="106">
        <f>VLOOKUP("Restricciones PBF",$A$45:$N$62,12,FALSE)</f>
        <v>1.49</v>
      </c>
      <c r="M83" s="106">
        <f>VLOOKUP("Restricciones PBF",$A$45:$N$62,13,FALSE)</f>
        <v>1.8</v>
      </c>
      <c r="N83" s="106">
        <f>VLOOKUP("Restricciones PBF",$A$45:$N$62,14,FALSE)</f>
        <v>1.25</v>
      </c>
    </row>
    <row r="84" spans="1:15">
      <c r="A84" s="101" t="s">
        <v>26</v>
      </c>
      <c r="B84" s="106">
        <f>VLOOKUP("Restricciones TR",$A$45:$N$62,2,FALSE)</f>
        <v>0.95</v>
      </c>
      <c r="C84" s="106">
        <f>VLOOKUP("Restricciones TR",$A$45:$N$62,3,FALSE)</f>
        <v>0.67</v>
      </c>
      <c r="D84" s="106">
        <f>VLOOKUP("Restricciones TR",$A$45:$N$62,4,FALSE)</f>
        <v>0.53</v>
      </c>
      <c r="E84" s="106">
        <f>VLOOKUP("Restricciones TR",$A$45:$N$62,5,FALSE)</f>
        <v>0.67</v>
      </c>
      <c r="F84" s="106">
        <f>VLOOKUP("Restricciones TR",$A$45:$N$62,6,FALSE)</f>
        <v>0.42</v>
      </c>
      <c r="G84" s="106">
        <f>VLOOKUP("Restricciones TR",$A$45:$N$62,7,FALSE)</f>
        <v>0.3</v>
      </c>
      <c r="H84" s="106">
        <f>VLOOKUP("Restricciones TR",$A$45:$N$62,8,FALSE)</f>
        <v>1.08</v>
      </c>
      <c r="I84" s="106">
        <f>VLOOKUP("Restricciones TR",$A$45:$N$62,9,FALSE)</f>
        <v>1.19</v>
      </c>
      <c r="J84" s="106">
        <f>VLOOKUP("Restricciones TR",$A$45:$N$62,10,FALSE)</f>
        <v>1.43</v>
      </c>
      <c r="K84" s="106">
        <f>VLOOKUP("Restricciones TR",$A$45:$N$62,11,FALSE)</f>
        <v>1.87</v>
      </c>
      <c r="L84" s="106">
        <f>VLOOKUP("Restricciones TR",$A$45:$N$62,12,FALSE)</f>
        <v>2.4500000000000002</v>
      </c>
      <c r="M84" s="106">
        <f>VLOOKUP("Restricciones TR",$A$45:$N$62,13,FALSE)</f>
        <v>2.2799999999999998</v>
      </c>
      <c r="N84" s="106">
        <f>VLOOKUP("Restricciones TR",$A$45:$N$62,14,FALSE)</f>
        <v>1.05</v>
      </c>
    </row>
    <row r="85" spans="1:15">
      <c r="A85" s="101" t="s">
        <v>14</v>
      </c>
      <c r="B85" s="106">
        <f>VLOOKUP("Banda Secundaria",$A$45:$N$62,2,FALSE)</f>
        <v>0.71</v>
      </c>
      <c r="C85" s="106">
        <f>VLOOKUP("Banda Secundaria",$A$45:$N$62,3,FALSE)</f>
        <v>1.1599999999999999</v>
      </c>
      <c r="D85" s="106">
        <f>VLOOKUP("Banda Secundaria",$A$45:$N$62,4,FALSE)</f>
        <v>0.66</v>
      </c>
      <c r="E85" s="106">
        <f>VLOOKUP("Banda Secundaria",$A$45:$N$62,5,FALSE)</f>
        <v>0.57999999999999996</v>
      </c>
      <c r="F85" s="106">
        <f>VLOOKUP("Banda Secundaria",$A$45:$N$62,6,FALSE)</f>
        <v>0.97</v>
      </c>
      <c r="G85" s="106">
        <f>VLOOKUP("Banda Secundaria",$A$45:$N$62,7,FALSE)</f>
        <v>0.73</v>
      </c>
      <c r="H85" s="106">
        <f>VLOOKUP("Banda Secundaria",$A$45:$N$62,8,FALSE)</f>
        <v>0.72</v>
      </c>
      <c r="I85" s="106">
        <f>VLOOKUP("Banda Secundaria",$A$45:$N$62,9,FALSE)</f>
        <v>1.17</v>
      </c>
      <c r="J85" s="106">
        <f>VLOOKUP("Banda Secundaria",$A$45:$N$62,10,FALSE)</f>
        <v>1.23</v>
      </c>
      <c r="K85" s="106">
        <f>VLOOKUP("Banda Secundaria",$A$45:$N$62,11,FALSE)</f>
        <v>1.97</v>
      </c>
      <c r="L85" s="106">
        <f>VLOOKUP("Banda Secundaria",$A$45:$N$62,12,FALSE)</f>
        <v>1.6</v>
      </c>
      <c r="M85" s="106">
        <f>VLOOKUP("Banda Secundaria",$A$45:$N$62,13,FALSE)</f>
        <v>1.5</v>
      </c>
      <c r="N85" s="106">
        <f>VLOOKUP("Banda Secundaria",$A$45:$N$62,14,FALSE)</f>
        <v>1.02</v>
      </c>
    </row>
    <row r="86" spans="1:15">
      <c r="A86" s="101" t="s">
        <v>66</v>
      </c>
      <c r="B86" s="106">
        <f>VLOOKUP("Incumplimiento energía balance",$A$45:$N$62,2,FALSE)</f>
        <v>-0.05</v>
      </c>
      <c r="C86" s="106">
        <f>VLOOKUP("Incumplimiento energía balance",$A$45:$N$62,3,FALSE)</f>
        <v>-0.02</v>
      </c>
      <c r="D86" s="106">
        <f>VLOOKUP("Incumplimiento energía balance",$A$45:$N$62,4,FALSE)</f>
        <v>-0.02</v>
      </c>
      <c r="E86" s="106">
        <f>VLOOKUP("Incumplimiento energía balance",$A$45:$N$62,5,FALSE)</f>
        <v>-0.04</v>
      </c>
      <c r="F86" s="106">
        <f>VLOOKUP("Incumplimiento energía balance",$A$45:$N$62,6,FALSE)</f>
        <v>-0.04</v>
      </c>
      <c r="G86" s="106">
        <f>VLOOKUP("Incumplimiento energía balance",$A$45:$N$62,7,FALSE)</f>
        <v>-0.04</v>
      </c>
      <c r="H86" s="106">
        <f>VLOOKUP("Incumplimiento energía balance",$A$45:$N$62,8,FALSE)</f>
        <v>-0.04</v>
      </c>
      <c r="I86" s="106">
        <f>VLOOKUP("Incumplimiento energía balance",$A$45:$N$62,9,FALSE)</f>
        <v>-0.04</v>
      </c>
      <c r="J86" s="106">
        <f>VLOOKUP("Incumplimiento energía balance",$A$45:$N$62,10,FALSE)</f>
        <v>-0.09</v>
      </c>
      <c r="K86" s="106">
        <f>VLOOKUP("Incumplimiento energía balance",$A$45:$N$62,11,FALSE)</f>
        <v>-0.13</v>
      </c>
      <c r="L86" s="106">
        <f>VLOOKUP("Incumplimiento energía balance",$A$45:$N$62,12,FALSE)</f>
        <v>-0.13</v>
      </c>
      <c r="M86" s="106">
        <f>VLOOKUP("Incumplimiento energía balance",$A$45:$N$62,13,FALSE)</f>
        <v>-0.27</v>
      </c>
      <c r="N86" s="106">
        <f>VLOOKUP("Incumplimiento energía balance",$A$45:$N$62,14,FALSE)</f>
        <v>-0.18</v>
      </c>
    </row>
    <row r="87" spans="1:15">
      <c r="A87" s="101" t="s">
        <v>67</v>
      </c>
      <c r="B87" s="106">
        <f>VLOOKUP("Coste desvíos",$A$45:$N$62,2,FALSE)</f>
        <v>0.49</v>
      </c>
      <c r="C87" s="106">
        <f>VLOOKUP("Coste desvíos",$A$45:$N$62,3,FALSE)</f>
        <v>0.24</v>
      </c>
      <c r="D87" s="106">
        <f>VLOOKUP("Coste desvíos",$A$45:$N$62,4,FALSE)</f>
        <v>0.25</v>
      </c>
      <c r="E87" s="106">
        <f>VLOOKUP("Coste desvíos",$A$45:$N$62,5,FALSE)</f>
        <v>0.25</v>
      </c>
      <c r="F87" s="106">
        <f>VLOOKUP("Coste desvíos",$A$45:$N$62,6,FALSE)</f>
        <v>0.28999999999999998</v>
      </c>
      <c r="G87" s="106">
        <f>VLOOKUP("Coste desvíos",$A$45:$N$62,7,FALSE)</f>
        <v>0.25</v>
      </c>
      <c r="H87" s="106">
        <f>VLOOKUP("Coste desvíos",$A$45:$N$62,8,FALSE)</f>
        <v>0.15</v>
      </c>
      <c r="I87" s="106">
        <f>VLOOKUP("Coste desvíos",$A$45:$N$62,9,FALSE)</f>
        <v>0.32</v>
      </c>
      <c r="J87" s="106">
        <f>VLOOKUP("Coste desvíos",$A$45:$N$62,10,FALSE)</f>
        <v>0.56999999999999995</v>
      </c>
      <c r="K87" s="106">
        <f>VLOOKUP("Coste desvíos",$A$45:$N$62,11,FALSE)</f>
        <v>0.5</v>
      </c>
      <c r="L87" s="106">
        <f>VLOOKUP("Coste desvíos",$A$45:$N$62,12,FALSE)</f>
        <v>0.42</v>
      </c>
      <c r="M87" s="106">
        <f>VLOOKUP("Coste desvíos",$A$45:$N$62,13,FALSE)</f>
        <v>0.86</v>
      </c>
      <c r="N87" s="106">
        <f>VLOOKUP("Coste desvíos",$A$45:$N$62,14,FALSE)</f>
        <v>0.64</v>
      </c>
    </row>
    <row r="88" spans="1:15">
      <c r="A88" s="101" t="s">
        <v>68</v>
      </c>
      <c r="B88" s="106">
        <f>VLOOKUP("Saldo desvíos",$A$45:$N$62,2,FALSE)</f>
        <v>-0.2</v>
      </c>
      <c r="C88" s="106">
        <f>VLOOKUP("Saldo desvíos",$A$45:$N$62,3,FALSE)</f>
        <v>-0.13</v>
      </c>
      <c r="D88" s="106">
        <f>VLOOKUP("Saldo desvíos",$A$45:$N$62,4,FALSE)</f>
        <v>-0.1</v>
      </c>
      <c r="E88" s="106">
        <f>VLOOKUP("Saldo desvíos",$A$45:$N$62,5,FALSE)</f>
        <v>-0.13</v>
      </c>
      <c r="F88" s="106">
        <f>VLOOKUP("Saldo desvíos",$A$45:$N$62,6,FALSE)</f>
        <v>-0.17</v>
      </c>
      <c r="G88" s="106">
        <f>VLOOKUP("Saldo desvíos",$A$45:$N$62,7,FALSE)</f>
        <v>-0.12</v>
      </c>
      <c r="H88" s="106">
        <f>VLOOKUP("Saldo desvíos",$A$45:$N$62,8,FALSE)</f>
        <v>0.01</v>
      </c>
      <c r="I88" s="106">
        <f>VLOOKUP("Saldo desvíos",$A$45:$N$62,9,FALSE)</f>
        <v>-0.05</v>
      </c>
      <c r="J88" s="106">
        <f>VLOOKUP("Saldo desvíos",$A$45:$N$62,10,FALSE)</f>
        <v>-0.25</v>
      </c>
      <c r="K88" s="106">
        <f>VLOOKUP("Saldo desvíos",$A$45:$N$62,11,FALSE)</f>
        <v>0.16</v>
      </c>
      <c r="L88" s="106">
        <f>VLOOKUP("Saldo desvíos",$A$45:$N$62,12,FALSE)</f>
        <v>0.19</v>
      </c>
      <c r="M88" s="106">
        <f>VLOOKUP("Saldo desvíos",$A$45:$N$62,13,FALSE)</f>
        <v>-0.19</v>
      </c>
      <c r="N88" s="106">
        <f>VLOOKUP("Saldo desvíos",$A$45:$N$62,14,FALSE)</f>
        <v>0.04</v>
      </c>
    </row>
    <row r="89" spans="1:15">
      <c r="A89" s="101" t="s">
        <v>23</v>
      </c>
      <c r="B89" s="106">
        <f>VLOOKUP("Control del factor de potencia",$A$45:$N$62,2,FALSE)</f>
        <v>0</v>
      </c>
      <c r="C89" s="106">
        <f>VLOOKUP("Control del factor de potencia",$A$45:$N$62,3,FALSE)</f>
        <v>-7.0000000000000007E-2</v>
      </c>
      <c r="D89" s="106">
        <f>VLOOKUP("Control del factor de potencia",$A$45:$N$62,4,FALSE)</f>
        <v>-0.06</v>
      </c>
      <c r="E89" s="106">
        <f>VLOOKUP("Control del factor de potencia",$A$45:$N$62,5,FALSE)</f>
        <v>-0.06</v>
      </c>
      <c r="F89" s="106">
        <f>VLOOKUP("Control del factor de potencia",$A$45:$N$62,6,FALSE)</f>
        <v>-7.0000000000000007E-2</v>
      </c>
      <c r="G89" s="106">
        <f>VLOOKUP("Control del factor de potencia",$A$45:$N$62,7,FALSE)</f>
        <v>-7.0000000000000007E-2</v>
      </c>
      <c r="H89" s="106">
        <f>VLOOKUP("Control del factor de potencia",$A$45:$N$62,8,FALSE)</f>
        <v>-7.0000000000000007E-2</v>
      </c>
      <c r="I89" s="106">
        <f>VLOOKUP("Control del factor de potencia",$A$45:$N$62,9,FALSE)</f>
        <v>-0.06</v>
      </c>
      <c r="J89" s="106">
        <f>VLOOKUP("Control del factor de potencia",$A$45:$N$62,10,FALSE)</f>
        <v>-0.06</v>
      </c>
      <c r="K89" s="106">
        <f>VLOOKUP("Control del factor de potencia",$A$45:$N$62,11,FALSE)</f>
        <v>-7.0000000000000007E-2</v>
      </c>
      <c r="L89" s="106">
        <f>VLOOKUP("Control del factor de potencia",$A$45:$N$62,12,FALSE)</f>
        <v>-0.08</v>
      </c>
      <c r="M89" s="106">
        <f>VLOOKUP("Control del factor de potencia",$A$45:$N$62,13,FALSE)</f>
        <v>-0.08</v>
      </c>
      <c r="N89" s="106">
        <f>VLOOKUP("Control del factor de potencia",$A$45:$N$62,14,FALSE)</f>
        <v>-0.08</v>
      </c>
    </row>
    <row r="90" spans="1:15">
      <c r="A90" s="102" t="s">
        <v>70</v>
      </c>
      <c r="B90" s="107">
        <f>VLOOKUP("Saldo PO 14.6",$A$45:$N$62,2,FALSE)</f>
        <v>0.02</v>
      </c>
      <c r="C90" s="107">
        <f>VLOOKUP("Saldo PO 14.6",$A$45:$N$62,3,FALSE)</f>
        <v>0.01</v>
      </c>
      <c r="D90" s="107">
        <f>VLOOKUP("Saldo PO 14.6",$A$45:$N$62,4,FALSE)</f>
        <v>0.01</v>
      </c>
      <c r="E90" s="107">
        <f>VLOOKUP("Saldo PO 14.6",$A$45:$N$62,5,FALSE)</f>
        <v>0.05</v>
      </c>
      <c r="F90" s="107">
        <f>VLOOKUP("Saldo PO 14.6",$A$45:$N$62,6,FALSE)</f>
        <v>0.02</v>
      </c>
      <c r="G90" s="107">
        <f>VLOOKUP("Saldo PO 14.6",$A$45:$N$62,7,FALSE)</f>
        <v>-0.01</v>
      </c>
      <c r="H90" s="107">
        <f>VLOOKUP("Saldo PO 14.6",$A$45:$N$62,8,FALSE)</f>
        <v>0.03</v>
      </c>
      <c r="I90" s="107">
        <f>VLOOKUP("Saldo PO 14.6",$A$45:$N$62,9,FALSE)</f>
        <v>0.01</v>
      </c>
      <c r="J90" s="107">
        <f>VLOOKUP("Saldo PO 14.6",$A$45:$N$62,10,FALSE)</f>
        <v>0.06</v>
      </c>
      <c r="K90" s="107">
        <f>VLOOKUP("Saldo PO 14.6",$A$45:$N$62,11,FALSE)</f>
        <v>-0.01</v>
      </c>
      <c r="L90" s="107">
        <f>VLOOKUP("Saldo PO 14.6",$A$45:$N$62,12,FALSE)</f>
        <v>0.04</v>
      </c>
      <c r="M90" s="107">
        <f>VLOOKUP("Saldo PO 14.6",$A$45:$N$62,13,FALSE)</f>
        <v>0.05</v>
      </c>
      <c r="N90" s="107">
        <f>VLOOKUP("Saldo PO 14.6",$A$45:$N$62,14,FALSE)</f>
        <v>0.04</v>
      </c>
      <c r="O90" s="238">
        <f>(SUM(N83:N90)/SUM(B83:B90)-1)*100</f>
        <v>1.6129032258064502</v>
      </c>
    </row>
    <row r="92" spans="1:15">
      <c r="A92" s="125" t="s">
        <v>48</v>
      </c>
      <c r="B92" s="99"/>
      <c r="C92" s="99"/>
      <c r="D92" s="99"/>
      <c r="E92" s="99"/>
      <c r="F92" s="99"/>
      <c r="G92" s="99"/>
      <c r="H92" s="99"/>
      <c r="I92" s="99"/>
      <c r="J92" s="99"/>
      <c r="K92" s="99"/>
      <c r="L92" s="99"/>
    </row>
    <row r="93" spans="1:15">
      <c r="A93" s="126"/>
      <c r="B93" s="126" t="s">
        <v>1</v>
      </c>
      <c r="C93" s="126" t="s">
        <v>2</v>
      </c>
      <c r="D93" s="126" t="s">
        <v>49</v>
      </c>
      <c r="E93" s="126" t="s">
        <v>36</v>
      </c>
      <c r="F93" s="126" t="s">
        <v>37</v>
      </c>
      <c r="G93" s="126" t="s">
        <v>17</v>
      </c>
      <c r="H93" s="126" t="s">
        <v>35</v>
      </c>
      <c r="I93" s="126" t="s">
        <v>22</v>
      </c>
      <c r="J93" s="126" t="s">
        <v>40</v>
      </c>
      <c r="K93" s="126" t="s">
        <v>0</v>
      </c>
      <c r="L93" s="126" t="s">
        <v>145</v>
      </c>
    </row>
    <row r="94" spans="1:15">
      <c r="A94" s="97" t="s">
        <v>38</v>
      </c>
      <c r="B94" s="123">
        <f>VLOOKUP("Mercado Diario",$A$45:$N$62,14,FALSE)</f>
        <v>205.79</v>
      </c>
      <c r="C94" s="123">
        <f>VLOOKUP("Mercado Intradiario",$A$45:$N$62,14,FALSE)</f>
        <v>-0.04</v>
      </c>
      <c r="D94" s="123">
        <f>SUM(B94:C94)</f>
        <v>205.75</v>
      </c>
      <c r="E94" s="123">
        <f>VLOOKUP("Pago capacidad",$A$45:$N$62,14,FALSE)</f>
        <v>0.43</v>
      </c>
      <c r="F94" s="123">
        <f>VLOOKUP("Servicio interrumpibilidad",$A$45:$N$62,14,FALSE)</f>
        <v>0</v>
      </c>
      <c r="G94" s="123">
        <f>E79</f>
        <v>3.78</v>
      </c>
      <c r="H94" s="123">
        <f>VLOOKUP("Restricciones PBF",$A$45:$N$62,14,FALSE)</f>
        <v>1.25</v>
      </c>
      <c r="I94" s="123">
        <f>VLOOKUP("Banda secundaria",$A$45:$N$62,14,FALSE)</f>
        <v>1.02</v>
      </c>
      <c r="J94" s="123">
        <f>N84+N86+N87+N88+N89+N90</f>
        <v>1.5100000000000002</v>
      </c>
      <c r="K94" s="123">
        <f>N62</f>
        <v>209.96</v>
      </c>
      <c r="L94" s="133">
        <f>K94-SUM(D94:G94)</f>
        <v>0</v>
      </c>
    </row>
    <row r="95" spans="1:15">
      <c r="D95" s="259">
        <f>D94/K94*100</f>
        <v>97.99485616307868</v>
      </c>
    </row>
    <row r="97" spans="1:5">
      <c r="A97" s="212" t="s">
        <v>30</v>
      </c>
      <c r="B97" s="318" t="s">
        <v>73</v>
      </c>
      <c r="C97" s="313"/>
    </row>
    <row r="98" spans="1:5">
      <c r="A98" s="231" t="s">
        <v>108</v>
      </c>
      <c r="B98" s="286" t="s">
        <v>287</v>
      </c>
      <c r="C98" s="286" t="s">
        <v>330</v>
      </c>
      <c r="D98" s="311" t="s">
        <v>265</v>
      </c>
      <c r="E98" s="311"/>
    </row>
    <row r="99" spans="1:5">
      <c r="A99" s="212" t="s">
        <v>146</v>
      </c>
      <c r="B99" s="287"/>
      <c r="C99" s="287"/>
      <c r="D99" s="311"/>
      <c r="E99" s="311"/>
    </row>
    <row r="100" spans="1:5">
      <c r="A100" s="232" t="s">
        <v>254</v>
      </c>
      <c r="B100" s="213">
        <v>-2338.69</v>
      </c>
      <c r="C100" s="214" t="s">
        <v>87</v>
      </c>
      <c r="D100" s="311"/>
      <c r="E100" s="311"/>
    </row>
    <row r="101" spans="1:5">
      <c r="A101" s="232" t="s">
        <v>260</v>
      </c>
      <c r="B101" s="213">
        <v>18549883.98</v>
      </c>
      <c r="C101" s="213">
        <v>46725896.93</v>
      </c>
      <c r="D101" s="311"/>
      <c r="E101" s="311"/>
    </row>
    <row r="102" spans="1:5">
      <c r="A102" s="232" t="s">
        <v>3</v>
      </c>
      <c r="B102" s="213">
        <v>8763452.6999999993</v>
      </c>
      <c r="C102" s="213">
        <v>34759621.210000001</v>
      </c>
      <c r="D102" s="311"/>
      <c r="E102" s="311"/>
    </row>
    <row r="103" spans="1:5">
      <c r="A103" s="232" t="s">
        <v>331</v>
      </c>
      <c r="B103" s="213">
        <v>-1085876.72</v>
      </c>
      <c r="C103" s="213">
        <v>-3768589.36</v>
      </c>
      <c r="D103" s="311"/>
      <c r="E103" s="311"/>
    </row>
    <row r="104" spans="1:5">
      <c r="A104" s="232" t="s">
        <v>79</v>
      </c>
      <c r="B104" s="213">
        <v>-102380.71</v>
      </c>
      <c r="C104" s="213">
        <v>-3008291.94</v>
      </c>
      <c r="D104" s="311"/>
      <c r="E104" s="311"/>
    </row>
    <row r="105" spans="1:5">
      <c r="A105" s="232" t="s">
        <v>16</v>
      </c>
      <c r="B105" s="213">
        <v>-37315549.759999998</v>
      </c>
      <c r="C105" s="213">
        <v>-79337837.730000004</v>
      </c>
      <c r="D105" s="311"/>
      <c r="E105" s="311"/>
    </row>
    <row r="106" spans="1:5">
      <c r="A106" s="232" t="s">
        <v>88</v>
      </c>
      <c r="B106" s="213">
        <v>-5389285.8600000003</v>
      </c>
      <c r="C106" s="213">
        <v>6585668.4900000002</v>
      </c>
      <c r="D106" s="311"/>
      <c r="E106" s="311"/>
    </row>
    <row r="107" spans="1:5">
      <c r="A107" s="232" t="s">
        <v>89</v>
      </c>
      <c r="B107" s="213">
        <v>-348281.93</v>
      </c>
      <c r="C107" s="213">
        <v>-857635.83</v>
      </c>
      <c r="D107" s="311"/>
      <c r="E107" s="311"/>
    </row>
    <row r="108" spans="1:5">
      <c r="A108" s="232" t="s">
        <v>23</v>
      </c>
      <c r="B108" s="214" t="s">
        <v>87</v>
      </c>
      <c r="C108" s="213">
        <v>-1721070.72</v>
      </c>
      <c r="D108" s="311"/>
      <c r="E108" s="311"/>
    </row>
    <row r="109" spans="1:5">
      <c r="A109" s="232" t="s">
        <v>23</v>
      </c>
      <c r="B109" s="214" t="s">
        <v>87</v>
      </c>
      <c r="C109" s="214" t="s">
        <v>87</v>
      </c>
      <c r="D109" s="311"/>
      <c r="E109" s="311"/>
    </row>
    <row r="110" spans="1:5" ht="12.6" hidden="1" customHeight="1">
      <c r="D110" s="311"/>
      <c r="E110" s="311"/>
    </row>
    <row r="111" spans="1:5" ht="12.6" hidden="1" customHeight="1">
      <c r="D111" s="311"/>
      <c r="E111" s="311"/>
    </row>
    <row r="112" spans="1:5" ht="12.6" hidden="1" customHeight="1">
      <c r="D112" s="311"/>
      <c r="E112" s="311"/>
    </row>
    <row r="113" spans="1:5" ht="12.6" hidden="1" customHeight="1">
      <c r="D113" s="311"/>
      <c r="E113" s="311"/>
    </row>
    <row r="114" spans="1:5" ht="12.6" hidden="1" customHeight="1">
      <c r="D114" s="311"/>
      <c r="E114" s="311"/>
    </row>
    <row r="115" spans="1:5" ht="12.6" hidden="1" customHeight="1">
      <c r="D115" s="311"/>
      <c r="E115" s="311"/>
    </row>
    <row r="116" spans="1:5" ht="12.6" hidden="1" customHeight="1">
      <c r="D116" s="311"/>
      <c r="E116" s="311"/>
    </row>
    <row r="117" spans="1:5" ht="12.6" hidden="1" customHeight="1">
      <c r="D117" s="311"/>
      <c r="E117" s="311"/>
    </row>
    <row r="119" spans="1:5">
      <c r="A119" s="212" t="s">
        <v>30</v>
      </c>
      <c r="B119" s="312"/>
      <c r="C119" s="313"/>
    </row>
    <row r="120" spans="1:5">
      <c r="A120" s="231" t="s">
        <v>108</v>
      </c>
      <c r="B120" s="282" t="s">
        <v>287</v>
      </c>
      <c r="C120" s="282" t="s">
        <v>330</v>
      </c>
    </row>
    <row r="121" spans="1:5">
      <c r="A121" s="212" t="s">
        <v>270</v>
      </c>
      <c r="B121" s="283"/>
      <c r="C121" s="283"/>
    </row>
    <row r="122" spans="1:5">
      <c r="A122" s="232" t="s">
        <v>90</v>
      </c>
      <c r="B122" s="235">
        <v>733.44770000000005</v>
      </c>
      <c r="C122" s="235">
        <v>297.10239999999999</v>
      </c>
      <c r="D122" t="str">
        <f>A122</f>
        <v>Restricciones Técnicas al PBF</v>
      </c>
    </row>
    <row r="123" spans="1:5">
      <c r="A123" s="232" t="s">
        <v>91</v>
      </c>
      <c r="B123" s="235">
        <v>240.89400000000001</v>
      </c>
      <c r="C123" s="235">
        <v>87.589500000000001</v>
      </c>
      <c r="D123" t="s">
        <v>259</v>
      </c>
    </row>
    <row r="124" spans="1:5">
      <c r="A124" s="232" t="s">
        <v>79</v>
      </c>
      <c r="B124" s="235">
        <v>267.89747</v>
      </c>
      <c r="C124" s="235">
        <v>246.27144999999999</v>
      </c>
      <c r="D124" t="str">
        <f>A124</f>
        <v>Regulación secundaria</v>
      </c>
    </row>
    <row r="125" spans="1:5">
      <c r="A125" s="232" t="s">
        <v>3</v>
      </c>
      <c r="B125" s="235">
        <v>311.77730000000003</v>
      </c>
      <c r="C125" s="235">
        <v>281.90719999999999</v>
      </c>
      <c r="D125" t="str">
        <f>A125</f>
        <v>Regulación terciaria</v>
      </c>
    </row>
    <row r="126" spans="1:5">
      <c r="A126" s="232" t="s">
        <v>260</v>
      </c>
      <c r="B126" s="235">
        <v>320.85599999999999</v>
      </c>
      <c r="C126" s="235">
        <v>283.971</v>
      </c>
      <c r="D126" t="s">
        <v>299</v>
      </c>
    </row>
    <row r="127" spans="1:5">
      <c r="A127" s="232" t="s">
        <v>347</v>
      </c>
      <c r="B127" s="235">
        <v>52.325125</v>
      </c>
      <c r="C127" s="235">
        <v>77.924988999999997</v>
      </c>
      <c r="D127" t="s">
        <v>351</v>
      </c>
    </row>
    <row r="130" spans="1:15">
      <c r="A130" s="98" t="s">
        <v>60</v>
      </c>
      <c r="C130" s="134" t="str">
        <f>MID(C132,6,1)</f>
        <v>E</v>
      </c>
      <c r="D130" s="134" t="str">
        <f t="shared" ref="D130:O130" si="4">MID(D132,6,1)</f>
        <v>F</v>
      </c>
      <c r="E130" s="134" t="str">
        <f t="shared" si="4"/>
        <v>M</v>
      </c>
      <c r="F130" s="134" t="str">
        <f t="shared" si="4"/>
        <v>A</v>
      </c>
      <c r="G130" s="134" t="str">
        <f t="shared" si="4"/>
        <v>M</v>
      </c>
      <c r="H130" s="134" t="str">
        <f t="shared" si="4"/>
        <v>J</v>
      </c>
      <c r="I130" s="134" t="str">
        <f t="shared" si="4"/>
        <v>J</v>
      </c>
      <c r="J130" s="134" t="str">
        <f t="shared" si="4"/>
        <v>A</v>
      </c>
      <c r="K130" s="134" t="str">
        <f t="shared" si="4"/>
        <v>S</v>
      </c>
      <c r="L130" s="134" t="str">
        <f t="shared" si="4"/>
        <v>O</v>
      </c>
      <c r="M130" s="134" t="str">
        <f t="shared" si="4"/>
        <v>N</v>
      </c>
      <c r="N130" s="134" t="str">
        <f t="shared" si="4"/>
        <v>D</v>
      </c>
      <c r="O130" s="134" t="str">
        <f t="shared" si="4"/>
        <v>E</v>
      </c>
    </row>
    <row r="131" spans="1:15">
      <c r="A131" s="212"/>
      <c r="B131" s="212" t="s">
        <v>30</v>
      </c>
      <c r="C131" s="314" t="s">
        <v>149</v>
      </c>
      <c r="D131" s="315"/>
      <c r="E131" s="315"/>
      <c r="F131" s="315"/>
      <c r="G131" s="315"/>
      <c r="H131" s="315"/>
      <c r="I131" s="315"/>
      <c r="J131" s="315"/>
      <c r="K131" s="315"/>
      <c r="L131" s="315"/>
      <c r="M131" s="315"/>
      <c r="N131" s="315"/>
      <c r="O131" s="315"/>
    </row>
    <row r="132" spans="1:15">
      <c r="A132" s="212"/>
      <c r="B132" s="231" t="s">
        <v>108</v>
      </c>
      <c r="C132" s="286" t="s">
        <v>287</v>
      </c>
      <c r="D132" s="286" t="s">
        <v>292</v>
      </c>
      <c r="E132" s="286" t="s">
        <v>297</v>
      </c>
      <c r="F132" s="286" t="s">
        <v>302</v>
      </c>
      <c r="G132" s="286" t="s">
        <v>304</v>
      </c>
      <c r="H132" s="286" t="s">
        <v>306</v>
      </c>
      <c r="I132" s="286" t="s">
        <v>313</v>
      </c>
      <c r="J132" s="286" t="s">
        <v>315</v>
      </c>
      <c r="K132" s="286" t="s">
        <v>317</v>
      </c>
      <c r="L132" s="286" t="s">
        <v>319</v>
      </c>
      <c r="M132" s="286" t="s">
        <v>325</v>
      </c>
      <c r="N132" s="286" t="s">
        <v>328</v>
      </c>
      <c r="O132" s="286" t="s">
        <v>330</v>
      </c>
    </row>
    <row r="133" spans="1:15">
      <c r="A133" s="212" t="s">
        <v>147</v>
      </c>
      <c r="B133" s="212" t="s">
        <v>148</v>
      </c>
      <c r="C133" s="287"/>
      <c r="D133" s="287"/>
      <c r="E133" s="287"/>
      <c r="F133" s="287"/>
      <c r="G133" s="287"/>
      <c r="H133" s="287"/>
      <c r="I133" s="287"/>
      <c r="J133" s="287"/>
      <c r="K133" s="287"/>
      <c r="L133" s="287"/>
      <c r="M133" s="287"/>
      <c r="N133" s="287"/>
      <c r="O133" s="287"/>
    </row>
    <row r="134" spans="1:15">
      <c r="A134" s="320" t="s">
        <v>92</v>
      </c>
      <c r="B134" s="232" t="s">
        <v>20</v>
      </c>
      <c r="C134" s="135">
        <v>0</v>
      </c>
      <c r="D134" s="135">
        <v>0</v>
      </c>
      <c r="E134" s="135">
        <v>0</v>
      </c>
      <c r="F134" s="135">
        <v>1232</v>
      </c>
      <c r="G134" s="135">
        <v>3977.2</v>
      </c>
      <c r="H134" s="135">
        <v>4778.5</v>
      </c>
      <c r="I134" s="135">
        <v>1914.7</v>
      </c>
      <c r="J134" s="135">
        <v>0</v>
      </c>
      <c r="K134" s="135">
        <v>0</v>
      </c>
      <c r="L134" s="135">
        <v>597.79999999999995</v>
      </c>
      <c r="M134" s="135">
        <v>100</v>
      </c>
      <c r="N134" s="135">
        <v>335</v>
      </c>
      <c r="O134" s="135">
        <v>0</v>
      </c>
    </row>
    <row r="135" spans="1:15">
      <c r="A135" s="317"/>
      <c r="B135" s="232" t="s">
        <v>94</v>
      </c>
      <c r="C135" s="135">
        <v>82898</v>
      </c>
      <c r="D135" s="135">
        <v>103840</v>
      </c>
      <c r="E135" s="135">
        <v>182851</v>
      </c>
      <c r="F135" s="135">
        <v>225243</v>
      </c>
      <c r="G135" s="135">
        <v>257359</v>
      </c>
      <c r="H135" s="135">
        <v>383637</v>
      </c>
      <c r="I135" s="135">
        <v>210445</v>
      </c>
      <c r="J135" s="135">
        <v>99208.5</v>
      </c>
      <c r="K135" s="135">
        <v>634</v>
      </c>
      <c r="L135" s="135">
        <v>12750</v>
      </c>
      <c r="M135" s="135">
        <v>11251</v>
      </c>
      <c r="N135" s="135">
        <v>6493</v>
      </c>
      <c r="O135" s="135">
        <v>4320</v>
      </c>
    </row>
    <row r="136" spans="1:15">
      <c r="A136" s="317"/>
      <c r="B136" s="232" t="s">
        <v>24</v>
      </c>
      <c r="C136" s="135">
        <v>644611.69999999995</v>
      </c>
      <c r="D136" s="135">
        <v>510673.9</v>
      </c>
      <c r="E136" s="135">
        <v>627886.9</v>
      </c>
      <c r="F136" s="135">
        <v>562620.69999999995</v>
      </c>
      <c r="G136" s="135">
        <v>635666.9</v>
      </c>
      <c r="H136" s="135">
        <v>499983.7</v>
      </c>
      <c r="I136" s="135">
        <v>480749.8</v>
      </c>
      <c r="J136" s="135">
        <v>665537.80000000005</v>
      </c>
      <c r="K136" s="135">
        <v>375205.9</v>
      </c>
      <c r="L136" s="135">
        <v>508119.2</v>
      </c>
      <c r="M136" s="135">
        <v>348916.7</v>
      </c>
      <c r="N136" s="135">
        <v>332239.3</v>
      </c>
      <c r="O136" s="135">
        <v>285393.5</v>
      </c>
    </row>
    <row r="137" spans="1:15">
      <c r="A137" s="317"/>
      <c r="B137" s="232" t="s">
        <v>101</v>
      </c>
      <c r="C137" s="135">
        <v>0</v>
      </c>
      <c r="D137" s="135">
        <v>28</v>
      </c>
      <c r="E137" s="135">
        <v>0</v>
      </c>
      <c r="F137" s="135">
        <v>0</v>
      </c>
      <c r="G137" s="135">
        <v>0</v>
      </c>
      <c r="H137" s="135">
        <v>0</v>
      </c>
      <c r="I137" s="135">
        <v>0</v>
      </c>
      <c r="J137" s="135">
        <v>0</v>
      </c>
      <c r="K137" s="135">
        <v>0</v>
      </c>
      <c r="L137" s="135">
        <v>0</v>
      </c>
      <c r="M137" s="135">
        <v>0</v>
      </c>
      <c r="N137" s="135">
        <v>0</v>
      </c>
      <c r="O137" s="135">
        <v>0</v>
      </c>
    </row>
    <row r="138" spans="1:15">
      <c r="A138" s="317"/>
      <c r="B138" s="232" t="s">
        <v>95</v>
      </c>
      <c r="C138" s="135">
        <v>0</v>
      </c>
      <c r="D138" s="135">
        <v>0</v>
      </c>
      <c r="E138" s="135">
        <v>0</v>
      </c>
      <c r="F138" s="135">
        <v>0</v>
      </c>
      <c r="G138" s="135">
        <v>0</v>
      </c>
      <c r="H138" s="135">
        <v>0</v>
      </c>
      <c r="I138" s="135">
        <v>0</v>
      </c>
      <c r="J138" s="135">
        <v>5384.9</v>
      </c>
      <c r="K138" s="135">
        <v>0</v>
      </c>
      <c r="L138" s="135">
        <v>1625.9</v>
      </c>
      <c r="M138" s="135">
        <v>0</v>
      </c>
      <c r="N138" s="135">
        <v>0</v>
      </c>
      <c r="O138" s="135">
        <v>0</v>
      </c>
    </row>
    <row r="139" spans="1:15">
      <c r="A139" s="319"/>
      <c r="B139" s="234" t="s">
        <v>0</v>
      </c>
      <c r="C139" s="136">
        <v>727509.7</v>
      </c>
      <c r="D139" s="136">
        <v>614541.9</v>
      </c>
      <c r="E139" s="136">
        <v>810737.9</v>
      </c>
      <c r="F139" s="136">
        <v>789095.7</v>
      </c>
      <c r="G139" s="136">
        <v>897003.1</v>
      </c>
      <c r="H139" s="136">
        <v>888399.2</v>
      </c>
      <c r="I139" s="136">
        <v>693109.5</v>
      </c>
      <c r="J139" s="136">
        <v>770131.2</v>
      </c>
      <c r="K139" s="136">
        <v>375839.9</v>
      </c>
      <c r="L139" s="136">
        <v>523092.9</v>
      </c>
      <c r="M139" s="136">
        <v>360267.7</v>
      </c>
      <c r="N139" s="136">
        <v>339067.3</v>
      </c>
      <c r="O139" s="136">
        <v>289713.5</v>
      </c>
    </row>
    <row r="140" spans="1:15">
      <c r="A140" s="316" t="s">
        <v>96</v>
      </c>
      <c r="B140" s="232" t="s">
        <v>20</v>
      </c>
      <c r="C140" s="135">
        <v>0</v>
      </c>
      <c r="D140" s="135">
        <v>816.9</v>
      </c>
      <c r="E140" s="135">
        <v>1031.9000000000001</v>
      </c>
      <c r="F140" s="135">
        <v>7</v>
      </c>
      <c r="G140" s="135">
        <v>2268.1</v>
      </c>
      <c r="H140" s="135">
        <v>373</v>
      </c>
      <c r="I140" s="135">
        <v>3888</v>
      </c>
      <c r="J140" s="135">
        <v>2555.1</v>
      </c>
      <c r="K140" s="135">
        <v>7017.6</v>
      </c>
      <c r="L140" s="135">
        <v>10</v>
      </c>
      <c r="M140" s="135">
        <v>209.5</v>
      </c>
      <c r="N140" s="135">
        <v>1762.1</v>
      </c>
      <c r="O140" s="135">
        <v>0</v>
      </c>
    </row>
    <row r="141" spans="1:15">
      <c r="A141" s="317"/>
      <c r="B141" s="232" t="s">
        <v>97</v>
      </c>
      <c r="C141" s="135">
        <v>13.3</v>
      </c>
      <c r="D141" s="135">
        <v>0</v>
      </c>
      <c r="E141" s="135">
        <v>0</v>
      </c>
      <c r="F141" s="135">
        <v>143.6</v>
      </c>
      <c r="G141" s="135">
        <v>0</v>
      </c>
      <c r="H141" s="135">
        <v>0</v>
      </c>
      <c r="I141" s="135">
        <v>1300</v>
      </c>
      <c r="J141" s="135">
        <v>330</v>
      </c>
      <c r="K141" s="135">
        <v>630</v>
      </c>
      <c r="L141" s="135">
        <v>3200</v>
      </c>
      <c r="M141" s="135">
        <v>0</v>
      </c>
      <c r="N141" s="135">
        <v>0</v>
      </c>
      <c r="O141" s="135">
        <v>0</v>
      </c>
    </row>
    <row r="142" spans="1:15">
      <c r="A142" s="317"/>
      <c r="B142" s="232" t="s">
        <v>24</v>
      </c>
      <c r="C142" s="135">
        <v>0</v>
      </c>
      <c r="D142" s="135">
        <v>0</v>
      </c>
      <c r="E142" s="135">
        <v>0</v>
      </c>
      <c r="F142" s="135">
        <v>7210.3</v>
      </c>
      <c r="G142" s="135">
        <v>5171.1000000000004</v>
      </c>
      <c r="H142" s="135">
        <v>35080.5</v>
      </c>
      <c r="I142" s="135">
        <v>45653</v>
      </c>
      <c r="J142" s="135">
        <v>1436.8</v>
      </c>
      <c r="K142" s="135">
        <v>9373.2999999999993</v>
      </c>
      <c r="L142" s="135">
        <v>4799.8</v>
      </c>
      <c r="M142" s="135">
        <v>33709.9</v>
      </c>
      <c r="N142" s="135">
        <v>3930.7</v>
      </c>
      <c r="O142" s="135">
        <v>7388.9</v>
      </c>
    </row>
    <row r="143" spans="1:15">
      <c r="A143" s="317"/>
      <c r="B143" s="232" t="s">
        <v>98</v>
      </c>
      <c r="C143" s="135">
        <v>5915.7</v>
      </c>
      <c r="D143" s="135">
        <v>896.1</v>
      </c>
      <c r="E143" s="135">
        <v>948.1</v>
      </c>
      <c r="F143" s="135">
        <v>2761</v>
      </c>
      <c r="G143" s="135">
        <v>10463.200000000001</v>
      </c>
      <c r="H143" s="135">
        <v>13742.9</v>
      </c>
      <c r="I143" s="135">
        <v>6042.2</v>
      </c>
      <c r="J143" s="135">
        <v>9933.5</v>
      </c>
      <c r="K143" s="135">
        <v>17462.5</v>
      </c>
      <c r="L143" s="135">
        <v>1194.5</v>
      </c>
      <c r="M143" s="135">
        <v>110.5</v>
      </c>
      <c r="N143" s="135">
        <v>149.1</v>
      </c>
      <c r="O143" s="135">
        <v>0</v>
      </c>
    </row>
    <row r="144" spans="1:15">
      <c r="A144" s="317"/>
      <c r="B144" s="232" t="s">
        <v>99</v>
      </c>
      <c r="C144" s="135">
        <v>0</v>
      </c>
      <c r="D144" s="135">
        <v>0</v>
      </c>
      <c r="E144" s="135">
        <v>118.2</v>
      </c>
      <c r="F144" s="135">
        <v>0</v>
      </c>
      <c r="G144" s="135">
        <v>62.8</v>
      </c>
      <c r="H144" s="135">
        <v>0</v>
      </c>
      <c r="I144" s="135">
        <v>0</v>
      </c>
      <c r="J144" s="135">
        <v>0</v>
      </c>
      <c r="K144" s="135">
        <v>881.5</v>
      </c>
      <c r="L144" s="135">
        <v>206.3</v>
      </c>
      <c r="M144" s="135">
        <v>0</v>
      </c>
      <c r="N144" s="135">
        <v>18.8</v>
      </c>
      <c r="O144" s="135">
        <v>0</v>
      </c>
    </row>
    <row r="145" spans="1:15">
      <c r="A145" s="317"/>
      <c r="B145" s="232" t="s">
        <v>100</v>
      </c>
      <c r="C145" s="135">
        <v>9</v>
      </c>
      <c r="D145" s="135">
        <v>0</v>
      </c>
      <c r="E145" s="135">
        <v>5112.8999999999996</v>
      </c>
      <c r="F145" s="135">
        <v>0</v>
      </c>
      <c r="G145" s="135">
        <v>139.19999999999999</v>
      </c>
      <c r="H145" s="135">
        <v>885.1</v>
      </c>
      <c r="I145" s="135">
        <v>0</v>
      </c>
      <c r="J145" s="135">
        <v>0</v>
      </c>
      <c r="K145" s="135">
        <v>0</v>
      </c>
      <c r="L145" s="135">
        <v>0</v>
      </c>
      <c r="M145" s="135">
        <v>0</v>
      </c>
      <c r="N145" s="135">
        <v>0</v>
      </c>
      <c r="O145" s="135">
        <v>0</v>
      </c>
    </row>
    <row r="146" spans="1:15">
      <c r="A146" s="317"/>
      <c r="B146" s="232" t="s">
        <v>101</v>
      </c>
      <c r="C146" s="135">
        <v>0</v>
      </c>
      <c r="D146" s="135">
        <v>0</v>
      </c>
      <c r="E146" s="135">
        <v>2906.3</v>
      </c>
      <c r="F146" s="135">
        <v>0</v>
      </c>
      <c r="G146" s="135">
        <v>60</v>
      </c>
      <c r="H146" s="135">
        <v>0</v>
      </c>
      <c r="I146" s="135">
        <v>130.19999999999999</v>
      </c>
      <c r="J146" s="135">
        <v>180</v>
      </c>
      <c r="K146" s="135">
        <v>187.6</v>
      </c>
      <c r="L146" s="135">
        <v>0</v>
      </c>
      <c r="M146" s="135">
        <v>8</v>
      </c>
      <c r="N146" s="135">
        <v>0</v>
      </c>
      <c r="O146" s="135">
        <v>0</v>
      </c>
    </row>
    <row r="147" spans="1:15">
      <c r="A147" s="317"/>
      <c r="B147" s="232" t="s">
        <v>102</v>
      </c>
      <c r="C147" s="135">
        <v>0</v>
      </c>
      <c r="D147" s="135">
        <v>0</v>
      </c>
      <c r="E147" s="135">
        <v>0</v>
      </c>
      <c r="F147" s="135">
        <v>0</v>
      </c>
      <c r="G147" s="135">
        <v>0</v>
      </c>
      <c r="H147" s="135">
        <v>0</v>
      </c>
      <c r="I147" s="135">
        <v>0</v>
      </c>
      <c r="J147" s="135">
        <v>260</v>
      </c>
      <c r="K147" s="135">
        <v>0</v>
      </c>
      <c r="L147" s="135">
        <v>0</v>
      </c>
      <c r="M147" s="135">
        <v>0</v>
      </c>
      <c r="N147" s="135">
        <v>0</v>
      </c>
      <c r="O147" s="135">
        <v>0</v>
      </c>
    </row>
    <row r="148" spans="1:15">
      <c r="A148" s="319"/>
      <c r="B148" s="234" t="s">
        <v>0</v>
      </c>
      <c r="C148" s="136">
        <v>5938</v>
      </c>
      <c r="D148" s="136">
        <v>1713</v>
      </c>
      <c r="E148" s="136">
        <v>10117.4</v>
      </c>
      <c r="F148" s="136">
        <v>10121.9</v>
      </c>
      <c r="G148" s="136">
        <v>18164.400000000001</v>
      </c>
      <c r="H148" s="136">
        <v>50081.5</v>
      </c>
      <c r="I148" s="136">
        <v>57013.4</v>
      </c>
      <c r="J148" s="136">
        <v>14695.4</v>
      </c>
      <c r="K148" s="136">
        <v>35552.5</v>
      </c>
      <c r="L148" s="136">
        <v>9410.6</v>
      </c>
      <c r="M148" s="136">
        <v>34037.9</v>
      </c>
      <c r="N148" s="136">
        <v>5860.7</v>
      </c>
      <c r="O148" s="136">
        <v>7388.9</v>
      </c>
    </row>
    <row r="166" spans="1:14">
      <c r="A166" s="139" t="s">
        <v>349</v>
      </c>
      <c r="B166" s="134" t="str">
        <f>MID(B167,6,1)</f>
        <v>E</v>
      </c>
      <c r="C166" s="134" t="str">
        <f t="shared" ref="C166:N166" si="5">MID(C167,6,1)</f>
        <v>F</v>
      </c>
      <c r="D166" s="134" t="str">
        <f t="shared" si="5"/>
        <v>M</v>
      </c>
      <c r="E166" s="134" t="str">
        <f t="shared" si="5"/>
        <v>A</v>
      </c>
      <c r="F166" s="134" t="str">
        <f t="shared" si="5"/>
        <v>M</v>
      </c>
      <c r="G166" s="134" t="str">
        <f t="shared" si="5"/>
        <v>J</v>
      </c>
      <c r="H166" s="134" t="str">
        <f t="shared" si="5"/>
        <v>J</v>
      </c>
      <c r="I166" s="134" t="str">
        <f t="shared" si="5"/>
        <v>A</v>
      </c>
      <c r="J166" s="134" t="str">
        <f t="shared" si="5"/>
        <v>S</v>
      </c>
      <c r="K166" s="134" t="str">
        <f t="shared" si="5"/>
        <v>O</v>
      </c>
      <c r="L166" s="134" t="str">
        <f t="shared" si="5"/>
        <v>N</v>
      </c>
      <c r="M166" s="134" t="str">
        <f t="shared" si="5"/>
        <v>D</v>
      </c>
      <c r="N166" s="134" t="str">
        <f t="shared" si="5"/>
        <v>E</v>
      </c>
    </row>
    <row r="167" spans="1:14">
      <c r="A167" s="212" t="s">
        <v>108</v>
      </c>
      <c r="B167" s="282" t="s">
        <v>287</v>
      </c>
      <c r="C167" s="282" t="s">
        <v>292</v>
      </c>
      <c r="D167" s="282" t="s">
        <v>297</v>
      </c>
      <c r="E167" s="282" t="s">
        <v>302</v>
      </c>
      <c r="F167" s="282" t="s">
        <v>304</v>
      </c>
      <c r="G167" s="282" t="s">
        <v>306</v>
      </c>
      <c r="H167" s="282" t="s">
        <v>313</v>
      </c>
      <c r="I167" s="282" t="s">
        <v>315</v>
      </c>
      <c r="J167" s="282" t="s">
        <v>317</v>
      </c>
      <c r="K167" s="282" t="s">
        <v>319</v>
      </c>
      <c r="L167" s="282" t="s">
        <v>325</v>
      </c>
      <c r="M167" s="282" t="s">
        <v>328</v>
      </c>
      <c r="N167" s="282" t="s">
        <v>330</v>
      </c>
    </row>
    <row r="168" spans="1:14">
      <c r="A168" s="212" t="s">
        <v>30</v>
      </c>
      <c r="B168" s="283"/>
      <c r="C168" s="283"/>
      <c r="D168" s="283"/>
      <c r="E168" s="283"/>
      <c r="F168" s="283"/>
      <c r="G168" s="283"/>
      <c r="H168" s="283"/>
      <c r="I168" s="283"/>
      <c r="J168" s="283"/>
      <c r="K168" s="283"/>
      <c r="L168" s="283"/>
      <c r="M168" s="283"/>
      <c r="N168" s="283"/>
    </row>
    <row r="169" spans="1:14">
      <c r="A169" s="232" t="s">
        <v>74</v>
      </c>
      <c r="B169" s="235">
        <v>607.87231182799997</v>
      </c>
      <c r="C169" s="235">
        <v>595.99107142859998</v>
      </c>
      <c r="D169" s="235">
        <v>595.54104979809995</v>
      </c>
      <c r="E169" s="235">
        <v>569.27083333329995</v>
      </c>
      <c r="F169" s="235">
        <v>557.38978494620005</v>
      </c>
      <c r="G169" s="235">
        <v>576.58888888889999</v>
      </c>
      <c r="H169" s="235">
        <v>568.41801075269996</v>
      </c>
      <c r="I169" s="235">
        <v>571.75806451610003</v>
      </c>
      <c r="J169" s="235">
        <v>574.15694444439998</v>
      </c>
      <c r="K169" s="235">
        <v>583.01610738260001</v>
      </c>
      <c r="L169" s="235">
        <v>586.37777777780002</v>
      </c>
      <c r="M169" s="235">
        <v>579.84677419349998</v>
      </c>
      <c r="N169" s="235">
        <v>595.42338709679996</v>
      </c>
    </row>
    <row r="170" spans="1:14">
      <c r="A170" s="232" t="s">
        <v>75</v>
      </c>
      <c r="B170" s="235">
        <v>495.70698924729999</v>
      </c>
      <c r="C170" s="235">
        <v>494.87797619050002</v>
      </c>
      <c r="D170" s="235">
        <v>503.95289367430001</v>
      </c>
      <c r="E170" s="235">
        <v>491.24305555559999</v>
      </c>
      <c r="F170" s="235">
        <v>489.0994623656</v>
      </c>
      <c r="G170" s="235">
        <v>489.18611111109999</v>
      </c>
      <c r="H170" s="235">
        <v>487.0416666667</v>
      </c>
      <c r="I170" s="235">
        <v>487.6088709677</v>
      </c>
      <c r="J170" s="235">
        <v>490.68055555559999</v>
      </c>
      <c r="K170" s="235">
        <v>493.04563758389997</v>
      </c>
      <c r="L170" s="235">
        <v>494.00972222220003</v>
      </c>
      <c r="M170" s="235">
        <v>494.26881720429998</v>
      </c>
      <c r="N170" s="235">
        <v>496</v>
      </c>
    </row>
    <row r="171" spans="1:14">
      <c r="A171" s="232" t="s">
        <v>76</v>
      </c>
      <c r="B171" s="233">
        <v>16.655519515600002</v>
      </c>
      <c r="C171" s="233">
        <v>27.540775143800001</v>
      </c>
      <c r="D171" s="233">
        <v>14.375630389099999</v>
      </c>
      <c r="E171" s="233">
        <v>12.330096533400001</v>
      </c>
      <c r="F171" s="233">
        <v>21.259185153099999</v>
      </c>
      <c r="G171" s="233">
        <v>16.212260548500002</v>
      </c>
      <c r="H171" s="233">
        <v>17.7897737316</v>
      </c>
      <c r="I171" s="233">
        <v>27.3192267268</v>
      </c>
      <c r="J171" s="233">
        <v>27.8295922826</v>
      </c>
      <c r="K171" s="233">
        <v>41.450569314399999</v>
      </c>
      <c r="L171" s="233">
        <v>35.946007103900001</v>
      </c>
      <c r="M171" s="233">
        <v>35.1796402517</v>
      </c>
      <c r="N171" s="233">
        <v>24.032215305299999</v>
      </c>
    </row>
    <row r="173" spans="1:14">
      <c r="A173" s="212" t="s">
        <v>108</v>
      </c>
      <c r="B173" s="286" t="s">
        <v>287</v>
      </c>
      <c r="C173" s="286" t="s">
        <v>292</v>
      </c>
      <c r="D173" s="286" t="s">
        <v>297</v>
      </c>
      <c r="E173" s="286" t="s">
        <v>302</v>
      </c>
      <c r="F173" s="286" t="s">
        <v>304</v>
      </c>
      <c r="G173" s="286" t="s">
        <v>306</v>
      </c>
      <c r="H173" s="286" t="s">
        <v>313</v>
      </c>
      <c r="I173" s="286" t="s">
        <v>315</v>
      </c>
      <c r="J173" s="286" t="s">
        <v>317</v>
      </c>
      <c r="K173" s="286" t="s">
        <v>319</v>
      </c>
      <c r="L173" s="286" t="s">
        <v>325</v>
      </c>
      <c r="M173" s="286" t="s">
        <v>328</v>
      </c>
      <c r="N173" s="286" t="s">
        <v>330</v>
      </c>
    </row>
    <row r="174" spans="1:14">
      <c r="A174" s="212" t="s">
        <v>30</v>
      </c>
      <c r="B174" s="287"/>
      <c r="C174" s="287"/>
      <c r="D174" s="287"/>
      <c r="E174" s="287"/>
      <c r="F174" s="287"/>
      <c r="G174" s="287"/>
      <c r="H174" s="287"/>
      <c r="I174" s="287"/>
      <c r="J174" s="287"/>
      <c r="K174" s="287"/>
      <c r="L174" s="287"/>
      <c r="M174" s="287"/>
      <c r="N174" s="287"/>
    </row>
    <row r="175" spans="1:14">
      <c r="A175" s="232" t="s">
        <v>334</v>
      </c>
      <c r="B175" s="235">
        <v>138.33170000000001</v>
      </c>
      <c r="C175" s="235">
        <v>85.107199999999992</v>
      </c>
      <c r="D175" s="235">
        <v>101.9431</v>
      </c>
      <c r="E175" s="235">
        <v>121.01819999999999</v>
      </c>
      <c r="F175" s="235">
        <v>120.37689999999999</v>
      </c>
      <c r="G175" s="235">
        <v>160.57760000000002</v>
      </c>
      <c r="H175" s="235">
        <v>143.6601</v>
      </c>
      <c r="I175" s="235">
        <v>127.3412</v>
      </c>
      <c r="J175" s="235">
        <v>119.6232</v>
      </c>
      <c r="K175" s="235">
        <v>110.7739</v>
      </c>
      <c r="L175" s="235">
        <v>163.4803</v>
      </c>
      <c r="M175" s="235">
        <v>148.6361</v>
      </c>
      <c r="N175" s="235">
        <v>145.38856899999999</v>
      </c>
    </row>
    <row r="176" spans="1:14">
      <c r="A176" s="291" t="s">
        <v>335</v>
      </c>
      <c r="B176" s="235">
        <v>129.5624</v>
      </c>
      <c r="C176" s="235">
        <v>122.25319999999999</v>
      </c>
      <c r="D176" s="235">
        <v>138.00639999999999</v>
      </c>
      <c r="E176" s="235">
        <v>117.66980000000001</v>
      </c>
      <c r="F176" s="235">
        <v>131.49289999999999</v>
      </c>
      <c r="G176" s="235">
        <v>80.018899999999988</v>
      </c>
      <c r="H176" s="235">
        <v>89.656899999999993</v>
      </c>
      <c r="I176" s="235">
        <v>101.8762</v>
      </c>
      <c r="J176" s="235">
        <v>87.124600000000001</v>
      </c>
      <c r="K176" s="235">
        <v>122.3283</v>
      </c>
      <c r="L176" s="235">
        <v>79.438399999999987</v>
      </c>
      <c r="M176" s="235">
        <v>100.1545</v>
      </c>
      <c r="N176" s="235">
        <v>100.882881</v>
      </c>
    </row>
    <row r="178" spans="1:15">
      <c r="A178" s="231" t="s">
        <v>146</v>
      </c>
      <c r="B178" s="309" t="s">
        <v>79</v>
      </c>
      <c r="C178" s="310"/>
      <c r="D178" s="310"/>
      <c r="E178" s="310"/>
      <c r="F178" s="310"/>
      <c r="G178" s="310"/>
      <c r="H178" s="310"/>
      <c r="I178" s="310"/>
      <c r="J178" s="310"/>
      <c r="K178" s="310"/>
      <c r="L178" s="310"/>
      <c r="M178" s="284"/>
      <c r="N178" s="284"/>
    </row>
    <row r="179" spans="1:15">
      <c r="A179" s="231" t="s">
        <v>108</v>
      </c>
      <c r="B179" s="286" t="s">
        <v>287</v>
      </c>
      <c r="C179" s="286" t="s">
        <v>292</v>
      </c>
      <c r="D179" s="286" t="s">
        <v>297</v>
      </c>
      <c r="E179" s="286" t="s">
        <v>306</v>
      </c>
      <c r="F179" s="286" t="s">
        <v>313</v>
      </c>
      <c r="G179" s="286" t="s">
        <v>315</v>
      </c>
      <c r="H179" s="286" t="s">
        <v>317</v>
      </c>
      <c r="I179" s="286" t="s">
        <v>319</v>
      </c>
      <c r="J179" s="286" t="s">
        <v>325</v>
      </c>
      <c r="K179" s="286" t="s">
        <v>328</v>
      </c>
      <c r="L179" s="286" t="s">
        <v>330</v>
      </c>
      <c r="M179" s="286" t="s">
        <v>328</v>
      </c>
      <c r="N179" s="286" t="s">
        <v>330</v>
      </c>
    </row>
    <row r="180" spans="1:15">
      <c r="A180" s="292" t="s">
        <v>30</v>
      </c>
      <c r="B180" s="287"/>
      <c r="C180" s="287"/>
      <c r="D180" s="287"/>
      <c r="E180" s="287"/>
      <c r="F180" s="287"/>
      <c r="G180" s="287"/>
      <c r="H180" s="287"/>
      <c r="I180" s="287"/>
      <c r="J180" s="287"/>
      <c r="K180" s="287"/>
      <c r="L180" s="287"/>
      <c r="M180" s="287"/>
      <c r="N180" s="287"/>
    </row>
    <row r="181" spans="1:15">
      <c r="A181" s="232" t="s">
        <v>150</v>
      </c>
      <c r="B181" s="293">
        <v>63.220681052700002</v>
      </c>
      <c r="C181" s="293">
        <v>37.996210302500003</v>
      </c>
      <c r="D181" s="293">
        <v>49.886666826800003</v>
      </c>
      <c r="E181" s="293">
        <v>68.736615395200005</v>
      </c>
      <c r="F181" s="293">
        <v>71.364942740900005</v>
      </c>
      <c r="G181" s="293">
        <v>91.156488779</v>
      </c>
      <c r="H181" s="293">
        <v>96.757169407899994</v>
      </c>
      <c r="I181" s="293">
        <v>110.01602101650001</v>
      </c>
      <c r="J181" s="293">
        <v>163.59300467950001</v>
      </c>
      <c r="K181" s="293">
        <v>212.36212133250001</v>
      </c>
      <c r="L181" s="293">
        <v>205.75351654170001</v>
      </c>
      <c r="M181" s="293">
        <v>247.17005219609999</v>
      </c>
      <c r="N181" s="293">
        <v>223.8608930092</v>
      </c>
      <c r="O181" s="259">
        <f>(+N181/B181-1)*100</f>
        <v>254.09440278346929</v>
      </c>
    </row>
    <row r="182" spans="1:15">
      <c r="A182" s="232" t="s">
        <v>151</v>
      </c>
      <c r="B182" s="293">
        <v>59.951908228599997</v>
      </c>
      <c r="C182" s="293">
        <v>17.655055665900001</v>
      </c>
      <c r="D182" s="293">
        <v>35.931237126500001</v>
      </c>
      <c r="E182" s="293">
        <v>56.916393445799997</v>
      </c>
      <c r="F182" s="293">
        <v>59.402698533699997</v>
      </c>
      <c r="G182" s="293">
        <v>70.049151887899995</v>
      </c>
      <c r="H182" s="293">
        <v>76.443767935500006</v>
      </c>
      <c r="I182" s="293">
        <v>88.488353008800004</v>
      </c>
      <c r="J182" s="293">
        <v>130.76360995760001</v>
      </c>
      <c r="K182" s="293">
        <v>163.59991653629999</v>
      </c>
      <c r="L182" s="293">
        <v>170.5480600436</v>
      </c>
      <c r="M182" s="293">
        <v>217.2346750303</v>
      </c>
      <c r="N182" s="293">
        <v>176.02500627129999</v>
      </c>
      <c r="O182" s="259">
        <f>(+N182/B182-1)*100</f>
        <v>193.61034781429601</v>
      </c>
    </row>
    <row r="183" spans="1:15">
      <c r="B183" s="73"/>
      <c r="C183" s="73"/>
      <c r="D183" s="73"/>
      <c r="E183" s="73"/>
      <c r="F183" s="73"/>
      <c r="G183" s="73"/>
      <c r="H183" s="73"/>
      <c r="I183" s="73"/>
      <c r="J183" s="73"/>
      <c r="K183" s="73"/>
      <c r="L183" s="73"/>
      <c r="M183" s="73"/>
      <c r="N183" s="73"/>
    </row>
    <row r="184" spans="1:15">
      <c r="B184" s="73"/>
      <c r="C184" s="73"/>
      <c r="D184" s="73"/>
      <c r="E184" s="73"/>
      <c r="F184" s="73"/>
      <c r="G184" s="73"/>
      <c r="H184" s="73"/>
      <c r="I184" s="73"/>
      <c r="J184" s="73"/>
      <c r="K184" s="73"/>
      <c r="L184" s="73"/>
      <c r="M184" s="73"/>
      <c r="N184" s="73"/>
    </row>
    <row r="185" spans="1:15">
      <c r="A185" s="98" t="s">
        <v>3</v>
      </c>
      <c r="C185" s="134" t="str">
        <f>MID(C187,6,1)</f>
        <v>E</v>
      </c>
      <c r="D185" s="134" t="str">
        <f t="shared" ref="D185:O185" si="6">MID(D187,6,1)</f>
        <v>F</v>
      </c>
      <c r="E185" s="134" t="str">
        <f t="shared" si="6"/>
        <v>M</v>
      </c>
      <c r="F185" s="134" t="str">
        <f t="shared" si="6"/>
        <v>A</v>
      </c>
      <c r="G185" s="134" t="str">
        <f t="shared" si="6"/>
        <v>M</v>
      </c>
      <c r="H185" s="134" t="str">
        <f t="shared" si="6"/>
        <v>J</v>
      </c>
      <c r="I185" s="134" t="str">
        <f t="shared" si="6"/>
        <v>J</v>
      </c>
      <c r="J185" s="134" t="str">
        <f t="shared" si="6"/>
        <v>A</v>
      </c>
      <c r="K185" s="134" t="str">
        <f t="shared" si="6"/>
        <v>S</v>
      </c>
      <c r="L185" s="134" t="str">
        <f t="shared" si="6"/>
        <v>O</v>
      </c>
      <c r="M185" s="134" t="str">
        <f t="shared" si="6"/>
        <v>N</v>
      </c>
      <c r="N185" s="134" t="str">
        <f t="shared" si="6"/>
        <v>D</v>
      </c>
      <c r="O185" s="134" t="str">
        <f t="shared" si="6"/>
        <v>E</v>
      </c>
    </row>
    <row r="186" spans="1:15">
      <c r="A186" s="212"/>
      <c r="B186" s="212" t="s">
        <v>30</v>
      </c>
      <c r="C186" s="314" t="s">
        <v>152</v>
      </c>
      <c r="D186" s="315"/>
      <c r="E186" s="315"/>
      <c r="F186" s="315"/>
      <c r="G186" s="315"/>
      <c r="H186" s="315"/>
      <c r="I186" s="315"/>
      <c r="J186" s="315"/>
      <c r="K186" s="315"/>
      <c r="L186" s="315"/>
      <c r="M186" s="315"/>
      <c r="N186" s="315"/>
      <c r="O186" s="315"/>
    </row>
    <row r="187" spans="1:15">
      <c r="A187" s="212"/>
      <c r="B187" s="231" t="s">
        <v>108</v>
      </c>
      <c r="C187" s="282" t="s">
        <v>287</v>
      </c>
      <c r="D187" s="282" t="s">
        <v>292</v>
      </c>
      <c r="E187" s="282" t="s">
        <v>297</v>
      </c>
      <c r="F187" s="282" t="s">
        <v>302</v>
      </c>
      <c r="G187" s="282" t="s">
        <v>304</v>
      </c>
      <c r="H187" s="282" t="s">
        <v>306</v>
      </c>
      <c r="I187" s="282" t="s">
        <v>313</v>
      </c>
      <c r="J187" s="282" t="s">
        <v>315</v>
      </c>
      <c r="K187" s="282" t="s">
        <v>317</v>
      </c>
      <c r="L187" s="282" t="s">
        <v>319</v>
      </c>
      <c r="M187" s="282" t="s">
        <v>325</v>
      </c>
      <c r="N187" s="282" t="s">
        <v>328</v>
      </c>
      <c r="O187" s="282" t="s">
        <v>330</v>
      </c>
    </row>
    <row r="188" spans="1:15">
      <c r="A188" s="212" t="s">
        <v>147</v>
      </c>
      <c r="B188" s="212" t="s">
        <v>148</v>
      </c>
      <c r="C188" s="283"/>
      <c r="D188" s="283"/>
      <c r="E188" s="283"/>
      <c r="F188" s="283"/>
      <c r="G188" s="283"/>
      <c r="H188" s="283"/>
      <c r="I188" s="283"/>
      <c r="J188" s="283"/>
      <c r="K188" s="283"/>
      <c r="L188" s="283"/>
      <c r="M188" s="283"/>
      <c r="N188" s="283"/>
      <c r="O188" s="283"/>
    </row>
    <row r="189" spans="1:15">
      <c r="A189" s="320" t="s">
        <v>92</v>
      </c>
      <c r="B189" s="232" t="s">
        <v>103</v>
      </c>
      <c r="C189" s="233">
        <v>0</v>
      </c>
      <c r="D189" s="233">
        <v>0</v>
      </c>
      <c r="E189" s="233">
        <v>0</v>
      </c>
      <c r="F189" s="233">
        <v>0</v>
      </c>
      <c r="G189" s="233">
        <v>0</v>
      </c>
      <c r="H189" s="233">
        <v>0</v>
      </c>
      <c r="I189" s="233">
        <v>0</v>
      </c>
      <c r="J189" s="233">
        <v>0</v>
      </c>
      <c r="K189" s="233">
        <v>0</v>
      </c>
      <c r="L189" s="233">
        <v>0</v>
      </c>
      <c r="M189" s="233">
        <v>0</v>
      </c>
      <c r="N189" s="233">
        <v>0</v>
      </c>
      <c r="O189" s="233">
        <v>0</v>
      </c>
    </row>
    <row r="190" spans="1:15">
      <c r="A190" s="317"/>
      <c r="B190" s="232" t="s">
        <v>94</v>
      </c>
      <c r="C190" s="233">
        <v>3748.2</v>
      </c>
      <c r="D190" s="233">
        <v>157.30000000000001</v>
      </c>
      <c r="E190" s="233">
        <v>78</v>
      </c>
      <c r="F190" s="233">
        <v>2888.1</v>
      </c>
      <c r="G190" s="233">
        <v>2053.3000000000002</v>
      </c>
      <c r="H190" s="233">
        <v>3099.9</v>
      </c>
      <c r="I190" s="233">
        <v>3046.5</v>
      </c>
      <c r="J190" s="233">
        <v>1481.1</v>
      </c>
      <c r="K190" s="233">
        <v>929.2</v>
      </c>
      <c r="L190" s="233">
        <v>2449.3000000000002</v>
      </c>
      <c r="M190" s="233">
        <v>1901</v>
      </c>
      <c r="N190" s="233">
        <v>3972.3</v>
      </c>
      <c r="O190" s="233">
        <v>1857.5</v>
      </c>
    </row>
    <row r="191" spans="1:15">
      <c r="A191" s="317"/>
      <c r="B191" s="232" t="s">
        <v>24</v>
      </c>
      <c r="C191" s="233">
        <v>68568.899999999994</v>
      </c>
      <c r="D191" s="233">
        <v>26400.799999999999</v>
      </c>
      <c r="E191" s="233">
        <v>53067.4</v>
      </c>
      <c r="F191" s="233">
        <v>73739.7</v>
      </c>
      <c r="G191" s="233">
        <v>67958.399999999994</v>
      </c>
      <c r="H191" s="233">
        <v>73420.800000000003</v>
      </c>
      <c r="I191" s="233">
        <v>87665.5</v>
      </c>
      <c r="J191" s="233">
        <v>147327</v>
      </c>
      <c r="K191" s="233">
        <v>120567.6</v>
      </c>
      <c r="L191" s="233">
        <v>91772.5</v>
      </c>
      <c r="M191" s="233">
        <v>124474.7</v>
      </c>
      <c r="N191" s="233">
        <v>68425.3</v>
      </c>
      <c r="O191" s="233">
        <v>53248.9</v>
      </c>
    </row>
    <row r="192" spans="1:15">
      <c r="A192" s="317"/>
      <c r="B192" s="232" t="s">
        <v>101</v>
      </c>
      <c r="C192" s="233">
        <v>1069.7</v>
      </c>
      <c r="D192" s="233">
        <v>340.9</v>
      </c>
      <c r="E192" s="233">
        <v>76.2</v>
      </c>
      <c r="F192" s="233">
        <v>28.3</v>
      </c>
      <c r="G192" s="233">
        <v>263.7</v>
      </c>
      <c r="H192" s="233">
        <v>945.7</v>
      </c>
      <c r="I192" s="233">
        <v>1010.8</v>
      </c>
      <c r="J192" s="233">
        <v>1240.2</v>
      </c>
      <c r="K192" s="233">
        <v>582.6</v>
      </c>
      <c r="L192" s="233">
        <v>539.6</v>
      </c>
      <c r="M192" s="233">
        <v>919.8</v>
      </c>
      <c r="N192" s="233">
        <v>1069.5</v>
      </c>
      <c r="O192" s="233">
        <v>859.7</v>
      </c>
    </row>
    <row r="193" spans="1:15">
      <c r="A193" s="317"/>
      <c r="B193" s="232" t="s">
        <v>95</v>
      </c>
      <c r="C193" s="233">
        <v>17152.7</v>
      </c>
      <c r="D193" s="233">
        <v>18712.8</v>
      </c>
      <c r="E193" s="233">
        <v>9280.7999999999993</v>
      </c>
      <c r="F193" s="233">
        <v>12095.3</v>
      </c>
      <c r="G193" s="233">
        <v>14305.7</v>
      </c>
      <c r="H193" s="233">
        <v>5396.8</v>
      </c>
      <c r="I193" s="233">
        <v>5572.7</v>
      </c>
      <c r="J193" s="233">
        <v>17886.3</v>
      </c>
      <c r="K193" s="233">
        <v>3027.8</v>
      </c>
      <c r="L193" s="233">
        <v>8249.9</v>
      </c>
      <c r="M193" s="233">
        <v>8069.5</v>
      </c>
      <c r="N193" s="233">
        <v>13639.4</v>
      </c>
      <c r="O193" s="233">
        <v>20175.8</v>
      </c>
    </row>
    <row r="194" spans="1:15">
      <c r="A194" s="317"/>
      <c r="B194" s="232" t="s">
        <v>104</v>
      </c>
      <c r="C194" s="233">
        <v>0</v>
      </c>
      <c r="D194" s="233">
        <v>0</v>
      </c>
      <c r="E194" s="233">
        <v>0</v>
      </c>
      <c r="F194" s="233">
        <v>0</v>
      </c>
      <c r="G194" s="233">
        <v>0</v>
      </c>
      <c r="H194" s="233">
        <v>0</v>
      </c>
      <c r="I194" s="233">
        <v>0</v>
      </c>
      <c r="J194" s="233">
        <v>0</v>
      </c>
      <c r="K194" s="233">
        <v>0</v>
      </c>
      <c r="L194" s="233">
        <v>0</v>
      </c>
      <c r="M194" s="233">
        <v>0</v>
      </c>
      <c r="N194" s="233">
        <v>0</v>
      </c>
      <c r="O194" s="233">
        <v>0</v>
      </c>
    </row>
    <row r="195" spans="1:15">
      <c r="A195" s="317"/>
      <c r="B195" s="232" t="s">
        <v>98</v>
      </c>
      <c r="C195" s="233">
        <v>8410.7000000000007</v>
      </c>
      <c r="D195" s="233">
        <v>15219.5</v>
      </c>
      <c r="E195" s="233">
        <v>9333.2999999999993</v>
      </c>
      <c r="F195" s="233">
        <v>8894.2000000000007</v>
      </c>
      <c r="G195" s="233">
        <v>14218.9</v>
      </c>
      <c r="H195" s="233">
        <v>10467.9</v>
      </c>
      <c r="I195" s="233">
        <v>8671.4</v>
      </c>
      <c r="J195" s="233">
        <v>9117.1</v>
      </c>
      <c r="K195" s="233">
        <v>7256.6</v>
      </c>
      <c r="L195" s="233">
        <v>8677.5</v>
      </c>
      <c r="M195" s="233">
        <v>12499.1</v>
      </c>
      <c r="N195" s="233">
        <v>9010.9</v>
      </c>
      <c r="O195" s="233">
        <v>10885.7</v>
      </c>
    </row>
    <row r="196" spans="1:15">
      <c r="A196" s="317"/>
      <c r="B196" s="232" t="s">
        <v>105</v>
      </c>
      <c r="C196" s="233">
        <v>0</v>
      </c>
      <c r="D196" s="233">
        <v>0</v>
      </c>
      <c r="E196" s="233">
        <v>0</v>
      </c>
      <c r="F196" s="233">
        <v>0</v>
      </c>
      <c r="G196" s="233">
        <v>0</v>
      </c>
      <c r="H196" s="233">
        <v>0</v>
      </c>
      <c r="I196" s="233">
        <v>0</v>
      </c>
      <c r="J196" s="233">
        <v>0</v>
      </c>
      <c r="K196" s="233">
        <v>0</v>
      </c>
      <c r="L196" s="233">
        <v>0</v>
      </c>
      <c r="M196" s="233">
        <v>0</v>
      </c>
      <c r="N196" s="233">
        <v>0</v>
      </c>
      <c r="O196" s="233">
        <v>0</v>
      </c>
    </row>
    <row r="197" spans="1:15">
      <c r="A197" s="317"/>
      <c r="B197" s="232" t="s">
        <v>20</v>
      </c>
      <c r="C197" s="233">
        <v>36501.599999999999</v>
      </c>
      <c r="D197" s="233">
        <v>9567.7999999999993</v>
      </c>
      <c r="E197" s="233">
        <v>56450.9</v>
      </c>
      <c r="F197" s="233">
        <v>77474.8</v>
      </c>
      <c r="G197" s="233">
        <v>46046.2</v>
      </c>
      <c r="H197" s="233">
        <v>59211</v>
      </c>
      <c r="I197" s="233">
        <v>41981.5</v>
      </c>
      <c r="J197" s="233">
        <v>30800.2</v>
      </c>
      <c r="K197" s="233">
        <v>27279.3</v>
      </c>
      <c r="L197" s="233">
        <v>26982.9</v>
      </c>
      <c r="M197" s="233">
        <v>40973.4</v>
      </c>
      <c r="N197" s="233">
        <v>31863.1</v>
      </c>
      <c r="O197" s="233">
        <v>63478.2</v>
      </c>
    </row>
    <row r="198" spans="1:15">
      <c r="A198" s="317"/>
      <c r="B198" s="232" t="s">
        <v>106</v>
      </c>
      <c r="C198" s="233">
        <v>0</v>
      </c>
      <c r="D198" s="233">
        <v>0</v>
      </c>
      <c r="E198" s="233">
        <v>0</v>
      </c>
      <c r="F198" s="233">
        <v>0</v>
      </c>
      <c r="G198" s="233">
        <v>0</v>
      </c>
      <c r="H198" s="233">
        <v>0</v>
      </c>
      <c r="I198" s="233">
        <v>0</v>
      </c>
      <c r="J198" s="233">
        <v>0</v>
      </c>
      <c r="K198" s="233">
        <v>0</v>
      </c>
      <c r="L198" s="233">
        <v>0</v>
      </c>
      <c r="M198" s="233">
        <v>0</v>
      </c>
      <c r="N198" s="233">
        <v>0</v>
      </c>
      <c r="O198" s="233">
        <v>0</v>
      </c>
    </row>
    <row r="199" spans="1:15">
      <c r="A199" s="317"/>
      <c r="B199" s="232" t="s">
        <v>93</v>
      </c>
      <c r="C199" s="233">
        <v>0</v>
      </c>
      <c r="D199" s="233">
        <v>385.9</v>
      </c>
      <c r="E199" s="233">
        <v>0</v>
      </c>
      <c r="F199" s="233">
        <v>318.8</v>
      </c>
      <c r="G199" s="233">
        <v>17.7</v>
      </c>
      <c r="H199" s="233">
        <v>213.6</v>
      </c>
      <c r="I199" s="233">
        <v>296.5</v>
      </c>
      <c r="J199" s="233">
        <v>0</v>
      </c>
      <c r="K199" s="233">
        <v>289.10000000000002</v>
      </c>
      <c r="L199" s="233">
        <v>0</v>
      </c>
      <c r="M199" s="233">
        <v>0.4</v>
      </c>
      <c r="N199" s="233">
        <v>841.6</v>
      </c>
      <c r="O199" s="233">
        <v>410.2</v>
      </c>
    </row>
    <row r="200" spans="1:15">
      <c r="A200" s="317"/>
      <c r="B200" s="232" t="s">
        <v>102</v>
      </c>
      <c r="C200" s="233">
        <v>0</v>
      </c>
      <c r="D200" s="233">
        <v>10.9</v>
      </c>
      <c r="E200" s="233">
        <v>0</v>
      </c>
      <c r="F200" s="233">
        <v>0</v>
      </c>
      <c r="G200" s="233">
        <v>0</v>
      </c>
      <c r="H200" s="233">
        <v>0</v>
      </c>
      <c r="I200" s="233">
        <v>0</v>
      </c>
      <c r="J200" s="233">
        <v>0</v>
      </c>
      <c r="K200" s="233">
        <v>9.8000000000000007</v>
      </c>
      <c r="L200" s="233">
        <v>3.2</v>
      </c>
      <c r="M200" s="233">
        <v>0</v>
      </c>
      <c r="N200" s="233">
        <v>0.5</v>
      </c>
      <c r="O200" s="233">
        <v>0</v>
      </c>
    </row>
    <row r="201" spans="1:15">
      <c r="A201" s="317"/>
      <c r="B201" s="232" t="s">
        <v>107</v>
      </c>
      <c r="C201" s="233">
        <v>0</v>
      </c>
      <c r="D201" s="233">
        <v>0</v>
      </c>
      <c r="E201" s="233">
        <v>0</v>
      </c>
      <c r="F201" s="233">
        <v>0</v>
      </c>
      <c r="G201" s="233">
        <v>0</v>
      </c>
      <c r="H201" s="233">
        <v>0</v>
      </c>
      <c r="I201" s="233">
        <v>0</v>
      </c>
      <c r="J201" s="233">
        <v>0</v>
      </c>
      <c r="K201" s="233">
        <v>0</v>
      </c>
      <c r="L201" s="233">
        <v>0</v>
      </c>
      <c r="M201" s="233">
        <v>0</v>
      </c>
      <c r="N201" s="233">
        <v>0</v>
      </c>
      <c r="O201" s="233">
        <v>0</v>
      </c>
    </row>
    <row r="202" spans="1:15">
      <c r="A202" s="317"/>
      <c r="B202" s="232" t="s">
        <v>99</v>
      </c>
      <c r="C202" s="233">
        <v>17.100000000000001</v>
      </c>
      <c r="D202" s="233">
        <v>5.9</v>
      </c>
      <c r="E202" s="233">
        <v>10.4</v>
      </c>
      <c r="F202" s="233">
        <v>38.299999999999997</v>
      </c>
      <c r="G202" s="233">
        <v>25.2</v>
      </c>
      <c r="H202" s="233">
        <v>36.799999999999997</v>
      </c>
      <c r="I202" s="233">
        <v>8.5</v>
      </c>
      <c r="J202" s="233">
        <v>64.2</v>
      </c>
      <c r="K202" s="233">
        <v>66.3</v>
      </c>
      <c r="L202" s="233">
        <v>196.7</v>
      </c>
      <c r="M202" s="233">
        <v>312.60000000000002</v>
      </c>
      <c r="N202" s="233">
        <v>182.8</v>
      </c>
      <c r="O202" s="233">
        <v>271.2</v>
      </c>
    </row>
    <row r="203" spans="1:15">
      <c r="A203" s="317"/>
      <c r="B203" s="232" t="s">
        <v>100</v>
      </c>
      <c r="C203" s="233">
        <v>0</v>
      </c>
      <c r="D203" s="233">
        <v>0</v>
      </c>
      <c r="E203" s="233">
        <v>1.5</v>
      </c>
      <c r="F203" s="233">
        <v>0</v>
      </c>
      <c r="G203" s="233">
        <v>0.8</v>
      </c>
      <c r="H203" s="233">
        <v>55.4</v>
      </c>
      <c r="I203" s="233">
        <v>116.7</v>
      </c>
      <c r="J203" s="233">
        <v>91.5</v>
      </c>
      <c r="K203" s="233">
        <v>68.7</v>
      </c>
      <c r="L203" s="233">
        <v>36.5</v>
      </c>
      <c r="M203" s="233">
        <v>0.3</v>
      </c>
      <c r="N203" s="233">
        <v>0</v>
      </c>
      <c r="O203" s="233">
        <v>0</v>
      </c>
    </row>
    <row r="204" spans="1:15">
      <c r="A204" s="317"/>
      <c r="B204" s="232" t="s">
        <v>97</v>
      </c>
      <c r="C204" s="233">
        <v>25434.1</v>
      </c>
      <c r="D204" s="233">
        <v>26182.799999999999</v>
      </c>
      <c r="E204" s="233">
        <v>31341</v>
      </c>
      <c r="F204" s="233">
        <v>31952</v>
      </c>
      <c r="G204" s="233">
        <v>36356.300000000003</v>
      </c>
      <c r="H204" s="233">
        <v>41268.199999999997</v>
      </c>
      <c r="I204" s="233">
        <v>20483.599999999999</v>
      </c>
      <c r="J204" s="233">
        <v>23170.3</v>
      </c>
      <c r="K204" s="233">
        <v>24660.799999999999</v>
      </c>
      <c r="L204" s="233">
        <v>40197.4</v>
      </c>
      <c r="M204" s="233">
        <v>24114.5</v>
      </c>
      <c r="N204" s="233">
        <v>53138.5</v>
      </c>
      <c r="O204" s="233">
        <v>43785.9</v>
      </c>
    </row>
    <row r="205" spans="1:15">
      <c r="A205" s="319"/>
      <c r="B205" s="234" t="s">
        <v>0</v>
      </c>
      <c r="C205" s="236">
        <v>160903</v>
      </c>
      <c r="D205" s="236">
        <v>96984.6</v>
      </c>
      <c r="E205" s="236">
        <v>159639.5</v>
      </c>
      <c r="F205" s="236">
        <v>207429.5</v>
      </c>
      <c r="G205" s="236">
        <v>181246.2</v>
      </c>
      <c r="H205" s="236">
        <v>194116.1</v>
      </c>
      <c r="I205" s="236">
        <v>168853.7</v>
      </c>
      <c r="J205" s="236">
        <v>231177.9</v>
      </c>
      <c r="K205" s="236">
        <v>184737.8</v>
      </c>
      <c r="L205" s="236">
        <v>179105.5</v>
      </c>
      <c r="M205" s="236">
        <v>213265.3</v>
      </c>
      <c r="N205" s="236">
        <v>182143.9</v>
      </c>
      <c r="O205" s="236">
        <v>194973.1</v>
      </c>
    </row>
    <row r="206" spans="1:15">
      <c r="A206" s="316" t="s">
        <v>96</v>
      </c>
      <c r="B206" s="232" t="s">
        <v>103</v>
      </c>
      <c r="C206" s="233">
        <v>0</v>
      </c>
      <c r="D206" s="233">
        <v>0</v>
      </c>
      <c r="E206" s="233">
        <v>0</v>
      </c>
      <c r="F206" s="233">
        <v>0</v>
      </c>
      <c r="G206" s="233">
        <v>0</v>
      </c>
      <c r="H206" s="233">
        <v>0</v>
      </c>
      <c r="I206" s="233">
        <v>0</v>
      </c>
      <c r="J206" s="233">
        <v>0</v>
      </c>
      <c r="K206" s="233">
        <v>0</v>
      </c>
      <c r="L206" s="233">
        <v>0</v>
      </c>
      <c r="M206" s="233">
        <v>0</v>
      </c>
      <c r="N206" s="233">
        <v>0</v>
      </c>
      <c r="O206" s="233">
        <v>0</v>
      </c>
    </row>
    <row r="207" spans="1:15">
      <c r="A207" s="317"/>
      <c r="B207" s="232" t="s">
        <v>94</v>
      </c>
      <c r="C207" s="233">
        <v>832.3</v>
      </c>
      <c r="D207" s="233">
        <v>290.89999999999998</v>
      </c>
      <c r="E207" s="233">
        <v>194.4</v>
      </c>
      <c r="F207" s="233">
        <v>497</v>
      </c>
      <c r="G207" s="233">
        <v>816.9</v>
      </c>
      <c r="H207" s="233">
        <v>125</v>
      </c>
      <c r="I207" s="233">
        <v>443.9</v>
      </c>
      <c r="J207" s="233">
        <v>358.3</v>
      </c>
      <c r="K207" s="233">
        <v>432.5</v>
      </c>
      <c r="L207" s="233">
        <v>1070.2</v>
      </c>
      <c r="M207" s="233">
        <v>341.2</v>
      </c>
      <c r="N207" s="233">
        <v>2480.9</v>
      </c>
      <c r="O207" s="233">
        <v>386</v>
      </c>
    </row>
    <row r="208" spans="1:15">
      <c r="A208" s="317"/>
      <c r="B208" s="232" t="s">
        <v>24</v>
      </c>
      <c r="C208" s="233">
        <v>13484.6</v>
      </c>
      <c r="D208" s="233">
        <v>5414.7</v>
      </c>
      <c r="E208" s="233">
        <v>14321.4</v>
      </c>
      <c r="F208" s="233">
        <v>13326.5</v>
      </c>
      <c r="G208" s="233">
        <v>15964.6</v>
      </c>
      <c r="H208" s="233">
        <v>13328.5</v>
      </c>
      <c r="I208" s="233">
        <v>12856.8</v>
      </c>
      <c r="J208" s="233">
        <v>13944.3</v>
      </c>
      <c r="K208" s="233">
        <v>33982.699999999997</v>
      </c>
      <c r="L208" s="233">
        <v>25365.1</v>
      </c>
      <c r="M208" s="233">
        <v>15370.8</v>
      </c>
      <c r="N208" s="233">
        <v>17195.400000000001</v>
      </c>
      <c r="O208" s="233">
        <v>28336.3</v>
      </c>
    </row>
    <row r="209" spans="1:15">
      <c r="A209" s="317"/>
      <c r="B209" s="232" t="s">
        <v>101</v>
      </c>
      <c r="C209" s="233">
        <v>1323.9</v>
      </c>
      <c r="D209" s="233">
        <v>1039.3</v>
      </c>
      <c r="E209" s="233">
        <v>355</v>
      </c>
      <c r="F209" s="233">
        <v>103.5</v>
      </c>
      <c r="G209" s="233">
        <v>58.1</v>
      </c>
      <c r="H209" s="233">
        <v>122.6</v>
      </c>
      <c r="I209" s="233">
        <v>51.4</v>
      </c>
      <c r="J209" s="233">
        <v>52.2</v>
      </c>
      <c r="K209" s="233">
        <v>275.39999999999998</v>
      </c>
      <c r="L209" s="233">
        <v>217.3</v>
      </c>
      <c r="M209" s="233">
        <v>69.7</v>
      </c>
      <c r="N209" s="233">
        <v>77</v>
      </c>
      <c r="O209" s="233">
        <v>129.1</v>
      </c>
    </row>
    <row r="210" spans="1:15">
      <c r="A210" s="317"/>
      <c r="B210" s="232" t="s">
        <v>95</v>
      </c>
      <c r="C210" s="233">
        <v>46979.1</v>
      </c>
      <c r="D210" s="233">
        <v>71354.3</v>
      </c>
      <c r="E210" s="233">
        <v>86677.9</v>
      </c>
      <c r="F210" s="233">
        <v>34613.599999999999</v>
      </c>
      <c r="G210" s="233">
        <v>64569.1</v>
      </c>
      <c r="H210" s="233">
        <v>23776.9</v>
      </c>
      <c r="I210" s="233">
        <v>35974.9</v>
      </c>
      <c r="J210" s="233">
        <v>26551</v>
      </c>
      <c r="K210" s="233">
        <v>34800.5</v>
      </c>
      <c r="L210" s="233">
        <v>37208.400000000001</v>
      </c>
      <c r="M210" s="233">
        <v>27553.5</v>
      </c>
      <c r="N210" s="233">
        <v>34176.699999999997</v>
      </c>
      <c r="O210" s="233">
        <v>40939.4</v>
      </c>
    </row>
    <row r="211" spans="1:15">
      <c r="A211" s="317"/>
      <c r="B211" s="232" t="s">
        <v>104</v>
      </c>
      <c r="C211" s="233">
        <v>0</v>
      </c>
      <c r="D211" s="233">
        <v>0</v>
      </c>
      <c r="E211" s="233">
        <v>0</v>
      </c>
      <c r="F211" s="233">
        <v>0</v>
      </c>
      <c r="G211" s="233">
        <v>0</v>
      </c>
      <c r="H211" s="233">
        <v>0</v>
      </c>
      <c r="I211" s="233">
        <v>0</v>
      </c>
      <c r="J211" s="233">
        <v>0</v>
      </c>
      <c r="K211" s="233">
        <v>0</v>
      </c>
      <c r="L211" s="233">
        <v>0</v>
      </c>
      <c r="M211" s="233">
        <v>0</v>
      </c>
      <c r="N211" s="233">
        <v>0</v>
      </c>
      <c r="O211" s="233">
        <v>0</v>
      </c>
    </row>
    <row r="212" spans="1:15">
      <c r="A212" s="317"/>
      <c r="B212" s="232" t="s">
        <v>98</v>
      </c>
      <c r="C212" s="233">
        <v>42652.2</v>
      </c>
      <c r="D212" s="233">
        <v>62656.2</v>
      </c>
      <c r="E212" s="233">
        <v>19233.2</v>
      </c>
      <c r="F212" s="233">
        <v>11466.2</v>
      </c>
      <c r="G212" s="233">
        <v>40532</v>
      </c>
      <c r="H212" s="233">
        <v>9080.2999999999993</v>
      </c>
      <c r="I212" s="233">
        <v>5660.8</v>
      </c>
      <c r="J212" s="233">
        <v>2617.8000000000002</v>
      </c>
      <c r="K212" s="233">
        <v>8747.7000000000007</v>
      </c>
      <c r="L212" s="233">
        <v>34251.5</v>
      </c>
      <c r="M212" s="233">
        <v>13534.1</v>
      </c>
      <c r="N212" s="233">
        <v>21256.400000000001</v>
      </c>
      <c r="O212" s="233">
        <v>6907.9</v>
      </c>
    </row>
    <row r="213" spans="1:15">
      <c r="A213" s="317"/>
      <c r="B213" s="232" t="s">
        <v>105</v>
      </c>
      <c r="C213" s="233">
        <v>0</v>
      </c>
      <c r="D213" s="233">
        <v>0</v>
      </c>
      <c r="E213" s="233">
        <v>0</v>
      </c>
      <c r="F213" s="233">
        <v>0</v>
      </c>
      <c r="G213" s="233">
        <v>0</v>
      </c>
      <c r="H213" s="233">
        <v>0</v>
      </c>
      <c r="I213" s="233">
        <v>0</v>
      </c>
      <c r="J213" s="233">
        <v>0</v>
      </c>
      <c r="K213" s="233">
        <v>0</v>
      </c>
      <c r="L213" s="233">
        <v>0</v>
      </c>
      <c r="M213" s="233">
        <v>0</v>
      </c>
      <c r="N213" s="233">
        <v>0</v>
      </c>
      <c r="O213" s="233">
        <v>0</v>
      </c>
    </row>
    <row r="214" spans="1:15">
      <c r="A214" s="317"/>
      <c r="B214" s="232" t="s">
        <v>20</v>
      </c>
      <c r="C214" s="233">
        <v>27436.3</v>
      </c>
      <c r="D214" s="233">
        <v>15580.6</v>
      </c>
      <c r="E214" s="233">
        <v>20084.3</v>
      </c>
      <c r="F214" s="233">
        <v>29022</v>
      </c>
      <c r="G214" s="233">
        <v>33588.6</v>
      </c>
      <c r="H214" s="233">
        <v>27743.8</v>
      </c>
      <c r="I214" s="233">
        <v>6548.3</v>
      </c>
      <c r="J214" s="233">
        <v>4480.2</v>
      </c>
      <c r="K214" s="233">
        <v>20855.2</v>
      </c>
      <c r="L214" s="233">
        <v>4376.1000000000004</v>
      </c>
      <c r="M214" s="233">
        <v>10283</v>
      </c>
      <c r="N214" s="233">
        <v>6504.8</v>
      </c>
      <c r="O214" s="233">
        <v>4462.8999999999996</v>
      </c>
    </row>
    <row r="215" spans="1:15">
      <c r="A215" s="317"/>
      <c r="B215" s="232" t="s">
        <v>106</v>
      </c>
      <c r="C215" s="233">
        <v>0</v>
      </c>
      <c r="D215" s="233">
        <v>0</v>
      </c>
      <c r="E215" s="233">
        <v>0</v>
      </c>
      <c r="F215" s="233">
        <v>0</v>
      </c>
      <c r="G215" s="233">
        <v>0</v>
      </c>
      <c r="H215" s="233">
        <v>0</v>
      </c>
      <c r="I215" s="233">
        <v>0</v>
      </c>
      <c r="J215" s="233">
        <v>0</v>
      </c>
      <c r="K215" s="233">
        <v>0</v>
      </c>
      <c r="L215" s="233">
        <v>0</v>
      </c>
      <c r="M215" s="233">
        <v>0</v>
      </c>
      <c r="N215" s="233">
        <v>0</v>
      </c>
      <c r="O215" s="233">
        <v>0</v>
      </c>
    </row>
    <row r="216" spans="1:15">
      <c r="A216" s="317"/>
      <c r="B216" s="232" t="s">
        <v>93</v>
      </c>
      <c r="C216" s="233">
        <v>0</v>
      </c>
      <c r="D216" s="233">
        <v>0.4</v>
      </c>
      <c r="E216" s="233">
        <v>0</v>
      </c>
      <c r="F216" s="233">
        <v>198.3</v>
      </c>
      <c r="G216" s="233">
        <v>234.5</v>
      </c>
      <c r="H216" s="233">
        <v>576.9</v>
      </c>
      <c r="I216" s="233">
        <v>0</v>
      </c>
      <c r="J216" s="233">
        <v>0</v>
      </c>
      <c r="K216" s="233">
        <v>39.1</v>
      </c>
      <c r="L216" s="233">
        <v>0</v>
      </c>
      <c r="M216" s="233">
        <v>0</v>
      </c>
      <c r="N216" s="233">
        <v>0</v>
      </c>
      <c r="O216" s="233">
        <v>34.4</v>
      </c>
    </row>
    <row r="217" spans="1:15">
      <c r="A217" s="317"/>
      <c r="B217" s="232" t="s">
        <v>102</v>
      </c>
      <c r="C217" s="233">
        <v>295.89999999999998</v>
      </c>
      <c r="D217" s="233">
        <v>126.6</v>
      </c>
      <c r="E217" s="233">
        <v>0</v>
      </c>
      <c r="F217" s="233">
        <v>0</v>
      </c>
      <c r="G217" s="233">
        <v>0</v>
      </c>
      <c r="H217" s="233">
        <v>0</v>
      </c>
      <c r="I217" s="233">
        <v>0</v>
      </c>
      <c r="J217" s="233">
        <v>0</v>
      </c>
      <c r="K217" s="233">
        <v>0</v>
      </c>
      <c r="L217" s="233">
        <v>0</v>
      </c>
      <c r="M217" s="233">
        <v>0</v>
      </c>
      <c r="N217" s="233">
        <v>19.8</v>
      </c>
      <c r="O217" s="233">
        <v>0</v>
      </c>
    </row>
    <row r="218" spans="1:15">
      <c r="A218" s="317"/>
      <c r="B218" s="232" t="s">
        <v>107</v>
      </c>
      <c r="C218" s="233">
        <v>0</v>
      </c>
      <c r="D218" s="233">
        <v>0</v>
      </c>
      <c r="E218" s="233">
        <v>0</v>
      </c>
      <c r="F218" s="233">
        <v>0</v>
      </c>
      <c r="G218" s="233">
        <v>0</v>
      </c>
      <c r="H218" s="233">
        <v>0</v>
      </c>
      <c r="I218" s="233">
        <v>0</v>
      </c>
      <c r="J218" s="233">
        <v>0</v>
      </c>
      <c r="K218" s="233">
        <v>0</v>
      </c>
      <c r="L218" s="233">
        <v>0</v>
      </c>
      <c r="M218" s="233">
        <v>0</v>
      </c>
      <c r="N218" s="233">
        <v>0</v>
      </c>
      <c r="O218" s="233">
        <v>0</v>
      </c>
    </row>
    <row r="219" spans="1:15">
      <c r="A219" s="317"/>
      <c r="B219" s="232" t="s">
        <v>99</v>
      </c>
      <c r="C219" s="233">
        <v>0.1</v>
      </c>
      <c r="D219" s="233">
        <v>22.2</v>
      </c>
      <c r="E219" s="233">
        <v>0</v>
      </c>
      <c r="F219" s="233">
        <v>0</v>
      </c>
      <c r="G219" s="233">
        <v>1.7</v>
      </c>
      <c r="H219" s="233">
        <v>0.4</v>
      </c>
      <c r="I219" s="233">
        <v>0</v>
      </c>
      <c r="J219" s="233">
        <v>4.2</v>
      </c>
      <c r="K219" s="233">
        <v>120.5</v>
      </c>
      <c r="L219" s="233">
        <v>112</v>
      </c>
      <c r="M219" s="233">
        <v>11.9</v>
      </c>
      <c r="N219" s="233">
        <v>89.3</v>
      </c>
      <c r="O219" s="233">
        <v>32.700000000000003</v>
      </c>
    </row>
    <row r="220" spans="1:15">
      <c r="A220" s="317"/>
      <c r="B220" s="232" t="s">
        <v>100</v>
      </c>
      <c r="C220" s="233">
        <v>23.4</v>
      </c>
      <c r="D220" s="233">
        <v>105.4</v>
      </c>
      <c r="E220" s="233">
        <v>61.3</v>
      </c>
      <c r="F220" s="233">
        <v>0</v>
      </c>
      <c r="G220" s="233">
        <v>9.5</v>
      </c>
      <c r="H220" s="233">
        <v>1</v>
      </c>
      <c r="I220" s="233">
        <v>36.299999999999997</v>
      </c>
      <c r="J220" s="233">
        <v>28.6</v>
      </c>
      <c r="K220" s="233">
        <v>16.899999999999999</v>
      </c>
      <c r="L220" s="233">
        <v>4.5</v>
      </c>
      <c r="M220" s="233">
        <v>0</v>
      </c>
      <c r="N220" s="233">
        <v>0</v>
      </c>
      <c r="O220" s="233">
        <v>0</v>
      </c>
    </row>
    <row r="221" spans="1:15">
      <c r="A221" s="317"/>
      <c r="B221" s="232" t="s">
        <v>97</v>
      </c>
      <c r="C221" s="233">
        <v>17846.5</v>
      </c>
      <c r="D221" s="233">
        <v>21298.3</v>
      </c>
      <c r="E221" s="233">
        <v>15895.8</v>
      </c>
      <c r="F221" s="233">
        <v>13686.1</v>
      </c>
      <c r="G221" s="233">
        <v>9651</v>
      </c>
      <c r="H221" s="233">
        <v>3658.6</v>
      </c>
      <c r="I221" s="233">
        <v>3239.8</v>
      </c>
      <c r="J221" s="233">
        <v>4317.3999999999996</v>
      </c>
      <c r="K221" s="233">
        <v>2614.1</v>
      </c>
      <c r="L221" s="233">
        <v>8448.7000000000007</v>
      </c>
      <c r="M221" s="233">
        <v>3198.9</v>
      </c>
      <c r="N221" s="233">
        <v>7509.1</v>
      </c>
      <c r="O221" s="233">
        <v>5705.4</v>
      </c>
    </row>
    <row r="222" spans="1:15">
      <c r="A222" s="317"/>
      <c r="B222" s="234" t="s">
        <v>0</v>
      </c>
      <c r="C222" s="236">
        <v>150874.29999999999</v>
      </c>
      <c r="D222" s="236">
        <v>177888.9</v>
      </c>
      <c r="E222" s="236">
        <v>156823.29999999999</v>
      </c>
      <c r="F222" s="236">
        <v>102913.2</v>
      </c>
      <c r="G222" s="236">
        <v>165426</v>
      </c>
      <c r="H222" s="236">
        <v>78414</v>
      </c>
      <c r="I222" s="236">
        <v>64812.2</v>
      </c>
      <c r="J222" s="236">
        <v>52354</v>
      </c>
      <c r="K222" s="236">
        <v>101884.6</v>
      </c>
      <c r="L222" s="236">
        <v>111053.8</v>
      </c>
      <c r="M222" s="236">
        <v>70363.100000000006</v>
      </c>
      <c r="N222" s="236">
        <v>89309.4</v>
      </c>
      <c r="O222" s="236">
        <v>86934.1</v>
      </c>
    </row>
    <row r="223" spans="1:15">
      <c r="A223" s="231" t="s">
        <v>146</v>
      </c>
      <c r="B223" s="309" t="s">
        <v>3</v>
      </c>
      <c r="C223" s="310"/>
      <c r="D223" s="310"/>
      <c r="E223" s="310"/>
      <c r="F223" s="310"/>
      <c r="G223" s="310"/>
      <c r="H223" s="310"/>
      <c r="I223" s="310"/>
      <c r="J223" s="310"/>
      <c r="K223" s="310"/>
      <c r="L223" s="310"/>
      <c r="M223" s="310"/>
      <c r="N223" s="310"/>
    </row>
    <row r="224" spans="1:15">
      <c r="A224" s="231" t="s">
        <v>108</v>
      </c>
      <c r="B224" s="286" t="s">
        <v>287</v>
      </c>
      <c r="C224" s="286" t="s">
        <v>292</v>
      </c>
      <c r="D224" s="286" t="s">
        <v>297</v>
      </c>
      <c r="E224" s="286" t="s">
        <v>302</v>
      </c>
      <c r="F224" s="286" t="s">
        <v>304</v>
      </c>
      <c r="G224" s="286" t="s">
        <v>306</v>
      </c>
      <c r="H224" s="286" t="s">
        <v>313</v>
      </c>
      <c r="I224" s="286" t="s">
        <v>315</v>
      </c>
      <c r="J224" s="286" t="s">
        <v>317</v>
      </c>
      <c r="K224" s="286" t="s">
        <v>319</v>
      </c>
      <c r="L224" s="286" t="s">
        <v>325</v>
      </c>
      <c r="M224" s="286" t="s">
        <v>328</v>
      </c>
      <c r="N224" s="286" t="s">
        <v>330</v>
      </c>
    </row>
    <row r="225" spans="1:15">
      <c r="A225" s="292" t="s">
        <v>30</v>
      </c>
      <c r="B225" s="287"/>
      <c r="C225" s="287"/>
      <c r="D225" s="287"/>
      <c r="E225" s="287"/>
      <c r="F225" s="287"/>
      <c r="G225" s="287"/>
      <c r="H225" s="287"/>
      <c r="I225" s="287"/>
      <c r="J225" s="287"/>
      <c r="K225" s="287"/>
      <c r="L225" s="287"/>
      <c r="M225" s="287"/>
      <c r="N225" s="287"/>
    </row>
    <row r="226" spans="1:15">
      <c r="A226" s="232" t="s">
        <v>150</v>
      </c>
      <c r="B226" s="213">
        <v>86.006234750100006</v>
      </c>
      <c r="C226" s="213">
        <v>42.794587783799997</v>
      </c>
      <c r="D226" s="213">
        <v>57.959635929699999</v>
      </c>
      <c r="E226" s="213">
        <v>79.950315022699996</v>
      </c>
      <c r="F226" s="213">
        <v>86.275985979300003</v>
      </c>
      <c r="G226" s="213">
        <v>95.533937782600006</v>
      </c>
      <c r="H226" s="213">
        <v>103.90109947249999</v>
      </c>
      <c r="I226" s="213">
        <v>114.935433015</v>
      </c>
      <c r="J226" s="213">
        <v>170.42318296529999</v>
      </c>
      <c r="K226" s="213">
        <v>240.80817959250001</v>
      </c>
      <c r="L226" s="213">
        <v>225.2778716931</v>
      </c>
      <c r="M226" s="213">
        <v>286.1835643686</v>
      </c>
      <c r="N226" s="213">
        <v>246.24741002729999</v>
      </c>
    </row>
    <row r="227" spans="1:15">
      <c r="A227" s="232" t="s">
        <v>151</v>
      </c>
      <c r="B227" s="213">
        <v>33.638654760999998</v>
      </c>
      <c r="C227" s="213">
        <v>11.445207956000001</v>
      </c>
      <c r="D227" s="213">
        <v>24.629684491999999</v>
      </c>
      <c r="E227" s="213">
        <v>47.342571020999998</v>
      </c>
      <c r="F227" s="213">
        <v>38.654695694799997</v>
      </c>
      <c r="G227" s="213">
        <v>60.991801974099999</v>
      </c>
      <c r="H227" s="213">
        <v>68.295439593200001</v>
      </c>
      <c r="I227" s="213">
        <v>77.530400542500004</v>
      </c>
      <c r="J227" s="213">
        <v>117.7213000787</v>
      </c>
      <c r="K227" s="213">
        <v>94.850129396699998</v>
      </c>
      <c r="L227" s="213">
        <v>129.243849404</v>
      </c>
      <c r="M227" s="213">
        <v>124.5650575415</v>
      </c>
      <c r="N227" s="213">
        <v>152.43730239339999</v>
      </c>
    </row>
    <row r="228" spans="1:15">
      <c r="A228" s="232" t="s">
        <v>151</v>
      </c>
      <c r="B228" s="213">
        <v>33.638654760999998</v>
      </c>
      <c r="C228" s="213">
        <v>11.445207956000001</v>
      </c>
      <c r="D228" s="213">
        <v>24.629684491999999</v>
      </c>
      <c r="E228" s="213">
        <v>47.342571020999998</v>
      </c>
      <c r="F228" s="213">
        <v>38.654695694799997</v>
      </c>
      <c r="G228" s="213">
        <v>60.991801974099999</v>
      </c>
      <c r="H228" s="213">
        <v>68.295439593200001</v>
      </c>
      <c r="I228" s="213">
        <v>77.530400542500004</v>
      </c>
      <c r="J228" s="213">
        <v>117.7213000787</v>
      </c>
      <c r="K228" s="213">
        <v>94.850129396699998</v>
      </c>
      <c r="L228" s="213">
        <v>129.243849404</v>
      </c>
      <c r="M228" s="213">
        <v>124.5650575415</v>
      </c>
      <c r="N228" s="213">
        <v>152.43730239339999</v>
      </c>
    </row>
    <row r="231" spans="1:15">
      <c r="C231" s="249">
        <v>-1</v>
      </c>
      <c r="D231" s="249"/>
      <c r="E231" s="249"/>
      <c r="F231" s="249"/>
      <c r="G231" s="249"/>
      <c r="H231" s="249"/>
      <c r="I231" s="249"/>
      <c r="J231" s="249"/>
      <c r="K231" s="249"/>
      <c r="L231" s="249"/>
      <c r="M231" s="249"/>
      <c r="N231" s="249"/>
      <c r="O231" s="249">
        <f>O246+O256</f>
        <v>250230.39999999999</v>
      </c>
    </row>
    <row r="232" spans="1:15">
      <c r="C232" s="249"/>
    </row>
    <row r="233" spans="1:15">
      <c r="A233" s="98" t="s">
        <v>300</v>
      </c>
      <c r="C233" s="134" t="str">
        <f>MID(C235,6,1)</f>
        <v>E</v>
      </c>
      <c r="D233" s="134" t="str">
        <f t="shared" ref="D233:O233" si="7">MID(D235,6,1)</f>
        <v>F</v>
      </c>
      <c r="E233" s="134" t="str">
        <f t="shared" si="7"/>
        <v>M</v>
      </c>
      <c r="F233" s="134" t="str">
        <f t="shared" si="7"/>
        <v>A</v>
      </c>
      <c r="G233" s="134" t="str">
        <f t="shared" si="7"/>
        <v>M</v>
      </c>
      <c r="H233" s="134" t="str">
        <f t="shared" si="7"/>
        <v>J</v>
      </c>
      <c r="I233" s="134" t="str">
        <f t="shared" si="7"/>
        <v>J</v>
      </c>
      <c r="J233" s="134" t="str">
        <f t="shared" si="7"/>
        <v>A</v>
      </c>
      <c r="K233" s="134" t="str">
        <f t="shared" si="7"/>
        <v>S</v>
      </c>
      <c r="L233" s="134" t="str">
        <f t="shared" si="7"/>
        <v>O</v>
      </c>
      <c r="M233" s="134" t="str">
        <f t="shared" si="7"/>
        <v>N</v>
      </c>
      <c r="N233" s="134" t="str">
        <f t="shared" si="7"/>
        <v>D</v>
      </c>
      <c r="O233" s="134" t="str">
        <f t="shared" si="7"/>
        <v>E</v>
      </c>
    </row>
    <row r="234" spans="1:15">
      <c r="A234" s="212"/>
      <c r="B234" s="212" t="s">
        <v>30</v>
      </c>
      <c r="C234" s="314" t="s">
        <v>269</v>
      </c>
      <c r="D234" s="315"/>
      <c r="E234" s="315"/>
      <c r="F234" s="315"/>
      <c r="G234" s="315"/>
      <c r="H234" s="315"/>
      <c r="I234" s="315"/>
      <c r="J234" s="315"/>
      <c r="K234" s="315"/>
      <c r="L234" s="315"/>
      <c r="M234" s="315"/>
      <c r="N234" s="315"/>
      <c r="O234" s="315"/>
    </row>
    <row r="235" spans="1:15">
      <c r="A235" s="212"/>
      <c r="B235" s="212" t="s">
        <v>108</v>
      </c>
      <c r="C235" s="282" t="s">
        <v>287</v>
      </c>
      <c r="D235" s="282" t="s">
        <v>292</v>
      </c>
      <c r="E235" s="282" t="s">
        <v>297</v>
      </c>
      <c r="F235" s="282" t="s">
        <v>302</v>
      </c>
      <c r="G235" s="282" t="s">
        <v>304</v>
      </c>
      <c r="H235" s="282" t="s">
        <v>306</v>
      </c>
      <c r="I235" s="282" t="s">
        <v>313</v>
      </c>
      <c r="J235" s="282" t="s">
        <v>315</v>
      </c>
      <c r="K235" s="282" t="s">
        <v>317</v>
      </c>
      <c r="L235" s="282" t="s">
        <v>319</v>
      </c>
      <c r="M235" s="282" t="s">
        <v>325</v>
      </c>
      <c r="N235" s="282" t="s">
        <v>328</v>
      </c>
      <c r="O235" s="282" t="s">
        <v>330</v>
      </c>
    </row>
    <row r="236" spans="1:15">
      <c r="A236" s="212" t="s">
        <v>147</v>
      </c>
      <c r="B236" s="212" t="s">
        <v>148</v>
      </c>
      <c r="C236" s="283"/>
      <c r="D236" s="283"/>
      <c r="E236" s="283"/>
      <c r="F236" s="283"/>
      <c r="G236" s="283"/>
      <c r="H236" s="283"/>
      <c r="I236" s="283"/>
      <c r="J236" s="283"/>
      <c r="K236" s="283"/>
      <c r="L236" s="283"/>
      <c r="M236" s="283"/>
      <c r="N236" s="283"/>
      <c r="O236" s="283"/>
    </row>
    <row r="237" spans="1:15">
      <c r="A237" s="320" t="s">
        <v>92</v>
      </c>
      <c r="B237" s="232" t="s">
        <v>94</v>
      </c>
      <c r="C237" s="233">
        <v>7444</v>
      </c>
      <c r="D237" s="233">
        <v>80.8</v>
      </c>
      <c r="E237" s="233">
        <v>40</v>
      </c>
      <c r="F237" s="233">
        <v>1272</v>
      </c>
      <c r="G237" s="233">
        <v>1218</v>
      </c>
      <c r="H237" s="233">
        <v>2620</v>
      </c>
      <c r="I237" s="233">
        <v>3730</v>
      </c>
      <c r="J237" s="233">
        <v>2239.6</v>
      </c>
      <c r="K237" s="233">
        <v>2513.5</v>
      </c>
      <c r="L237" s="233">
        <v>6371.9</v>
      </c>
      <c r="M237" s="233">
        <v>7794.3</v>
      </c>
      <c r="N237" s="233">
        <v>7972.1</v>
      </c>
      <c r="O237" s="233">
        <v>6570.2</v>
      </c>
    </row>
    <row r="238" spans="1:15">
      <c r="A238" s="317"/>
      <c r="B238" s="232" t="s">
        <v>24</v>
      </c>
      <c r="C238" s="233">
        <v>126506.9</v>
      </c>
      <c r="D238" s="233">
        <v>24841.5</v>
      </c>
      <c r="E238" s="233">
        <v>48251</v>
      </c>
      <c r="F238" s="233">
        <v>90553.5</v>
      </c>
      <c r="G238" s="233">
        <v>65765</v>
      </c>
      <c r="H238" s="233">
        <v>105576.1</v>
      </c>
      <c r="I238" s="233">
        <v>121314.8</v>
      </c>
      <c r="J238" s="233">
        <v>223722.7</v>
      </c>
      <c r="K238" s="233">
        <v>130905.60000000001</v>
      </c>
      <c r="L238" s="233">
        <v>113565.2</v>
      </c>
      <c r="M238" s="233">
        <v>260394.8</v>
      </c>
      <c r="N238" s="233">
        <v>169088.6</v>
      </c>
      <c r="O238" s="233">
        <v>126286.6</v>
      </c>
    </row>
    <row r="239" spans="1:15">
      <c r="A239" s="317"/>
      <c r="B239" s="232" t="s">
        <v>101</v>
      </c>
      <c r="C239" s="233">
        <v>6978.7</v>
      </c>
      <c r="D239" s="233">
        <v>1216</v>
      </c>
      <c r="E239" s="233">
        <v>165.1</v>
      </c>
      <c r="F239" s="233">
        <v>28</v>
      </c>
      <c r="G239" s="233">
        <v>840.7</v>
      </c>
      <c r="H239" s="233">
        <v>5187.8</v>
      </c>
      <c r="I239" s="233">
        <v>5025</v>
      </c>
      <c r="J239" s="233">
        <v>5084</v>
      </c>
      <c r="K239" s="233">
        <v>1691.3</v>
      </c>
      <c r="L239" s="233">
        <v>2101.6</v>
      </c>
      <c r="M239" s="233">
        <v>4761.8999999999996</v>
      </c>
      <c r="N239" s="233">
        <v>4082.4</v>
      </c>
      <c r="O239" s="233">
        <v>3356.8</v>
      </c>
    </row>
    <row r="240" spans="1:15">
      <c r="A240" s="317"/>
      <c r="B240" s="232" t="s">
        <v>95</v>
      </c>
      <c r="C240" s="233">
        <v>20802.599999999999</v>
      </c>
      <c r="D240" s="233">
        <v>17221.099999999999</v>
      </c>
      <c r="E240" s="233">
        <v>23774.6</v>
      </c>
      <c r="F240" s="233">
        <v>11321.6</v>
      </c>
      <c r="G240" s="233">
        <v>8400.9</v>
      </c>
      <c r="H240" s="233">
        <v>1697</v>
      </c>
      <c r="I240" s="233">
        <v>3708.5</v>
      </c>
      <c r="J240" s="233">
        <v>13015.2</v>
      </c>
      <c r="K240" s="233">
        <v>4917</v>
      </c>
      <c r="L240" s="233">
        <v>7861</v>
      </c>
      <c r="M240" s="233">
        <v>8865.5</v>
      </c>
      <c r="N240" s="233">
        <v>14411.7</v>
      </c>
      <c r="O240" s="233">
        <v>13716.6</v>
      </c>
    </row>
    <row r="241" spans="1:16">
      <c r="A241" s="317"/>
      <c r="B241" s="232" t="s">
        <v>98</v>
      </c>
      <c r="C241" s="233">
        <v>13159.6</v>
      </c>
      <c r="D241" s="233">
        <v>13957</v>
      </c>
      <c r="E241" s="233">
        <v>9419.7999999999993</v>
      </c>
      <c r="F241" s="233">
        <v>7721.9</v>
      </c>
      <c r="G241" s="233">
        <v>9305.2000000000007</v>
      </c>
      <c r="H241" s="233">
        <v>12843.8</v>
      </c>
      <c r="I241" s="233">
        <v>12369.9</v>
      </c>
      <c r="J241" s="233">
        <v>12519</v>
      </c>
      <c r="K241" s="233">
        <v>6277.1</v>
      </c>
      <c r="L241" s="233">
        <v>6030.7</v>
      </c>
      <c r="M241" s="233">
        <v>22305.4</v>
      </c>
      <c r="N241" s="233">
        <v>14056.2</v>
      </c>
      <c r="O241" s="233">
        <v>18556.099999999999</v>
      </c>
    </row>
    <row r="242" spans="1:16">
      <c r="A242" s="317"/>
      <c r="B242" s="232" t="s">
        <v>20</v>
      </c>
      <c r="C242" s="233">
        <v>68727.899999999994</v>
      </c>
      <c r="D242" s="233">
        <v>13816.2</v>
      </c>
      <c r="E242" s="233">
        <v>36880.199999999997</v>
      </c>
      <c r="F242" s="233">
        <v>31277.5</v>
      </c>
      <c r="G242" s="233">
        <v>13438.2</v>
      </c>
      <c r="H242" s="233">
        <v>33778.9</v>
      </c>
      <c r="I242" s="233">
        <v>30030.1</v>
      </c>
      <c r="J242" s="233">
        <v>25553.5</v>
      </c>
      <c r="K242" s="233">
        <v>8332.4</v>
      </c>
      <c r="L242" s="233">
        <v>12656.8</v>
      </c>
      <c r="M242" s="233">
        <v>37370.699999999997</v>
      </c>
      <c r="N242" s="233">
        <v>37289.699999999997</v>
      </c>
      <c r="O242" s="233">
        <v>44421.9</v>
      </c>
    </row>
    <row r="243" spans="1:16">
      <c r="A243" s="317"/>
      <c r="B243" s="232" t="s">
        <v>93</v>
      </c>
      <c r="C243" s="233">
        <v>0</v>
      </c>
      <c r="D243" s="233">
        <v>518.29999999999995</v>
      </c>
      <c r="E243" s="233">
        <v>0</v>
      </c>
      <c r="F243" s="233">
        <v>355</v>
      </c>
      <c r="G243" s="233">
        <v>143</v>
      </c>
      <c r="H243" s="233">
        <v>555</v>
      </c>
      <c r="I243" s="233">
        <v>967.6</v>
      </c>
      <c r="J243" s="233">
        <v>0</v>
      </c>
      <c r="K243" s="233">
        <v>87</v>
      </c>
      <c r="L243" s="233">
        <v>0</v>
      </c>
      <c r="M243" s="233">
        <v>0</v>
      </c>
      <c r="N243" s="233">
        <v>1050</v>
      </c>
      <c r="O243" s="233">
        <v>42</v>
      </c>
    </row>
    <row r="244" spans="1:16">
      <c r="A244" s="317"/>
      <c r="B244" s="232" t="s">
        <v>99</v>
      </c>
      <c r="C244" s="233">
        <v>0</v>
      </c>
      <c r="D244" s="233">
        <v>0</v>
      </c>
      <c r="E244" s="233">
        <v>0</v>
      </c>
      <c r="F244" s="233">
        <v>0</v>
      </c>
      <c r="G244" s="233">
        <v>0</v>
      </c>
      <c r="H244" s="233">
        <v>0</v>
      </c>
      <c r="I244" s="233">
        <v>0</v>
      </c>
      <c r="J244" s="233">
        <v>57</v>
      </c>
      <c r="K244" s="233">
        <v>26</v>
      </c>
      <c r="L244" s="233">
        <v>469.9</v>
      </c>
      <c r="M244" s="233">
        <v>1030.5999999999999</v>
      </c>
      <c r="N244" s="233">
        <v>631.20000000000005</v>
      </c>
      <c r="O244" s="233">
        <v>928.6</v>
      </c>
    </row>
    <row r="245" spans="1:16">
      <c r="A245" s="317"/>
      <c r="B245" s="232" t="s">
        <v>97</v>
      </c>
      <c r="C245" s="233">
        <v>32220.5</v>
      </c>
      <c r="D245" s="233">
        <v>16521.3</v>
      </c>
      <c r="E245" s="233">
        <v>10235.700000000001</v>
      </c>
      <c r="F245" s="233">
        <v>5841.7</v>
      </c>
      <c r="G245" s="233">
        <v>12740.8</v>
      </c>
      <c r="H245" s="233">
        <v>19791.2</v>
      </c>
      <c r="I245" s="233">
        <v>7404.9</v>
      </c>
      <c r="J245" s="233">
        <v>16638.900000000001</v>
      </c>
      <c r="K245" s="233">
        <v>5316.1</v>
      </c>
      <c r="L245" s="233">
        <v>12892.5</v>
      </c>
      <c r="M245" s="233">
        <v>14816.5</v>
      </c>
      <c r="N245" s="233">
        <v>33677.5</v>
      </c>
      <c r="O245" s="233">
        <v>30908.5</v>
      </c>
    </row>
    <row r="246" spans="1:16">
      <c r="A246" s="319"/>
      <c r="B246" s="234" t="s">
        <v>0</v>
      </c>
      <c r="C246" s="236">
        <v>275840.2</v>
      </c>
      <c r="D246" s="236">
        <v>88172.2</v>
      </c>
      <c r="E246" s="236">
        <v>128766.39999999999</v>
      </c>
      <c r="F246" s="236">
        <v>148371.20000000001</v>
      </c>
      <c r="G246" s="236">
        <v>111851.8</v>
      </c>
      <c r="H246" s="236">
        <v>182049.8</v>
      </c>
      <c r="I246" s="236">
        <v>184550.8</v>
      </c>
      <c r="J246" s="236">
        <v>298829.90000000002</v>
      </c>
      <c r="K246" s="236">
        <v>160066</v>
      </c>
      <c r="L246" s="236">
        <v>161949.6</v>
      </c>
      <c r="M246" s="236">
        <v>357339.7</v>
      </c>
      <c r="N246" s="236">
        <v>282259.40000000002</v>
      </c>
      <c r="O246" s="236">
        <v>244787.3</v>
      </c>
    </row>
    <row r="247" spans="1:16">
      <c r="A247" s="316" t="s">
        <v>96</v>
      </c>
      <c r="B247" s="232" t="s">
        <v>103</v>
      </c>
      <c r="C247" s="233">
        <v>0</v>
      </c>
      <c r="D247" s="233">
        <v>0</v>
      </c>
      <c r="E247" s="233">
        <v>0</v>
      </c>
      <c r="F247" s="233">
        <v>0</v>
      </c>
      <c r="G247" s="233">
        <v>0</v>
      </c>
      <c r="H247" s="233">
        <v>0</v>
      </c>
      <c r="I247" s="233">
        <v>0</v>
      </c>
      <c r="J247" s="233">
        <v>0</v>
      </c>
      <c r="K247" s="233">
        <v>0</v>
      </c>
      <c r="L247" s="233">
        <v>0</v>
      </c>
      <c r="M247" s="233">
        <v>2</v>
      </c>
      <c r="N247" s="233">
        <v>0</v>
      </c>
      <c r="O247" s="233">
        <v>0</v>
      </c>
    </row>
    <row r="248" spans="1:16">
      <c r="A248" s="317"/>
      <c r="B248" s="232" t="s">
        <v>94</v>
      </c>
      <c r="C248" s="233">
        <v>624</v>
      </c>
      <c r="D248" s="233">
        <v>808.1</v>
      </c>
      <c r="E248" s="233">
        <v>396</v>
      </c>
      <c r="F248" s="233">
        <v>1103.0999999999999</v>
      </c>
      <c r="G248" s="233">
        <v>1344.9</v>
      </c>
      <c r="H248" s="233">
        <v>90</v>
      </c>
      <c r="I248" s="233">
        <v>1086</v>
      </c>
      <c r="J248" s="233">
        <v>269</v>
      </c>
      <c r="K248" s="233">
        <v>301</v>
      </c>
      <c r="L248" s="233">
        <v>986.1</v>
      </c>
      <c r="M248" s="233">
        <v>189.6</v>
      </c>
      <c r="N248" s="233">
        <v>1762.4</v>
      </c>
      <c r="O248" s="233">
        <v>431.9</v>
      </c>
    </row>
    <row r="249" spans="1:16">
      <c r="A249" s="317"/>
      <c r="B249" s="232" t="s">
        <v>24</v>
      </c>
      <c r="C249" s="233">
        <v>27339.5</v>
      </c>
      <c r="D249" s="233">
        <v>4084.4</v>
      </c>
      <c r="E249" s="233">
        <v>9167.2999999999993</v>
      </c>
      <c r="F249" s="233">
        <v>21109</v>
      </c>
      <c r="G249" s="233">
        <v>6857.9</v>
      </c>
      <c r="H249" s="233">
        <v>6301.3</v>
      </c>
      <c r="I249" s="233">
        <v>8544.1</v>
      </c>
      <c r="J249" s="233">
        <v>6775.2</v>
      </c>
      <c r="K249" s="233">
        <v>25336.5</v>
      </c>
      <c r="L249" s="233">
        <v>11670.3</v>
      </c>
      <c r="M249" s="233">
        <v>4322.2</v>
      </c>
      <c r="N249" s="233">
        <v>10092.700000000001</v>
      </c>
      <c r="O249" s="233">
        <v>16303.5</v>
      </c>
    </row>
    <row r="250" spans="1:16">
      <c r="A250" s="317"/>
      <c r="B250" s="232" t="s">
        <v>101</v>
      </c>
      <c r="C250" s="233">
        <v>701.7</v>
      </c>
      <c r="D250" s="233">
        <v>363.4</v>
      </c>
      <c r="E250" s="233">
        <v>138</v>
      </c>
      <c r="F250" s="233">
        <v>36</v>
      </c>
      <c r="G250" s="233">
        <v>104.3</v>
      </c>
      <c r="H250" s="233">
        <v>611.9</v>
      </c>
      <c r="I250" s="233">
        <v>632.1</v>
      </c>
      <c r="J250" s="233">
        <v>801.3</v>
      </c>
      <c r="K250" s="233">
        <v>2018</v>
      </c>
      <c r="L250" s="233">
        <v>960.4</v>
      </c>
      <c r="M250" s="233">
        <v>260</v>
      </c>
      <c r="N250" s="233">
        <v>511</v>
      </c>
      <c r="O250" s="233">
        <v>603.6</v>
      </c>
    </row>
    <row r="251" spans="1:16">
      <c r="A251" s="317"/>
      <c r="B251" s="232" t="s">
        <v>95</v>
      </c>
      <c r="C251" s="233">
        <v>25190.3</v>
      </c>
      <c r="D251" s="233">
        <v>34203</v>
      </c>
      <c r="E251" s="233">
        <v>42992.3</v>
      </c>
      <c r="F251" s="233">
        <v>31247.5</v>
      </c>
      <c r="G251" s="233">
        <v>45409</v>
      </c>
      <c r="H251" s="233">
        <v>10829.5</v>
      </c>
      <c r="I251" s="233">
        <v>24300.1</v>
      </c>
      <c r="J251" s="233">
        <v>13110.1</v>
      </c>
      <c r="K251" s="233">
        <v>25298.1</v>
      </c>
      <c r="L251" s="233">
        <v>26699.8</v>
      </c>
      <c r="M251" s="233">
        <v>15706.7</v>
      </c>
      <c r="N251" s="233">
        <v>39879.1</v>
      </c>
      <c r="O251" s="233">
        <v>24652</v>
      </c>
    </row>
    <row r="252" spans="1:16">
      <c r="A252" s="317"/>
      <c r="B252" s="232" t="s">
        <v>98</v>
      </c>
      <c r="C252" s="233">
        <v>34060.300000000003</v>
      </c>
      <c r="D252" s="233">
        <v>42936.4</v>
      </c>
      <c r="E252" s="233">
        <v>28996.799999999999</v>
      </c>
      <c r="F252" s="233">
        <v>25533.3</v>
      </c>
      <c r="G252" s="233">
        <v>35527.1</v>
      </c>
      <c r="H252" s="233">
        <v>13421.8</v>
      </c>
      <c r="I252" s="233">
        <v>17519.3</v>
      </c>
      <c r="J252" s="233">
        <v>13483.2</v>
      </c>
      <c r="K252" s="233">
        <v>23328.3</v>
      </c>
      <c r="L252" s="233">
        <v>34355.5</v>
      </c>
      <c r="M252" s="233">
        <v>21872.400000000001</v>
      </c>
      <c r="N252" s="233">
        <v>36105.199999999997</v>
      </c>
      <c r="O252" s="233">
        <v>12996.3</v>
      </c>
    </row>
    <row r="253" spans="1:16">
      <c r="A253" s="317"/>
      <c r="B253" s="232" t="s">
        <v>20</v>
      </c>
      <c r="C253" s="233">
        <v>20705</v>
      </c>
      <c r="D253" s="233">
        <v>25722.799999999999</v>
      </c>
      <c r="E253" s="233">
        <v>12201.4</v>
      </c>
      <c r="F253" s="233">
        <v>23731.599999999999</v>
      </c>
      <c r="G253" s="233">
        <v>37248.6</v>
      </c>
      <c r="H253" s="233">
        <v>19673.599999999999</v>
      </c>
      <c r="I253" s="233">
        <v>8524.2000000000007</v>
      </c>
      <c r="J253" s="233">
        <v>5930</v>
      </c>
      <c r="K253" s="233">
        <v>28317.4</v>
      </c>
      <c r="L253" s="233">
        <v>6189.5</v>
      </c>
      <c r="M253" s="233">
        <v>7879.7</v>
      </c>
      <c r="N253" s="233">
        <v>8975.5</v>
      </c>
      <c r="O253" s="233">
        <v>2005.4</v>
      </c>
    </row>
    <row r="254" spans="1:16">
      <c r="A254" s="317"/>
      <c r="B254" s="232" t="s">
        <v>93</v>
      </c>
      <c r="C254" s="233">
        <v>0</v>
      </c>
      <c r="D254" s="233">
        <v>400</v>
      </c>
      <c r="E254" s="233">
        <v>0</v>
      </c>
      <c r="F254" s="233">
        <v>466.5</v>
      </c>
      <c r="G254" s="233">
        <v>1255</v>
      </c>
      <c r="H254" s="233">
        <v>1892.6</v>
      </c>
      <c r="I254" s="233">
        <v>0</v>
      </c>
      <c r="J254" s="233">
        <v>0</v>
      </c>
      <c r="K254" s="233">
        <v>441</v>
      </c>
      <c r="L254" s="233">
        <v>0</v>
      </c>
      <c r="M254" s="233">
        <v>0</v>
      </c>
      <c r="N254" s="233">
        <v>2589.8000000000002</v>
      </c>
      <c r="O254" s="233">
        <v>25</v>
      </c>
      <c r="P254" s="257"/>
    </row>
    <row r="255" spans="1:16">
      <c r="A255" s="317"/>
      <c r="B255" s="232" t="s">
        <v>99</v>
      </c>
      <c r="C255" s="233">
        <v>0</v>
      </c>
      <c r="D255" s="233">
        <v>0</v>
      </c>
      <c r="E255" s="233">
        <v>0</v>
      </c>
      <c r="F255" s="233">
        <v>0</v>
      </c>
      <c r="G255" s="233">
        <v>0</v>
      </c>
      <c r="H255" s="233">
        <v>0</v>
      </c>
      <c r="I255" s="233">
        <v>0</v>
      </c>
      <c r="J255" s="233">
        <v>58</v>
      </c>
      <c r="K255" s="233">
        <v>400.1</v>
      </c>
      <c r="L255" s="233">
        <v>824.2</v>
      </c>
      <c r="M255" s="233">
        <v>145</v>
      </c>
      <c r="N255" s="233">
        <v>902</v>
      </c>
      <c r="O255" s="233">
        <v>151.9</v>
      </c>
    </row>
    <row r="256" spans="1:16">
      <c r="A256" s="317"/>
      <c r="B256" s="232" t="s">
        <v>97</v>
      </c>
      <c r="C256" s="233">
        <v>15547.2</v>
      </c>
      <c r="D256" s="233">
        <v>18514.3</v>
      </c>
      <c r="E256" s="233">
        <v>11134.6</v>
      </c>
      <c r="F256" s="233">
        <v>13087.8</v>
      </c>
      <c r="G256" s="233">
        <v>5407.1</v>
      </c>
      <c r="H256" s="233">
        <v>2353</v>
      </c>
      <c r="I256" s="233">
        <v>3741.6</v>
      </c>
      <c r="J256" s="233">
        <v>8083.8</v>
      </c>
      <c r="K256" s="233">
        <v>12441</v>
      </c>
      <c r="L256" s="233">
        <v>4935.3999999999996</v>
      </c>
      <c r="M256" s="233">
        <v>4127.7</v>
      </c>
      <c r="N256" s="233">
        <v>13286.1</v>
      </c>
      <c r="O256" s="233">
        <v>5443.1</v>
      </c>
    </row>
    <row r="257" spans="1:15">
      <c r="A257" s="319"/>
      <c r="B257" s="234" t="s">
        <v>0</v>
      </c>
      <c r="C257" s="236">
        <v>124168</v>
      </c>
      <c r="D257" s="236">
        <v>127032.4</v>
      </c>
      <c r="E257" s="236">
        <v>105026.4</v>
      </c>
      <c r="F257" s="236">
        <v>116314.8</v>
      </c>
      <c r="G257" s="236">
        <v>133153.9</v>
      </c>
      <c r="H257" s="236">
        <v>55173.7</v>
      </c>
      <c r="I257" s="236">
        <v>64347.4</v>
      </c>
      <c r="J257" s="236">
        <v>48510.6</v>
      </c>
      <c r="K257" s="236">
        <v>117881.4</v>
      </c>
      <c r="L257" s="236">
        <v>86621.2</v>
      </c>
      <c r="M257" s="236">
        <v>54505.3</v>
      </c>
      <c r="N257" s="236">
        <v>114103.8</v>
      </c>
      <c r="O257" s="236">
        <v>62612.7</v>
      </c>
    </row>
    <row r="258" spans="1:15">
      <c r="A258" s="285"/>
      <c r="B258" s="234" t="s">
        <v>0</v>
      </c>
      <c r="C258" s="260">
        <f>C246+C256</f>
        <v>291387.40000000002</v>
      </c>
      <c r="D258" s="260">
        <f t="shared" ref="D258:O258" si="8">D246+D256</f>
        <v>106686.5</v>
      </c>
      <c r="E258" s="260">
        <f t="shared" si="8"/>
        <v>139901</v>
      </c>
      <c r="F258" s="260">
        <f t="shared" si="8"/>
        <v>161459</v>
      </c>
      <c r="G258" s="260">
        <f t="shared" si="8"/>
        <v>117258.90000000001</v>
      </c>
      <c r="H258" s="260">
        <f t="shared" si="8"/>
        <v>184402.8</v>
      </c>
      <c r="I258" s="260">
        <f t="shared" si="8"/>
        <v>188292.4</v>
      </c>
      <c r="J258" s="260">
        <f t="shared" si="8"/>
        <v>306913.7</v>
      </c>
      <c r="K258" s="260">
        <f t="shared" si="8"/>
        <v>172507</v>
      </c>
      <c r="L258" s="260">
        <f t="shared" si="8"/>
        <v>166885</v>
      </c>
      <c r="M258" s="260">
        <f t="shared" si="8"/>
        <v>361467.4</v>
      </c>
      <c r="N258" s="260">
        <f t="shared" si="8"/>
        <v>295545.5</v>
      </c>
      <c r="O258" s="260">
        <f t="shared" si="8"/>
        <v>250230.39999999999</v>
      </c>
    </row>
    <row r="259" spans="1:15">
      <c r="A259" s="231" t="s">
        <v>146</v>
      </c>
      <c r="B259" s="309" t="s">
        <v>260</v>
      </c>
      <c r="C259" s="310"/>
      <c r="D259" s="310"/>
      <c r="E259" s="310"/>
      <c r="F259" s="310"/>
      <c r="G259" s="310"/>
      <c r="H259" s="310"/>
      <c r="I259" s="310"/>
      <c r="J259" s="310"/>
      <c r="K259" s="310"/>
      <c r="L259" s="310"/>
      <c r="M259" s="310"/>
      <c r="N259" s="310"/>
    </row>
    <row r="260" spans="1:15">
      <c r="A260" s="231" t="s">
        <v>108</v>
      </c>
      <c r="B260" s="286" t="s">
        <v>287</v>
      </c>
      <c r="C260" s="286" t="s">
        <v>292</v>
      </c>
      <c r="D260" s="286" t="s">
        <v>297</v>
      </c>
      <c r="E260" s="286" t="s">
        <v>302</v>
      </c>
      <c r="F260" s="286" t="s">
        <v>304</v>
      </c>
      <c r="G260" s="286" t="s">
        <v>306</v>
      </c>
      <c r="H260" s="286" t="s">
        <v>313</v>
      </c>
      <c r="I260" s="286" t="s">
        <v>315</v>
      </c>
      <c r="J260" s="286" t="s">
        <v>317</v>
      </c>
      <c r="K260" s="286" t="s">
        <v>319</v>
      </c>
      <c r="L260" s="286" t="s">
        <v>325</v>
      </c>
      <c r="M260" s="286" t="s">
        <v>328</v>
      </c>
      <c r="N260" s="286" t="s">
        <v>330</v>
      </c>
    </row>
    <row r="261" spans="1:15">
      <c r="A261" s="292" t="s">
        <v>30</v>
      </c>
      <c r="B261" s="287"/>
      <c r="C261" s="287"/>
      <c r="D261" s="287"/>
      <c r="E261" s="287"/>
      <c r="F261" s="287"/>
      <c r="G261" s="287"/>
      <c r="H261" s="287"/>
      <c r="I261" s="287"/>
      <c r="J261" s="287"/>
      <c r="K261" s="287"/>
      <c r="L261" s="287"/>
      <c r="M261" s="287"/>
      <c r="N261" s="287"/>
    </row>
    <row r="262" spans="1:15">
      <c r="A262" s="232" t="s">
        <v>150</v>
      </c>
      <c r="B262" s="213">
        <v>91.375342974500001</v>
      </c>
      <c r="C262" s="213">
        <v>38.650501809200001</v>
      </c>
      <c r="D262" s="213">
        <v>54.2956114829</v>
      </c>
      <c r="E262" s="213">
        <v>71.592941589099993</v>
      </c>
      <c r="F262" s="213">
        <v>80.794040087499994</v>
      </c>
      <c r="G262" s="213">
        <v>91.918076253999999</v>
      </c>
      <c r="H262" s="213">
        <v>98.235386535000004</v>
      </c>
      <c r="I262" s="213">
        <v>114.0376449442</v>
      </c>
      <c r="J262" s="213">
        <v>157.1654032383</v>
      </c>
      <c r="K262" s="213">
        <v>219.49932259549999</v>
      </c>
      <c r="L262" s="213">
        <v>227.84488664720001</v>
      </c>
      <c r="M262" s="213">
        <v>295.90167021050001</v>
      </c>
      <c r="N262" s="213">
        <v>233.109079568</v>
      </c>
    </row>
    <row r="263" spans="1:15">
      <c r="A263" s="232" t="s">
        <v>151</v>
      </c>
      <c r="B263" s="213">
        <v>53.569971114799998</v>
      </c>
      <c r="C263" s="213">
        <v>20.417349874300001</v>
      </c>
      <c r="D263" s="213">
        <v>35.717588810300001</v>
      </c>
      <c r="E263" s="213">
        <v>56.886262934500003</v>
      </c>
      <c r="F263" s="213">
        <v>47.744860988200003</v>
      </c>
      <c r="G263" s="213">
        <v>71.347228829499997</v>
      </c>
      <c r="H263" s="213">
        <v>75.628799988799997</v>
      </c>
      <c r="I263" s="213">
        <v>90.629518909599994</v>
      </c>
      <c r="J263" s="213">
        <v>137.6869189626</v>
      </c>
      <c r="K263" s="213">
        <v>138.74140145710001</v>
      </c>
      <c r="L263" s="213">
        <v>130.28165660920001</v>
      </c>
      <c r="M263" s="213">
        <v>150.13627074089999</v>
      </c>
      <c r="N263" s="213">
        <v>165.01481997799999</v>
      </c>
    </row>
    <row r="264" spans="1:15">
      <c r="A264" s="232" t="s">
        <v>151</v>
      </c>
      <c r="B264" s="213">
        <v>53.569971114799998</v>
      </c>
      <c r="C264" s="213">
        <v>20.417349874300001</v>
      </c>
      <c r="D264" s="213">
        <v>35.717588810300001</v>
      </c>
      <c r="E264" s="213">
        <v>56.886262934500003</v>
      </c>
      <c r="F264" s="213">
        <v>47.744860988200003</v>
      </c>
      <c r="G264" s="213">
        <v>71.347228829499997</v>
      </c>
      <c r="H264" s="213">
        <v>75.628799988799997</v>
      </c>
      <c r="I264" s="213">
        <v>90.629518909599994</v>
      </c>
      <c r="J264" s="213">
        <v>137.6869189626</v>
      </c>
      <c r="K264" s="213">
        <v>138.74140145710001</v>
      </c>
      <c r="L264" s="213">
        <v>130.28165660920001</v>
      </c>
      <c r="M264" s="213">
        <v>150.13627074089999</v>
      </c>
      <c r="N264" s="213">
        <v>165.01481997799999</v>
      </c>
    </row>
    <row r="266" spans="1:15">
      <c r="A266" s="98" t="s">
        <v>301</v>
      </c>
      <c r="C266" s="134" t="str">
        <f>MID(C268,6,1)</f>
        <v>E</v>
      </c>
      <c r="D266" s="134" t="str">
        <f t="shared" ref="D266:O266" si="9">MID(D268,6,1)</f>
        <v>F</v>
      </c>
      <c r="E266" s="134" t="str">
        <f t="shared" si="9"/>
        <v>M</v>
      </c>
      <c r="F266" s="134" t="str">
        <f t="shared" si="9"/>
        <v>A</v>
      </c>
      <c r="G266" s="134" t="str">
        <f t="shared" si="9"/>
        <v>M</v>
      </c>
      <c r="H266" s="134" t="str">
        <f t="shared" si="9"/>
        <v>J</v>
      </c>
      <c r="I266" s="134" t="str">
        <f t="shared" si="9"/>
        <v>J</v>
      </c>
      <c r="J266" s="134" t="str">
        <f t="shared" si="9"/>
        <v>A</v>
      </c>
      <c r="K266" s="134" t="str">
        <f t="shared" si="9"/>
        <v>S</v>
      </c>
      <c r="L266" s="134" t="str">
        <f t="shared" si="9"/>
        <v>O</v>
      </c>
      <c r="M266" s="134" t="str">
        <f t="shared" si="9"/>
        <v>N</v>
      </c>
      <c r="N266" s="134" t="str">
        <f t="shared" si="9"/>
        <v>D</v>
      </c>
      <c r="O266" s="134" t="str">
        <f t="shared" si="9"/>
        <v>E</v>
      </c>
    </row>
    <row r="267" spans="1:15">
      <c r="A267" s="212"/>
      <c r="B267" s="212" t="s">
        <v>30</v>
      </c>
      <c r="C267" s="314" t="s">
        <v>323</v>
      </c>
      <c r="D267" s="315"/>
      <c r="E267" s="315"/>
      <c r="F267" s="315"/>
      <c r="G267" s="315"/>
      <c r="H267" s="315"/>
      <c r="I267" s="315"/>
      <c r="J267" s="315"/>
      <c r="K267" s="315"/>
      <c r="L267" s="315"/>
      <c r="M267" s="315"/>
      <c r="N267" s="315"/>
      <c r="O267" s="315"/>
    </row>
    <row r="268" spans="1:15">
      <c r="A268" s="212"/>
      <c r="B268" s="231" t="s">
        <v>108</v>
      </c>
      <c r="C268" s="282" t="s">
        <v>287</v>
      </c>
      <c r="D268" s="282" t="s">
        <v>292</v>
      </c>
      <c r="E268" s="282" t="s">
        <v>297</v>
      </c>
      <c r="F268" s="282" t="s">
        <v>302</v>
      </c>
      <c r="G268" s="282" t="s">
        <v>304</v>
      </c>
      <c r="H268" s="282" t="s">
        <v>306</v>
      </c>
      <c r="I268" s="282" t="s">
        <v>313</v>
      </c>
      <c r="J268" s="282" t="s">
        <v>315</v>
      </c>
      <c r="K268" s="282" t="s">
        <v>317</v>
      </c>
      <c r="L268" s="282" t="s">
        <v>319</v>
      </c>
      <c r="M268" s="282" t="s">
        <v>325</v>
      </c>
      <c r="N268" s="282" t="s">
        <v>328</v>
      </c>
      <c r="O268" s="282" t="s">
        <v>330</v>
      </c>
    </row>
    <row r="269" spans="1:15">
      <c r="A269" s="212" t="s">
        <v>147</v>
      </c>
      <c r="B269" s="212" t="s">
        <v>148</v>
      </c>
      <c r="C269" s="283"/>
      <c r="D269" s="283"/>
      <c r="E269" s="283"/>
      <c r="F269" s="283"/>
      <c r="G269" s="283"/>
      <c r="H269" s="283"/>
      <c r="I269" s="283"/>
      <c r="J269" s="283"/>
      <c r="K269" s="283"/>
      <c r="L269" s="283"/>
      <c r="M269" s="283"/>
      <c r="N269" s="283"/>
      <c r="O269" s="283"/>
    </row>
    <row r="270" spans="1:15">
      <c r="A270" s="322" t="s">
        <v>92</v>
      </c>
      <c r="B270" s="232" t="s">
        <v>94</v>
      </c>
      <c r="C270" s="233">
        <v>3491</v>
      </c>
      <c r="D270" s="233">
        <v>4120</v>
      </c>
      <c r="E270" s="233">
        <v>26</v>
      </c>
      <c r="F270" s="233">
        <v>0</v>
      </c>
      <c r="G270" s="233">
        <v>4240</v>
      </c>
      <c r="H270" s="233">
        <v>1670</v>
      </c>
      <c r="I270" s="233">
        <v>7219</v>
      </c>
      <c r="J270" s="233">
        <v>0</v>
      </c>
      <c r="K270" s="233">
        <v>1190</v>
      </c>
      <c r="L270" s="233">
        <v>1340</v>
      </c>
      <c r="M270" s="233">
        <v>165</v>
      </c>
      <c r="N270" s="233">
        <v>0</v>
      </c>
      <c r="O270" s="233">
        <v>0</v>
      </c>
    </row>
    <row r="271" spans="1:15">
      <c r="A271" s="317"/>
      <c r="B271" s="232" t="s">
        <v>24</v>
      </c>
      <c r="C271" s="233">
        <v>204562.6</v>
      </c>
      <c r="D271" s="233">
        <v>158409.29999999999</v>
      </c>
      <c r="E271" s="233">
        <v>118274.5</v>
      </c>
      <c r="F271" s="233">
        <v>88785.7</v>
      </c>
      <c r="G271" s="233">
        <v>55767.6</v>
      </c>
      <c r="H271" s="233">
        <v>34622.5</v>
      </c>
      <c r="I271" s="233">
        <v>180584.6</v>
      </c>
      <c r="J271" s="233">
        <v>209052.1</v>
      </c>
      <c r="K271" s="233">
        <v>208735.2</v>
      </c>
      <c r="L271" s="233">
        <v>151473.60000000001</v>
      </c>
      <c r="M271" s="233">
        <v>115928.8</v>
      </c>
      <c r="N271" s="233">
        <v>79972.3</v>
      </c>
      <c r="O271" s="233">
        <v>21421.9</v>
      </c>
    </row>
    <row r="272" spans="1:15">
      <c r="A272" s="317"/>
      <c r="B272" s="232" t="s">
        <v>101</v>
      </c>
      <c r="C272" s="233">
        <v>0</v>
      </c>
      <c r="D272" s="233">
        <v>81</v>
      </c>
      <c r="E272" s="233">
        <v>0</v>
      </c>
      <c r="F272" s="233">
        <v>0</v>
      </c>
      <c r="G272" s="233">
        <v>0</v>
      </c>
      <c r="H272" s="233">
        <v>0</v>
      </c>
      <c r="I272" s="233">
        <v>0</v>
      </c>
      <c r="J272" s="233">
        <v>0</v>
      </c>
      <c r="K272" s="233">
        <v>0</v>
      </c>
      <c r="L272" s="233">
        <v>0</v>
      </c>
      <c r="M272" s="233">
        <v>0</v>
      </c>
      <c r="N272" s="233">
        <v>0</v>
      </c>
      <c r="O272" s="233">
        <v>0</v>
      </c>
    </row>
    <row r="273" spans="1:15">
      <c r="A273" s="317"/>
      <c r="B273" s="232" t="s">
        <v>95</v>
      </c>
      <c r="C273" s="233">
        <v>876.6</v>
      </c>
      <c r="D273" s="233">
        <v>4082.2</v>
      </c>
      <c r="E273" s="233">
        <v>303.3</v>
      </c>
      <c r="F273" s="233">
        <v>134.30000000000001</v>
      </c>
      <c r="G273" s="233">
        <v>934</v>
      </c>
      <c r="H273" s="233">
        <v>0</v>
      </c>
      <c r="I273" s="233">
        <v>1924.9</v>
      </c>
      <c r="J273" s="233">
        <v>8918.2000000000007</v>
      </c>
      <c r="K273" s="233">
        <v>0</v>
      </c>
      <c r="L273" s="233">
        <v>156.19999999999999</v>
      </c>
      <c r="M273" s="233">
        <v>16.100000000000001</v>
      </c>
      <c r="N273" s="233">
        <v>260.2</v>
      </c>
      <c r="O273" s="233">
        <v>131</v>
      </c>
    </row>
    <row r="274" spans="1:15">
      <c r="A274" s="317"/>
      <c r="B274" s="232" t="s">
        <v>104</v>
      </c>
      <c r="C274" s="233">
        <v>321.5</v>
      </c>
      <c r="D274" s="233">
        <v>0</v>
      </c>
      <c r="E274" s="233">
        <v>0</v>
      </c>
      <c r="F274" s="233">
        <v>119.8</v>
      </c>
      <c r="G274" s="233">
        <v>0</v>
      </c>
      <c r="H274" s="233">
        <v>136.69999999999999</v>
      </c>
      <c r="I274" s="233">
        <v>0</v>
      </c>
      <c r="J274" s="233">
        <v>0</v>
      </c>
      <c r="K274" s="233">
        <v>0</v>
      </c>
      <c r="L274" s="233">
        <v>0</v>
      </c>
      <c r="M274" s="233">
        <v>30.6</v>
      </c>
      <c r="N274" s="233">
        <v>0</v>
      </c>
      <c r="O274" s="233">
        <v>0</v>
      </c>
    </row>
    <row r="275" spans="1:15">
      <c r="A275" s="317"/>
      <c r="B275" s="232" t="s">
        <v>98</v>
      </c>
      <c r="C275" s="233">
        <v>0</v>
      </c>
      <c r="D275" s="233">
        <v>0</v>
      </c>
      <c r="E275" s="233">
        <v>0</v>
      </c>
      <c r="F275" s="233">
        <v>0</v>
      </c>
      <c r="G275" s="233">
        <v>0</v>
      </c>
      <c r="H275" s="233">
        <v>0</v>
      </c>
      <c r="I275" s="233">
        <v>0</v>
      </c>
      <c r="J275" s="233">
        <v>0</v>
      </c>
      <c r="K275" s="233">
        <v>0</v>
      </c>
      <c r="L275" s="233">
        <v>0</v>
      </c>
      <c r="M275" s="233">
        <v>0</v>
      </c>
      <c r="N275" s="233">
        <v>0</v>
      </c>
      <c r="O275" s="233">
        <v>0</v>
      </c>
    </row>
    <row r="276" spans="1:15">
      <c r="A276" s="317"/>
      <c r="B276" s="232" t="s">
        <v>20</v>
      </c>
      <c r="C276" s="233">
        <v>0</v>
      </c>
      <c r="D276" s="233">
        <v>0</v>
      </c>
      <c r="E276" s="233">
        <v>0</v>
      </c>
      <c r="F276" s="233">
        <v>0</v>
      </c>
      <c r="G276" s="233">
        <v>215</v>
      </c>
      <c r="H276" s="233">
        <v>121.8</v>
      </c>
      <c r="I276" s="233">
        <v>0</v>
      </c>
      <c r="J276" s="233">
        <v>0</v>
      </c>
      <c r="K276" s="233">
        <v>34.4</v>
      </c>
      <c r="L276" s="233">
        <v>130</v>
      </c>
      <c r="M276" s="233">
        <v>0</v>
      </c>
      <c r="N276" s="233">
        <v>196.2</v>
      </c>
      <c r="O276" s="233">
        <v>11.7</v>
      </c>
    </row>
    <row r="277" spans="1:15">
      <c r="A277" s="317"/>
      <c r="B277" s="232" t="s">
        <v>106</v>
      </c>
      <c r="C277" s="233">
        <v>0</v>
      </c>
      <c r="D277" s="233">
        <v>0</v>
      </c>
      <c r="E277" s="233">
        <v>24</v>
      </c>
      <c r="F277" s="233">
        <v>0</v>
      </c>
      <c r="G277" s="233">
        <v>0</v>
      </c>
      <c r="H277" s="233">
        <v>0</v>
      </c>
      <c r="I277" s="233">
        <v>0</v>
      </c>
      <c r="J277" s="233">
        <v>0</v>
      </c>
      <c r="K277" s="233">
        <v>0</v>
      </c>
      <c r="L277" s="233">
        <v>0</v>
      </c>
      <c r="M277" s="233">
        <v>0</v>
      </c>
      <c r="N277" s="233">
        <v>0</v>
      </c>
      <c r="O277" s="233">
        <v>0</v>
      </c>
    </row>
    <row r="278" spans="1:15">
      <c r="A278" s="317"/>
      <c r="B278" s="232" t="s">
        <v>102</v>
      </c>
      <c r="C278" s="233">
        <v>0</v>
      </c>
      <c r="D278" s="233">
        <v>0</v>
      </c>
      <c r="E278" s="233">
        <v>0</v>
      </c>
      <c r="F278" s="233">
        <v>0</v>
      </c>
      <c r="G278" s="233">
        <v>0</v>
      </c>
      <c r="H278" s="233">
        <v>0</v>
      </c>
      <c r="I278" s="233">
        <v>0</v>
      </c>
      <c r="J278" s="233">
        <v>0</v>
      </c>
      <c r="K278" s="233">
        <v>0</v>
      </c>
      <c r="L278" s="233">
        <v>0</v>
      </c>
      <c r="M278" s="233">
        <v>0</v>
      </c>
      <c r="N278" s="233">
        <v>0</v>
      </c>
      <c r="O278" s="233">
        <v>0</v>
      </c>
    </row>
    <row r="279" spans="1:15">
      <c r="A279" s="317"/>
      <c r="B279" s="232" t="s">
        <v>99</v>
      </c>
      <c r="C279" s="233">
        <v>0</v>
      </c>
      <c r="D279" s="233">
        <v>0</v>
      </c>
      <c r="E279" s="233">
        <v>0</v>
      </c>
      <c r="F279" s="233">
        <v>0</v>
      </c>
      <c r="G279" s="233">
        <v>0</v>
      </c>
      <c r="H279" s="233">
        <v>0</v>
      </c>
      <c r="I279" s="233">
        <v>0</v>
      </c>
      <c r="J279" s="233">
        <v>0</v>
      </c>
      <c r="K279" s="233">
        <v>0</v>
      </c>
      <c r="L279" s="233">
        <v>0</v>
      </c>
      <c r="M279" s="233">
        <v>0</v>
      </c>
      <c r="N279" s="233">
        <v>0</v>
      </c>
      <c r="O279" s="233">
        <v>0</v>
      </c>
    </row>
    <row r="280" spans="1:15">
      <c r="A280" s="317"/>
      <c r="B280" s="232" t="s">
        <v>100</v>
      </c>
      <c r="C280" s="233">
        <v>0</v>
      </c>
      <c r="D280" s="233">
        <v>0</v>
      </c>
      <c r="E280" s="233">
        <v>0</v>
      </c>
      <c r="F280" s="233">
        <v>0</v>
      </c>
      <c r="G280" s="233">
        <v>0</v>
      </c>
      <c r="H280" s="233">
        <v>0</v>
      </c>
      <c r="I280" s="233">
        <v>0</v>
      </c>
      <c r="J280" s="233">
        <v>0</v>
      </c>
      <c r="K280" s="233">
        <v>0</v>
      </c>
      <c r="L280" s="233">
        <v>0</v>
      </c>
      <c r="M280" s="233">
        <v>0</v>
      </c>
      <c r="N280" s="233">
        <v>0</v>
      </c>
      <c r="O280" s="233">
        <v>0</v>
      </c>
    </row>
    <row r="281" spans="1:15">
      <c r="A281" s="317"/>
      <c r="B281" s="232" t="s">
        <v>97</v>
      </c>
      <c r="C281" s="233">
        <v>1674.7</v>
      </c>
      <c r="D281" s="233">
        <v>349.9</v>
      </c>
      <c r="E281" s="233">
        <v>423.9</v>
      </c>
      <c r="F281" s="233">
        <v>1696.6</v>
      </c>
      <c r="G281" s="233">
        <v>760.7</v>
      </c>
      <c r="H281" s="233">
        <v>3610.8</v>
      </c>
      <c r="I281" s="233">
        <v>3801.6</v>
      </c>
      <c r="J281" s="233">
        <v>16379.8</v>
      </c>
      <c r="K281" s="233">
        <v>1592.2</v>
      </c>
      <c r="L281" s="233">
        <v>4869.5</v>
      </c>
      <c r="M281" s="233">
        <v>373.4</v>
      </c>
      <c r="N281" s="233">
        <v>1577.4</v>
      </c>
      <c r="O281" s="233">
        <v>3055.8</v>
      </c>
    </row>
    <row r="282" spans="1:15">
      <c r="A282" s="319"/>
      <c r="B282" s="234" t="s">
        <v>0</v>
      </c>
      <c r="C282" s="236">
        <v>210926.4</v>
      </c>
      <c r="D282" s="236">
        <v>167042.4</v>
      </c>
      <c r="E282" s="236">
        <v>119051.7</v>
      </c>
      <c r="F282" s="236">
        <v>90736.4</v>
      </c>
      <c r="G282" s="236">
        <v>61917.3</v>
      </c>
      <c r="H282" s="236">
        <v>40161.800000000003</v>
      </c>
      <c r="I282" s="236">
        <v>193530.1</v>
      </c>
      <c r="J282" s="236">
        <v>234350.1</v>
      </c>
      <c r="K282" s="236">
        <v>211551.8</v>
      </c>
      <c r="L282" s="236">
        <v>157969.29999999999</v>
      </c>
      <c r="M282" s="236">
        <v>116513.9</v>
      </c>
      <c r="N282" s="236">
        <v>82006.100000000006</v>
      </c>
      <c r="O282" s="236">
        <v>24620.400000000001</v>
      </c>
    </row>
    <row r="283" spans="1:15">
      <c r="A283" s="321" t="s">
        <v>96</v>
      </c>
      <c r="B283" s="232" t="s">
        <v>24</v>
      </c>
      <c r="C283" s="233">
        <v>961.7</v>
      </c>
      <c r="D283" s="233">
        <v>25</v>
      </c>
      <c r="E283" s="233">
        <v>0</v>
      </c>
      <c r="F283" s="233">
        <v>3086.3</v>
      </c>
      <c r="G283" s="233">
        <v>3148.4</v>
      </c>
      <c r="H283" s="233">
        <v>2750.7</v>
      </c>
      <c r="I283" s="233">
        <v>1918.5</v>
      </c>
      <c r="J283" s="233">
        <v>2609.1</v>
      </c>
      <c r="K283" s="233">
        <v>263.3</v>
      </c>
      <c r="L283" s="233">
        <v>2541.1</v>
      </c>
      <c r="M283" s="233">
        <v>0</v>
      </c>
      <c r="N283" s="233">
        <v>3064.1</v>
      </c>
      <c r="O283" s="233">
        <v>754.5</v>
      </c>
    </row>
    <row r="284" spans="1:15">
      <c r="A284" s="317"/>
      <c r="B284" s="232" t="s">
        <v>101</v>
      </c>
      <c r="C284" s="233">
        <v>104.4</v>
      </c>
      <c r="D284" s="233">
        <v>116.4</v>
      </c>
      <c r="E284" s="233">
        <v>1089.4000000000001</v>
      </c>
      <c r="F284" s="233">
        <v>728.2</v>
      </c>
      <c r="G284" s="233">
        <v>881.6</v>
      </c>
      <c r="H284" s="233">
        <v>621.4</v>
      </c>
      <c r="I284" s="233">
        <v>1097.9000000000001</v>
      </c>
      <c r="J284" s="233">
        <v>2181.9</v>
      </c>
      <c r="K284" s="233">
        <v>58</v>
      </c>
      <c r="L284" s="233">
        <v>504.6</v>
      </c>
      <c r="M284" s="233">
        <v>686.4</v>
      </c>
      <c r="N284" s="233">
        <v>163.69999999999999</v>
      </c>
      <c r="O284" s="233">
        <v>626.29999999999995</v>
      </c>
    </row>
    <row r="285" spans="1:15">
      <c r="A285" s="317"/>
      <c r="B285" s="232" t="s">
        <v>95</v>
      </c>
      <c r="C285" s="233">
        <v>12588.9</v>
      </c>
      <c r="D285" s="233">
        <v>6359.7</v>
      </c>
      <c r="E285" s="233">
        <v>23705.1</v>
      </c>
      <c r="F285" s="233">
        <v>47015.3</v>
      </c>
      <c r="G285" s="233">
        <v>19374</v>
      </c>
      <c r="H285" s="233">
        <v>10873.4</v>
      </c>
      <c r="I285" s="233">
        <v>15644.8</v>
      </c>
      <c r="J285" s="233">
        <v>11984</v>
      </c>
      <c r="K285" s="233">
        <v>15135.8</v>
      </c>
      <c r="L285" s="233">
        <v>34828.6</v>
      </c>
      <c r="M285" s="233">
        <v>67342.600000000006</v>
      </c>
      <c r="N285" s="233">
        <v>48534.400000000001</v>
      </c>
      <c r="O285" s="233">
        <v>34195.300000000003</v>
      </c>
    </row>
    <row r="286" spans="1:15">
      <c r="A286" s="317"/>
      <c r="B286" s="232" t="s">
        <v>104</v>
      </c>
      <c r="C286" s="233">
        <v>171.2</v>
      </c>
      <c r="D286" s="233">
        <v>0</v>
      </c>
      <c r="E286" s="233">
        <v>0</v>
      </c>
      <c r="F286" s="233">
        <v>0</v>
      </c>
      <c r="G286" s="233">
        <v>0</v>
      </c>
      <c r="H286" s="233">
        <v>0</v>
      </c>
      <c r="I286" s="233">
        <v>0</v>
      </c>
      <c r="J286" s="233">
        <v>0</v>
      </c>
      <c r="K286" s="233">
        <v>0</v>
      </c>
      <c r="L286" s="233">
        <v>0</v>
      </c>
      <c r="M286" s="233">
        <v>0</v>
      </c>
      <c r="N286" s="233">
        <v>0</v>
      </c>
      <c r="O286" s="233">
        <v>0</v>
      </c>
    </row>
    <row r="287" spans="1:15">
      <c r="A287" s="317"/>
      <c r="B287" s="232" t="s">
        <v>98</v>
      </c>
      <c r="C287" s="233">
        <v>15813.4</v>
      </c>
      <c r="D287" s="233">
        <v>7846.5</v>
      </c>
      <c r="E287" s="233">
        <v>7599.2</v>
      </c>
      <c r="F287" s="233">
        <v>47937</v>
      </c>
      <c r="G287" s="233">
        <v>14568.2</v>
      </c>
      <c r="H287" s="233">
        <v>4830.6000000000004</v>
      </c>
      <c r="I287" s="233">
        <v>53940</v>
      </c>
      <c r="J287" s="233">
        <v>53740.1</v>
      </c>
      <c r="K287" s="233">
        <v>6986.8</v>
      </c>
      <c r="L287" s="233">
        <v>20974.2</v>
      </c>
      <c r="M287" s="233">
        <v>49071.7</v>
      </c>
      <c r="N287" s="233">
        <v>5474.1</v>
      </c>
      <c r="O287" s="233">
        <v>26304.6</v>
      </c>
    </row>
    <row r="288" spans="1:15">
      <c r="A288" s="317"/>
      <c r="B288" s="232" t="s">
        <v>20</v>
      </c>
      <c r="C288" s="233">
        <v>165.3</v>
      </c>
      <c r="D288" s="233">
        <v>596.6</v>
      </c>
      <c r="E288" s="233">
        <v>452.8</v>
      </c>
      <c r="F288" s="233">
        <v>126</v>
      </c>
      <c r="G288" s="233">
        <v>211.4</v>
      </c>
      <c r="H288" s="233">
        <v>121.8</v>
      </c>
      <c r="I288" s="233">
        <v>707.2</v>
      </c>
      <c r="J288" s="233">
        <v>489.7</v>
      </c>
      <c r="K288" s="233">
        <v>204.2</v>
      </c>
      <c r="L288" s="233">
        <v>56.9</v>
      </c>
      <c r="M288" s="233">
        <v>271.7</v>
      </c>
      <c r="N288" s="233">
        <v>38.799999999999997</v>
      </c>
      <c r="O288" s="233">
        <v>431</v>
      </c>
    </row>
    <row r="289" spans="1:17">
      <c r="A289" s="317"/>
      <c r="B289" s="232" t="s">
        <v>106</v>
      </c>
      <c r="C289" s="233">
        <v>0</v>
      </c>
      <c r="D289" s="233">
        <v>0</v>
      </c>
      <c r="E289" s="233">
        <v>0</v>
      </c>
      <c r="F289" s="233">
        <v>0</v>
      </c>
      <c r="G289" s="233">
        <v>1000</v>
      </c>
      <c r="H289" s="233">
        <v>0</v>
      </c>
      <c r="I289" s="233">
        <v>0</v>
      </c>
      <c r="J289" s="233">
        <v>0</v>
      </c>
      <c r="K289" s="233">
        <v>0</v>
      </c>
      <c r="L289" s="233">
        <v>0</v>
      </c>
      <c r="M289" s="233">
        <v>0</v>
      </c>
      <c r="N289" s="233">
        <v>0</v>
      </c>
      <c r="O289" s="233">
        <v>0</v>
      </c>
    </row>
    <row r="290" spans="1:17">
      <c r="A290" s="317"/>
      <c r="B290" s="232" t="s">
        <v>102</v>
      </c>
      <c r="C290" s="233">
        <v>58</v>
      </c>
      <c r="D290" s="233">
        <v>0</v>
      </c>
      <c r="E290" s="233">
        <v>116.6</v>
      </c>
      <c r="F290" s="233">
        <v>326.60000000000002</v>
      </c>
      <c r="G290" s="233">
        <v>609.5</v>
      </c>
      <c r="H290" s="233">
        <v>347.3</v>
      </c>
      <c r="I290" s="233">
        <v>770.3</v>
      </c>
      <c r="J290" s="233">
        <v>1338.8</v>
      </c>
      <c r="K290" s="233">
        <v>0</v>
      </c>
      <c r="L290" s="233">
        <v>659.6</v>
      </c>
      <c r="M290" s="233">
        <v>794.5</v>
      </c>
      <c r="N290" s="233">
        <v>117.5</v>
      </c>
      <c r="O290" s="233">
        <v>574.79999999999995</v>
      </c>
    </row>
    <row r="291" spans="1:17">
      <c r="A291" s="317"/>
      <c r="B291" s="232" t="s">
        <v>107</v>
      </c>
      <c r="C291" s="233">
        <v>0</v>
      </c>
      <c r="D291" s="233">
        <v>0</v>
      </c>
      <c r="E291" s="233">
        <v>75.400000000000006</v>
      </c>
      <c r="F291" s="233">
        <v>122.8</v>
      </c>
      <c r="G291" s="233">
        <v>107.9</v>
      </c>
      <c r="H291" s="233">
        <v>15</v>
      </c>
      <c r="I291" s="233">
        <v>169.1</v>
      </c>
      <c r="J291" s="233">
        <v>61.2</v>
      </c>
      <c r="K291" s="233">
        <v>0</v>
      </c>
      <c r="L291" s="233">
        <v>0</v>
      </c>
      <c r="M291" s="233">
        <v>0</v>
      </c>
      <c r="N291" s="233">
        <v>0</v>
      </c>
      <c r="O291" s="233">
        <v>3.9</v>
      </c>
    </row>
    <row r="292" spans="1:17">
      <c r="A292" s="317"/>
      <c r="B292" s="232" t="s">
        <v>99</v>
      </c>
      <c r="C292" s="233">
        <v>94.9</v>
      </c>
      <c r="D292" s="233">
        <v>0</v>
      </c>
      <c r="E292" s="233">
        <v>17.600000000000001</v>
      </c>
      <c r="F292" s="233">
        <v>396.6</v>
      </c>
      <c r="G292" s="233">
        <v>251.7</v>
      </c>
      <c r="H292" s="233">
        <v>417.8</v>
      </c>
      <c r="I292" s="233">
        <v>860.9</v>
      </c>
      <c r="J292" s="233">
        <v>254.1</v>
      </c>
      <c r="K292" s="233">
        <v>19.100000000000001</v>
      </c>
      <c r="L292" s="233">
        <v>686.2</v>
      </c>
      <c r="M292" s="233">
        <v>557.9</v>
      </c>
      <c r="N292" s="233">
        <v>22.5</v>
      </c>
      <c r="O292" s="233">
        <v>78.7</v>
      </c>
    </row>
    <row r="293" spans="1:17">
      <c r="A293" s="317"/>
      <c r="B293" s="232" t="s">
        <v>100</v>
      </c>
      <c r="C293" s="233">
        <v>202.5</v>
      </c>
      <c r="D293" s="233">
        <v>0</v>
      </c>
      <c r="E293" s="233">
        <v>85.1</v>
      </c>
      <c r="F293" s="233">
        <v>0</v>
      </c>
      <c r="G293" s="233">
        <v>26.5</v>
      </c>
      <c r="H293" s="233">
        <v>4272.2</v>
      </c>
      <c r="I293" s="233">
        <v>1341.3</v>
      </c>
      <c r="J293" s="233">
        <v>740.7</v>
      </c>
      <c r="K293" s="233">
        <v>10</v>
      </c>
      <c r="L293" s="233">
        <v>2480.3000000000002</v>
      </c>
      <c r="M293" s="233">
        <v>0</v>
      </c>
      <c r="N293" s="233">
        <v>0</v>
      </c>
      <c r="O293" s="233">
        <v>0</v>
      </c>
      <c r="Q293" s="60">
        <f>(SUMIF(B270:B296,"Total",O270:O296)/SUMIF(B270:B296,"Total",C270:C296)-1)*100</f>
        <v>-63.714032297554091</v>
      </c>
    </row>
    <row r="294" spans="1:17">
      <c r="A294" s="317"/>
      <c r="B294" s="232" t="s">
        <v>97</v>
      </c>
      <c r="C294" s="233">
        <v>300</v>
      </c>
      <c r="D294" s="233">
        <v>449</v>
      </c>
      <c r="E294" s="233">
        <v>49.3</v>
      </c>
      <c r="F294" s="233">
        <v>609.79999999999995</v>
      </c>
      <c r="G294" s="233">
        <v>1084</v>
      </c>
      <c r="H294" s="233">
        <v>206</v>
      </c>
      <c r="I294" s="233">
        <v>386.7</v>
      </c>
      <c r="J294" s="233">
        <v>1229</v>
      </c>
      <c r="K294" s="233">
        <v>0</v>
      </c>
      <c r="L294" s="233">
        <v>253.2</v>
      </c>
      <c r="M294" s="233">
        <v>259.89999999999998</v>
      </c>
      <c r="N294" s="233">
        <v>130</v>
      </c>
      <c r="O294" s="233">
        <v>0</v>
      </c>
    </row>
    <row r="295" spans="1:17">
      <c r="A295" s="319"/>
      <c r="B295" s="234" t="s">
        <v>0</v>
      </c>
      <c r="C295" s="236">
        <v>30460.3</v>
      </c>
      <c r="D295" s="236">
        <v>15393.2</v>
      </c>
      <c r="E295" s="236">
        <v>33190.5</v>
      </c>
      <c r="F295" s="236">
        <v>100348.6</v>
      </c>
      <c r="G295" s="236">
        <v>41263.199999999997</v>
      </c>
      <c r="H295" s="236">
        <v>24456.2</v>
      </c>
      <c r="I295" s="236">
        <v>76836.7</v>
      </c>
      <c r="J295" s="236">
        <v>74628.600000000006</v>
      </c>
      <c r="K295" s="236">
        <v>22677.200000000001</v>
      </c>
      <c r="L295" s="236">
        <v>62984.7</v>
      </c>
      <c r="M295" s="236">
        <v>118984.7</v>
      </c>
      <c r="N295" s="236">
        <v>57545.1</v>
      </c>
      <c r="O295" s="236">
        <v>62969.1</v>
      </c>
    </row>
    <row r="296" spans="1:17">
      <c r="C296" s="249"/>
      <c r="O296" s="249"/>
    </row>
    <row r="300" spans="1:17">
      <c r="A300" s="250" t="s">
        <v>249</v>
      </c>
      <c r="B300" s="250" t="s">
        <v>16</v>
      </c>
      <c r="C300" s="251"/>
      <c r="D300" s="251"/>
      <c r="E300" s="251"/>
      <c r="F300" s="251"/>
      <c r="G300" s="251"/>
      <c r="H300" s="251"/>
      <c r="I300" s="251"/>
      <c r="J300" s="251"/>
      <c r="K300" s="251"/>
      <c r="L300" s="251"/>
      <c r="M300" s="251"/>
      <c r="N300" s="251"/>
    </row>
    <row r="301" spans="1:17">
      <c r="A301" s="212" t="s">
        <v>30</v>
      </c>
      <c r="B301" s="318" t="s">
        <v>261</v>
      </c>
      <c r="C301" s="313"/>
      <c r="D301" s="313"/>
      <c r="E301" s="313"/>
      <c r="F301" s="313"/>
      <c r="G301" s="313"/>
      <c r="H301" s="313"/>
      <c r="I301" s="313"/>
      <c r="J301" s="313"/>
      <c r="K301" s="313"/>
      <c r="L301" s="313"/>
      <c r="M301" s="313"/>
      <c r="N301" s="313"/>
    </row>
    <row r="302" spans="1:17">
      <c r="A302" s="212" t="s">
        <v>108</v>
      </c>
      <c r="B302" s="282" t="s">
        <v>287</v>
      </c>
      <c r="C302" s="282" t="s">
        <v>292</v>
      </c>
      <c r="D302" s="282" t="s">
        <v>297</v>
      </c>
      <c r="E302" s="282" t="s">
        <v>302</v>
      </c>
      <c r="F302" s="282" t="s">
        <v>304</v>
      </c>
      <c r="G302" s="282" t="s">
        <v>306</v>
      </c>
      <c r="H302" s="282" t="s">
        <v>313</v>
      </c>
      <c r="I302" s="282" t="s">
        <v>315</v>
      </c>
      <c r="J302" s="282" t="s">
        <v>317</v>
      </c>
      <c r="K302" s="282" t="s">
        <v>319</v>
      </c>
      <c r="L302" s="282" t="s">
        <v>325</v>
      </c>
      <c r="M302" s="282" t="s">
        <v>328</v>
      </c>
      <c r="N302" s="282" t="s">
        <v>330</v>
      </c>
    </row>
    <row r="303" spans="1:17">
      <c r="A303" s="251"/>
      <c r="B303" s="213">
        <v>80.806223664200004</v>
      </c>
      <c r="C303" s="213">
        <v>28.280297511899999</v>
      </c>
      <c r="D303" s="213">
        <v>44.007737368800001</v>
      </c>
      <c r="E303" s="213">
        <v>64.022317756000007</v>
      </c>
      <c r="F303" s="213">
        <v>67.344922934799996</v>
      </c>
      <c r="G303" s="213">
        <v>87.881430206399997</v>
      </c>
      <c r="H303" s="213">
        <v>94.167051467600004</v>
      </c>
      <c r="I303" s="213">
        <v>110.4504363782</v>
      </c>
      <c r="J303" s="213">
        <v>144.5960873958</v>
      </c>
      <c r="K303" s="213">
        <v>196.98817267160001</v>
      </c>
      <c r="L303" s="213">
        <v>217.7159675122</v>
      </c>
      <c r="M303" s="213">
        <v>256.23003453669997</v>
      </c>
      <c r="N303" s="213">
        <v>223.5601749827</v>
      </c>
    </row>
    <row r="307" spans="1:14">
      <c r="B307" s="134" t="str">
        <f>MID(B309,6,1)</f>
        <v>E</v>
      </c>
      <c r="C307" s="134" t="str">
        <f t="shared" ref="C307:N307" si="10">MID(C309,6,1)</f>
        <v>F</v>
      </c>
      <c r="D307" s="134" t="str">
        <f t="shared" si="10"/>
        <v>M</v>
      </c>
      <c r="E307" s="134" t="str">
        <f t="shared" si="10"/>
        <v>A</v>
      </c>
      <c r="F307" s="134" t="str">
        <f t="shared" si="10"/>
        <v>M</v>
      </c>
      <c r="G307" s="134" t="str">
        <f t="shared" si="10"/>
        <v>J</v>
      </c>
      <c r="H307" s="134" t="str">
        <f t="shared" si="10"/>
        <v>J</v>
      </c>
      <c r="I307" s="134" t="str">
        <f t="shared" si="10"/>
        <v>A</v>
      </c>
      <c r="J307" s="134" t="str">
        <f t="shared" si="10"/>
        <v>S</v>
      </c>
      <c r="K307" s="134" t="str">
        <f t="shared" si="10"/>
        <v>O</v>
      </c>
      <c r="L307" s="134" t="str">
        <f t="shared" si="10"/>
        <v>N</v>
      </c>
      <c r="M307" s="134" t="str">
        <f t="shared" si="10"/>
        <v>D</v>
      </c>
      <c r="N307" s="134" t="str">
        <f t="shared" si="10"/>
        <v>E</v>
      </c>
    </row>
    <row r="308" spans="1:14">
      <c r="A308" s="212" t="s">
        <v>30</v>
      </c>
      <c r="B308" s="314" t="s">
        <v>324</v>
      </c>
      <c r="C308" s="315"/>
      <c r="D308" s="315"/>
      <c r="E308" s="315"/>
      <c r="F308" s="315"/>
      <c r="G308" s="315"/>
      <c r="H308" s="315"/>
      <c r="I308" s="315"/>
      <c r="J308" s="315"/>
      <c r="K308" s="315"/>
      <c r="L308" s="315"/>
      <c r="M308" s="315"/>
      <c r="N308" s="315"/>
    </row>
    <row r="309" spans="1:14">
      <c r="A309" s="231" t="s">
        <v>108</v>
      </c>
      <c r="B309" s="282" t="s">
        <v>287</v>
      </c>
      <c r="C309" s="282" t="s">
        <v>292</v>
      </c>
      <c r="D309" s="282" t="s">
        <v>297</v>
      </c>
      <c r="E309" s="282" t="s">
        <v>302</v>
      </c>
      <c r="F309" s="282" t="s">
        <v>304</v>
      </c>
      <c r="G309" s="282" t="s">
        <v>306</v>
      </c>
      <c r="H309" s="282" t="s">
        <v>313</v>
      </c>
      <c r="I309" s="282" t="s">
        <v>315</v>
      </c>
      <c r="J309" s="282" t="s">
        <v>317</v>
      </c>
      <c r="K309" s="282" t="s">
        <v>319</v>
      </c>
      <c r="L309" s="282" t="s">
        <v>325</v>
      </c>
      <c r="M309" s="282" t="s">
        <v>328</v>
      </c>
      <c r="N309" s="282" t="s">
        <v>330</v>
      </c>
    </row>
    <row r="310" spans="1:14">
      <c r="A310" s="212" t="s">
        <v>148</v>
      </c>
      <c r="B310" s="283"/>
      <c r="C310" s="283"/>
      <c r="D310" s="283"/>
      <c r="E310" s="283"/>
      <c r="F310" s="283"/>
      <c r="G310" s="283"/>
      <c r="H310" s="283"/>
      <c r="I310" s="283"/>
      <c r="J310" s="283"/>
      <c r="K310" s="283"/>
      <c r="L310" s="283"/>
      <c r="M310" s="283"/>
      <c r="N310" s="283"/>
    </row>
    <row r="311" spans="1:14">
      <c r="A311" s="232" t="s">
        <v>103</v>
      </c>
      <c r="B311" s="233">
        <v>0</v>
      </c>
      <c r="C311" s="233">
        <v>0</v>
      </c>
      <c r="D311" s="233">
        <v>0</v>
      </c>
      <c r="E311" s="233">
        <v>0</v>
      </c>
      <c r="F311" s="233">
        <v>0</v>
      </c>
      <c r="G311" s="233">
        <v>0</v>
      </c>
      <c r="H311" s="233">
        <v>0</v>
      </c>
      <c r="I311" s="233">
        <v>0</v>
      </c>
      <c r="J311" s="233">
        <v>0</v>
      </c>
      <c r="K311" s="233">
        <v>0</v>
      </c>
      <c r="L311" s="233">
        <v>0</v>
      </c>
      <c r="M311" s="233">
        <v>0</v>
      </c>
      <c r="N311" s="233">
        <v>0</v>
      </c>
    </row>
    <row r="312" spans="1:14">
      <c r="A312" s="232" t="s">
        <v>94</v>
      </c>
      <c r="B312" s="233">
        <v>0</v>
      </c>
      <c r="C312" s="233">
        <v>0</v>
      </c>
      <c r="D312" s="233">
        <v>0</v>
      </c>
      <c r="E312" s="233">
        <v>0</v>
      </c>
      <c r="F312" s="233">
        <v>0</v>
      </c>
      <c r="G312" s="233">
        <v>0</v>
      </c>
      <c r="H312" s="233">
        <v>0</v>
      </c>
      <c r="I312" s="233">
        <v>0</v>
      </c>
      <c r="J312" s="233">
        <v>0</v>
      </c>
      <c r="K312" s="233">
        <v>0</v>
      </c>
      <c r="L312" s="233">
        <v>0</v>
      </c>
      <c r="M312" s="233">
        <v>0</v>
      </c>
      <c r="N312" s="233">
        <v>0</v>
      </c>
    </row>
    <row r="313" spans="1:14">
      <c r="A313" s="232" t="s">
        <v>24</v>
      </c>
      <c r="B313" s="233">
        <v>0</v>
      </c>
      <c r="C313" s="233">
        <v>0</v>
      </c>
      <c r="D313" s="233">
        <v>0</v>
      </c>
      <c r="E313" s="233">
        <v>0</v>
      </c>
      <c r="F313" s="233">
        <v>0</v>
      </c>
      <c r="G313" s="233">
        <v>0</v>
      </c>
      <c r="H313" s="233">
        <v>0</v>
      </c>
      <c r="I313" s="233">
        <v>0</v>
      </c>
      <c r="J313" s="233">
        <v>0</v>
      </c>
      <c r="K313" s="233">
        <v>0</v>
      </c>
      <c r="L313" s="233">
        <v>0</v>
      </c>
      <c r="M313" s="233">
        <v>0</v>
      </c>
      <c r="N313" s="233">
        <v>0</v>
      </c>
    </row>
    <row r="314" spans="1:14">
      <c r="A314" s="232" t="s">
        <v>101</v>
      </c>
      <c r="B314" s="233">
        <v>0</v>
      </c>
      <c r="C314" s="233">
        <v>0</v>
      </c>
      <c r="D314" s="233">
        <v>0</v>
      </c>
      <c r="E314" s="233">
        <v>0</v>
      </c>
      <c r="F314" s="233">
        <v>0</v>
      </c>
      <c r="G314" s="233">
        <v>0</v>
      </c>
      <c r="H314" s="233">
        <v>0</v>
      </c>
      <c r="I314" s="233">
        <v>0</v>
      </c>
      <c r="J314" s="233">
        <v>0</v>
      </c>
      <c r="K314" s="233">
        <v>0</v>
      </c>
      <c r="L314" s="233">
        <v>0</v>
      </c>
      <c r="M314" s="233">
        <v>0</v>
      </c>
      <c r="N314" s="233">
        <v>0</v>
      </c>
    </row>
    <row r="315" spans="1:14">
      <c r="A315" s="232" t="s">
        <v>95</v>
      </c>
      <c r="B315" s="233">
        <v>0</v>
      </c>
      <c r="C315" s="233">
        <v>0</v>
      </c>
      <c r="D315" s="233">
        <v>0</v>
      </c>
      <c r="E315" s="233">
        <v>0</v>
      </c>
      <c r="F315" s="233">
        <v>0</v>
      </c>
      <c r="G315" s="233">
        <v>0</v>
      </c>
      <c r="H315" s="233">
        <v>0</v>
      </c>
      <c r="I315" s="233">
        <v>0</v>
      </c>
      <c r="J315" s="233">
        <v>0</v>
      </c>
      <c r="K315" s="233">
        <v>0</v>
      </c>
      <c r="L315" s="233">
        <v>0</v>
      </c>
      <c r="M315" s="233">
        <v>0</v>
      </c>
      <c r="N315" s="233">
        <v>0</v>
      </c>
    </row>
    <row r="316" spans="1:14">
      <c r="A316" s="232" t="s">
        <v>104</v>
      </c>
      <c r="B316" s="233">
        <v>0</v>
      </c>
      <c r="C316" s="233">
        <v>0</v>
      </c>
      <c r="D316" s="233">
        <v>0</v>
      </c>
      <c r="E316" s="233">
        <v>0</v>
      </c>
      <c r="F316" s="233">
        <v>0</v>
      </c>
      <c r="G316" s="233">
        <v>0</v>
      </c>
      <c r="H316" s="233">
        <v>0</v>
      </c>
      <c r="I316" s="233">
        <v>0</v>
      </c>
      <c r="J316" s="233">
        <v>0</v>
      </c>
      <c r="K316" s="233">
        <v>0</v>
      </c>
      <c r="L316" s="233">
        <v>0</v>
      </c>
      <c r="M316" s="233">
        <v>0</v>
      </c>
      <c r="N316" s="233">
        <v>0</v>
      </c>
    </row>
    <row r="317" spans="1:14">
      <c r="A317" s="232" t="s">
        <v>98</v>
      </c>
      <c r="B317" s="233">
        <v>0</v>
      </c>
      <c r="C317" s="233">
        <v>0</v>
      </c>
      <c r="D317" s="233">
        <v>0</v>
      </c>
      <c r="E317" s="233">
        <v>0</v>
      </c>
      <c r="F317" s="233">
        <v>0</v>
      </c>
      <c r="G317" s="233">
        <v>0</v>
      </c>
      <c r="H317" s="233">
        <v>0</v>
      </c>
      <c r="I317" s="233">
        <v>0</v>
      </c>
      <c r="J317" s="233">
        <v>0</v>
      </c>
      <c r="K317" s="233">
        <v>0</v>
      </c>
      <c r="L317" s="233">
        <v>0</v>
      </c>
      <c r="M317" s="233">
        <v>0</v>
      </c>
      <c r="N317" s="233">
        <v>0</v>
      </c>
    </row>
    <row r="318" spans="1:14">
      <c r="A318" s="232" t="s">
        <v>105</v>
      </c>
      <c r="B318" s="233">
        <v>0</v>
      </c>
      <c r="C318" s="233">
        <v>0</v>
      </c>
      <c r="D318" s="233">
        <v>0</v>
      </c>
      <c r="E318" s="233">
        <v>0</v>
      </c>
      <c r="F318" s="233">
        <v>0</v>
      </c>
      <c r="G318" s="233">
        <v>0</v>
      </c>
      <c r="H318" s="233">
        <v>0</v>
      </c>
      <c r="I318" s="233">
        <v>0</v>
      </c>
      <c r="J318" s="233">
        <v>0</v>
      </c>
      <c r="K318" s="233">
        <v>0</v>
      </c>
      <c r="L318" s="233">
        <v>0</v>
      </c>
      <c r="M318" s="233">
        <v>0</v>
      </c>
      <c r="N318" s="233">
        <v>0</v>
      </c>
    </row>
    <row r="319" spans="1:14">
      <c r="A319" s="232" t="s">
        <v>20</v>
      </c>
      <c r="B319" s="233">
        <v>0</v>
      </c>
      <c r="C319" s="233">
        <v>0</v>
      </c>
      <c r="D319" s="233">
        <v>0</v>
      </c>
      <c r="E319" s="233">
        <v>0</v>
      </c>
      <c r="F319" s="233">
        <v>0</v>
      </c>
      <c r="G319" s="233">
        <v>0</v>
      </c>
      <c r="H319" s="233">
        <v>0</v>
      </c>
      <c r="I319" s="233">
        <v>0</v>
      </c>
      <c r="J319" s="233">
        <v>0</v>
      </c>
      <c r="K319" s="233">
        <v>0</v>
      </c>
      <c r="L319" s="233">
        <v>0</v>
      </c>
      <c r="M319" s="233">
        <v>0</v>
      </c>
      <c r="N319" s="233">
        <v>0</v>
      </c>
    </row>
    <row r="320" spans="1:14">
      <c r="A320" s="232" t="s">
        <v>106</v>
      </c>
      <c r="B320" s="233">
        <v>0</v>
      </c>
      <c r="C320" s="233">
        <v>0</v>
      </c>
      <c r="D320" s="233">
        <v>0</v>
      </c>
      <c r="E320" s="233">
        <v>0</v>
      </c>
      <c r="F320" s="233">
        <v>0</v>
      </c>
      <c r="G320" s="233">
        <v>0</v>
      </c>
      <c r="H320" s="233">
        <v>0</v>
      </c>
      <c r="I320" s="233">
        <v>0</v>
      </c>
      <c r="J320" s="233">
        <v>0</v>
      </c>
      <c r="K320" s="233">
        <v>0</v>
      </c>
      <c r="L320" s="233">
        <v>0</v>
      </c>
      <c r="M320" s="233">
        <v>0</v>
      </c>
      <c r="N320" s="233">
        <v>0</v>
      </c>
    </row>
    <row r="321" spans="1:14">
      <c r="A321" s="232" t="s">
        <v>93</v>
      </c>
      <c r="B321" s="233">
        <v>0</v>
      </c>
      <c r="C321" s="233">
        <v>0</v>
      </c>
      <c r="D321" s="233">
        <v>0</v>
      </c>
      <c r="E321" s="233">
        <v>0</v>
      </c>
      <c r="F321" s="233">
        <v>0</v>
      </c>
      <c r="G321" s="233">
        <v>0</v>
      </c>
      <c r="H321" s="233">
        <v>0</v>
      </c>
      <c r="I321" s="233">
        <v>0</v>
      </c>
      <c r="J321" s="233">
        <v>0</v>
      </c>
      <c r="K321" s="233">
        <v>0</v>
      </c>
      <c r="L321" s="233">
        <v>0</v>
      </c>
      <c r="M321" s="233">
        <v>0</v>
      </c>
      <c r="N321" s="233">
        <v>0</v>
      </c>
    </row>
    <row r="322" spans="1:14">
      <c r="A322" s="232" t="s">
        <v>102</v>
      </c>
      <c r="B322" s="233">
        <v>0</v>
      </c>
      <c r="C322" s="233">
        <v>0</v>
      </c>
      <c r="D322" s="233">
        <v>0</v>
      </c>
      <c r="E322" s="233">
        <v>0</v>
      </c>
      <c r="F322" s="233">
        <v>0</v>
      </c>
      <c r="G322" s="233">
        <v>0</v>
      </c>
      <c r="H322" s="233">
        <v>0</v>
      </c>
      <c r="I322" s="233">
        <v>0</v>
      </c>
      <c r="J322" s="233">
        <v>0</v>
      </c>
      <c r="K322" s="233">
        <v>0</v>
      </c>
      <c r="L322" s="233">
        <v>0</v>
      </c>
      <c r="M322" s="233">
        <v>0</v>
      </c>
      <c r="N322" s="233">
        <v>0</v>
      </c>
    </row>
    <row r="323" spans="1:14">
      <c r="A323" s="232" t="s">
        <v>107</v>
      </c>
      <c r="B323" s="233">
        <v>0</v>
      </c>
      <c r="C323" s="233">
        <v>0</v>
      </c>
      <c r="D323" s="233">
        <v>0</v>
      </c>
      <c r="E323" s="233">
        <v>0</v>
      </c>
      <c r="F323" s="233">
        <v>0</v>
      </c>
      <c r="G323" s="233">
        <v>0</v>
      </c>
      <c r="H323" s="233">
        <v>0</v>
      </c>
      <c r="I323" s="233">
        <v>0</v>
      </c>
      <c r="J323" s="233">
        <v>0</v>
      </c>
      <c r="K323" s="233">
        <v>0</v>
      </c>
      <c r="L323" s="233">
        <v>0</v>
      </c>
      <c r="M323" s="233">
        <v>0</v>
      </c>
      <c r="N323" s="233">
        <v>0</v>
      </c>
    </row>
    <row r="324" spans="1:14">
      <c r="A324" s="232" t="s">
        <v>99</v>
      </c>
      <c r="B324" s="233">
        <v>0</v>
      </c>
      <c r="C324" s="233">
        <v>0</v>
      </c>
      <c r="D324" s="233">
        <v>0</v>
      </c>
      <c r="E324" s="233">
        <v>0</v>
      </c>
      <c r="F324" s="233">
        <v>0</v>
      </c>
      <c r="G324" s="233">
        <v>0</v>
      </c>
      <c r="H324" s="233">
        <v>0</v>
      </c>
      <c r="I324" s="233">
        <v>0</v>
      </c>
      <c r="J324" s="233">
        <v>0</v>
      </c>
      <c r="K324" s="233">
        <v>0</v>
      </c>
      <c r="L324" s="233">
        <v>0</v>
      </c>
      <c r="M324" s="233">
        <v>0</v>
      </c>
      <c r="N324" s="233">
        <v>0</v>
      </c>
    </row>
    <row r="325" spans="1:14">
      <c r="A325" s="232" t="s">
        <v>100</v>
      </c>
      <c r="B325" s="233">
        <v>0</v>
      </c>
      <c r="C325" s="233">
        <v>0</v>
      </c>
      <c r="D325" s="233">
        <v>0</v>
      </c>
      <c r="E325" s="233">
        <v>0</v>
      </c>
      <c r="F325" s="233">
        <v>0</v>
      </c>
      <c r="G325" s="233">
        <v>0</v>
      </c>
      <c r="H325" s="233">
        <v>0</v>
      </c>
      <c r="I325" s="233">
        <v>0</v>
      </c>
      <c r="J325" s="233">
        <v>0</v>
      </c>
      <c r="K325" s="233">
        <v>0</v>
      </c>
      <c r="L325" s="233">
        <v>0</v>
      </c>
      <c r="M325" s="233">
        <v>0</v>
      </c>
      <c r="N325" s="233">
        <v>0</v>
      </c>
    </row>
    <row r="326" spans="1:14">
      <c r="A326" s="232" t="s">
        <v>97</v>
      </c>
      <c r="B326" s="233">
        <v>0</v>
      </c>
      <c r="C326" s="233">
        <v>0</v>
      </c>
      <c r="D326" s="233">
        <v>0</v>
      </c>
      <c r="E326" s="233">
        <v>0</v>
      </c>
      <c r="F326" s="233">
        <v>0</v>
      </c>
      <c r="G326" s="233">
        <v>0</v>
      </c>
      <c r="H326" s="233">
        <v>0</v>
      </c>
      <c r="I326" s="233">
        <v>0</v>
      </c>
      <c r="J326" s="233">
        <v>0</v>
      </c>
      <c r="K326" s="233">
        <v>0</v>
      </c>
      <c r="L326" s="233">
        <v>0</v>
      </c>
      <c r="M326" s="233">
        <v>0</v>
      </c>
      <c r="N326" s="233">
        <v>0</v>
      </c>
    </row>
    <row r="341" spans="1:10" s="153" customFormat="1" ht="13.8">
      <c r="B341" s="154" t="s">
        <v>166</v>
      </c>
      <c r="C341" s="155"/>
      <c r="D341" s="155"/>
      <c r="E341" s="155"/>
      <c r="F341" s="155"/>
      <c r="G341" s="155"/>
      <c r="H341" s="155"/>
      <c r="I341" s="155"/>
      <c r="J341" s="155"/>
    </row>
    <row r="342" spans="1:10">
      <c r="A342" s="16"/>
      <c r="B342" s="16"/>
      <c r="C342" s="299" t="s">
        <v>20</v>
      </c>
      <c r="D342" s="299" t="s">
        <v>42</v>
      </c>
      <c r="E342" s="299" t="s">
        <v>43</v>
      </c>
      <c r="F342" s="299" t="s">
        <v>44</v>
      </c>
      <c r="G342" s="299" t="s">
        <v>24</v>
      </c>
      <c r="H342" s="299" t="s">
        <v>45</v>
      </c>
      <c r="I342" s="299" t="s">
        <v>46</v>
      </c>
      <c r="J342" s="299" t="s">
        <v>47</v>
      </c>
    </row>
    <row r="343" spans="1:10">
      <c r="A343" s="17"/>
      <c r="B343" s="17"/>
      <c r="C343" s="300"/>
      <c r="D343" s="300"/>
      <c r="E343" s="300"/>
      <c r="F343" s="300"/>
      <c r="G343" s="300"/>
      <c r="H343" s="300"/>
      <c r="I343" s="300"/>
      <c r="J343" s="300"/>
    </row>
    <row r="344" spans="1:10">
      <c r="A344" s="151" t="s">
        <v>5</v>
      </c>
      <c r="B344" s="18" t="s">
        <v>288</v>
      </c>
      <c r="C344" s="54">
        <v>55.645161290322584</v>
      </c>
      <c r="D344" s="54">
        <v>11.29032258064516</v>
      </c>
      <c r="E344" s="54">
        <v>0</v>
      </c>
      <c r="F344" s="54">
        <v>0</v>
      </c>
      <c r="G344" s="54">
        <v>5.040322580645161</v>
      </c>
      <c r="H344" s="54">
        <v>6.0483870967741939</v>
      </c>
      <c r="I344" s="55">
        <v>0</v>
      </c>
      <c r="J344" s="58">
        <v>21.975806451612904</v>
      </c>
    </row>
    <row r="345" spans="1:10">
      <c r="A345" s="151" t="s">
        <v>6</v>
      </c>
      <c r="B345" s="18" t="s">
        <v>293</v>
      </c>
      <c r="C345" s="54">
        <v>43.824404761904759</v>
      </c>
      <c r="D345" s="54">
        <v>14.211309523809524</v>
      </c>
      <c r="E345" s="54">
        <v>0</v>
      </c>
      <c r="F345" s="54">
        <v>0.14880952380952381</v>
      </c>
      <c r="G345" s="54">
        <v>3.0009920634920637</v>
      </c>
      <c r="H345" s="54">
        <v>2.0337301587301586</v>
      </c>
      <c r="I345" s="55">
        <v>0</v>
      </c>
      <c r="J345" s="58">
        <v>36.780753968253968</v>
      </c>
    </row>
    <row r="346" spans="1:10">
      <c r="A346" s="151" t="s">
        <v>7</v>
      </c>
      <c r="B346" s="18" t="s">
        <v>298</v>
      </c>
      <c r="C346" s="54">
        <v>57.053009883198563</v>
      </c>
      <c r="D346" s="54">
        <v>9.681042228212041</v>
      </c>
      <c r="E346" s="54">
        <v>0</v>
      </c>
      <c r="F346" s="54">
        <v>0.26954177897574128</v>
      </c>
      <c r="G346" s="54">
        <v>4.7843665768194068</v>
      </c>
      <c r="H346" s="54">
        <v>0.87601078167115909</v>
      </c>
      <c r="I346" s="55">
        <v>0</v>
      </c>
      <c r="J346" s="58">
        <v>27.336028751123091</v>
      </c>
    </row>
    <row r="347" spans="1:10">
      <c r="A347" s="151" t="s">
        <v>8</v>
      </c>
      <c r="B347" s="18" t="s">
        <v>303</v>
      </c>
      <c r="C347" s="54">
        <v>60.486111111111107</v>
      </c>
      <c r="D347" s="54">
        <v>8.4722222222222232</v>
      </c>
      <c r="E347" s="54">
        <v>0</v>
      </c>
      <c r="F347" s="54">
        <v>0</v>
      </c>
      <c r="G347" s="54">
        <v>9.7453703703703702</v>
      </c>
      <c r="H347" s="54">
        <v>5.1620370370370363</v>
      </c>
      <c r="I347" s="55">
        <v>0</v>
      </c>
      <c r="J347" s="58">
        <v>16.13425925925926</v>
      </c>
    </row>
    <row r="348" spans="1:10">
      <c r="A348" s="151" t="s">
        <v>7</v>
      </c>
      <c r="B348" s="18" t="s">
        <v>305</v>
      </c>
      <c r="C348" s="54">
        <v>56.093189964157702</v>
      </c>
      <c r="D348" s="54">
        <v>10.125448028673835</v>
      </c>
      <c r="E348" s="54">
        <v>0</v>
      </c>
      <c r="F348" s="54">
        <v>0</v>
      </c>
      <c r="G348" s="54">
        <v>7.93010752688172</v>
      </c>
      <c r="H348" s="54">
        <v>0.13440860215053765</v>
      </c>
      <c r="I348" s="55">
        <v>0</v>
      </c>
      <c r="J348" s="58">
        <v>25.716845878136201</v>
      </c>
    </row>
    <row r="349" spans="1:10">
      <c r="A349" s="151" t="s">
        <v>9</v>
      </c>
      <c r="B349" s="18" t="s">
        <v>307</v>
      </c>
      <c r="C349" s="54">
        <v>59.050925925925931</v>
      </c>
      <c r="D349" s="54">
        <v>3.4722222222222223</v>
      </c>
      <c r="E349" s="54">
        <v>0</v>
      </c>
      <c r="F349" s="54">
        <v>0</v>
      </c>
      <c r="G349" s="54">
        <v>22.847222222222221</v>
      </c>
      <c r="H349" s="54">
        <v>0.625</v>
      </c>
      <c r="I349" s="55">
        <v>0</v>
      </c>
      <c r="J349" s="58">
        <v>14.004629629629628</v>
      </c>
    </row>
    <row r="350" spans="1:10">
      <c r="A350" s="151" t="s">
        <v>9</v>
      </c>
      <c r="B350" s="239" t="s">
        <v>314</v>
      </c>
      <c r="C350" s="54">
        <v>54.424283154121866</v>
      </c>
      <c r="D350" s="54">
        <v>7.4708781362007164</v>
      </c>
      <c r="E350" s="54">
        <v>0</v>
      </c>
      <c r="F350" s="54">
        <v>0</v>
      </c>
      <c r="G350" s="54">
        <v>20.71012544802867</v>
      </c>
      <c r="H350" s="54">
        <v>2.486559139784946</v>
      </c>
      <c r="I350" s="54">
        <v>0</v>
      </c>
      <c r="J350" s="54">
        <v>14.908154121863801</v>
      </c>
    </row>
    <row r="351" spans="1:10">
      <c r="A351" s="151" t="s">
        <v>8</v>
      </c>
      <c r="B351" s="239" t="s">
        <v>316</v>
      </c>
      <c r="C351" s="54">
        <v>51.211305518169581</v>
      </c>
      <c r="D351" s="54">
        <v>6.9313593539703895</v>
      </c>
      <c r="E351" s="54">
        <v>0</v>
      </c>
      <c r="F351" s="54">
        <v>0</v>
      </c>
      <c r="G351" s="54">
        <v>20.659488559892328</v>
      </c>
      <c r="H351" s="54">
        <v>1.2786002691790039</v>
      </c>
      <c r="I351" s="54">
        <v>0</v>
      </c>
      <c r="J351" s="54">
        <v>19.919246298788696</v>
      </c>
    </row>
    <row r="352" spans="1:10">
      <c r="A352" s="151" t="s">
        <v>10</v>
      </c>
      <c r="B352" s="239" t="s">
        <v>318</v>
      </c>
      <c r="C352" s="54">
        <v>48.585999072786279</v>
      </c>
      <c r="D352" s="54">
        <v>7.3945294390356979</v>
      </c>
      <c r="E352" s="54">
        <v>0</v>
      </c>
      <c r="F352" s="54">
        <v>0</v>
      </c>
      <c r="G352" s="54">
        <v>27.677329624478443</v>
      </c>
      <c r="H352" s="54">
        <v>3.2452480296708393</v>
      </c>
      <c r="I352" s="54">
        <v>0</v>
      </c>
      <c r="J352" s="54">
        <v>13.096893834028741</v>
      </c>
    </row>
    <row r="353" spans="1:15">
      <c r="A353" s="151" t="s">
        <v>11</v>
      </c>
      <c r="B353" s="239" t="s">
        <v>321</v>
      </c>
      <c r="C353" s="54">
        <v>47.515666965085046</v>
      </c>
      <c r="D353" s="54">
        <v>11.526410026857652</v>
      </c>
      <c r="E353" s="54">
        <v>0</v>
      </c>
      <c r="F353" s="54">
        <v>0</v>
      </c>
      <c r="G353" s="54">
        <v>13.093106535362578</v>
      </c>
      <c r="H353" s="54">
        <v>3.0214861235452104</v>
      </c>
      <c r="I353" s="54">
        <v>0</v>
      </c>
      <c r="J353" s="54">
        <v>24.843330349149511</v>
      </c>
    </row>
    <row r="354" spans="1:15">
      <c r="A354" s="151" t="s">
        <v>12</v>
      </c>
      <c r="B354" s="239" t="s">
        <v>326</v>
      </c>
      <c r="C354" s="54">
        <v>40.671296296296305</v>
      </c>
      <c r="D354" s="54">
        <v>9.2824074074074083</v>
      </c>
      <c r="E354" s="54">
        <v>0</v>
      </c>
      <c r="F354" s="54">
        <v>0.1388888888888889</v>
      </c>
      <c r="G354" s="54">
        <v>25</v>
      </c>
      <c r="H354" s="54">
        <v>2.9166666666666665</v>
      </c>
      <c r="I354" s="54">
        <v>0</v>
      </c>
      <c r="J354" s="54">
        <v>21.990740740740737</v>
      </c>
    </row>
    <row r="355" spans="1:15">
      <c r="A355" s="151" t="s">
        <v>13</v>
      </c>
      <c r="B355" s="239" t="s">
        <v>329</v>
      </c>
      <c r="C355" s="54">
        <v>46.102150537634408</v>
      </c>
      <c r="D355" s="54">
        <v>7.728494623655914</v>
      </c>
      <c r="E355" s="54">
        <v>0</v>
      </c>
      <c r="F355" s="54">
        <v>0</v>
      </c>
      <c r="G355" s="54">
        <v>21.841397849462368</v>
      </c>
      <c r="H355" s="54">
        <v>1.3440860215053763</v>
      </c>
      <c r="I355" s="54">
        <v>0</v>
      </c>
      <c r="J355" s="54">
        <v>22.983870967741936</v>
      </c>
    </row>
    <row r="356" spans="1:15">
      <c r="A356" s="152" t="s">
        <v>5</v>
      </c>
      <c r="B356" s="56" t="s">
        <v>344</v>
      </c>
      <c r="C356" s="57">
        <v>49.361559139784944</v>
      </c>
      <c r="D356" s="57">
        <v>6.3284050179211473</v>
      </c>
      <c r="E356" s="57">
        <v>0</v>
      </c>
      <c r="F356" s="57">
        <v>0</v>
      </c>
      <c r="G356" s="57">
        <v>22.927867383512542</v>
      </c>
      <c r="H356" s="57">
        <v>4.032258064516129</v>
      </c>
      <c r="I356" s="57">
        <v>0</v>
      </c>
      <c r="J356" s="57">
        <v>17.349910394265233</v>
      </c>
    </row>
    <row r="361" spans="1:15">
      <c r="A361" s="212"/>
      <c r="B361" s="212" t="s">
        <v>108</v>
      </c>
      <c r="C361" s="282" t="s">
        <v>287</v>
      </c>
      <c r="D361" s="282" t="s">
        <v>292</v>
      </c>
      <c r="E361" s="282" t="s">
        <v>297</v>
      </c>
      <c r="F361" s="282" t="s">
        <v>302</v>
      </c>
      <c r="G361" s="282" t="s">
        <v>304</v>
      </c>
      <c r="H361" s="282" t="s">
        <v>306</v>
      </c>
      <c r="I361" s="282" t="s">
        <v>313</v>
      </c>
      <c r="J361" s="282" t="s">
        <v>315</v>
      </c>
      <c r="K361" s="282" t="s">
        <v>317</v>
      </c>
      <c r="L361" s="282" t="s">
        <v>319</v>
      </c>
      <c r="M361" s="282" t="s">
        <v>325</v>
      </c>
      <c r="N361" s="282" t="s">
        <v>328</v>
      </c>
      <c r="O361" s="282" t="s">
        <v>330</v>
      </c>
    </row>
    <row r="362" spans="1:15">
      <c r="A362" s="212"/>
      <c r="B362" s="212" t="s">
        <v>30</v>
      </c>
      <c r="C362" s="282" t="s">
        <v>261</v>
      </c>
      <c r="D362" s="282" t="s">
        <v>261</v>
      </c>
      <c r="E362" s="282" t="s">
        <v>261</v>
      </c>
      <c r="F362" s="282" t="s">
        <v>261</v>
      </c>
      <c r="G362" s="282" t="s">
        <v>261</v>
      </c>
      <c r="H362" s="282" t="s">
        <v>261</v>
      </c>
      <c r="I362" s="282" t="s">
        <v>261</v>
      </c>
      <c r="J362" s="282" t="s">
        <v>261</v>
      </c>
      <c r="K362" s="282" t="s">
        <v>261</v>
      </c>
      <c r="L362" s="282" t="s">
        <v>261</v>
      </c>
      <c r="M362" s="282" t="s">
        <v>261</v>
      </c>
      <c r="N362" s="282" t="s">
        <v>261</v>
      </c>
      <c r="O362" s="282" t="s">
        <v>261</v>
      </c>
    </row>
    <row r="363" spans="1:15">
      <c r="A363" s="212" t="s">
        <v>147</v>
      </c>
      <c r="B363" s="212" t="s">
        <v>249</v>
      </c>
      <c r="C363" s="283"/>
      <c r="D363" s="283"/>
      <c r="E363" s="283"/>
      <c r="F363" s="283"/>
      <c r="G363" s="283"/>
      <c r="H363" s="283"/>
      <c r="I363" s="283"/>
      <c r="J363" s="283"/>
      <c r="K363" s="283"/>
      <c r="L363" s="283"/>
      <c r="M363" s="283"/>
      <c r="N363" s="283"/>
      <c r="O363" s="283"/>
    </row>
    <row r="364" spans="1:15">
      <c r="A364" s="320" t="s">
        <v>92</v>
      </c>
      <c r="B364" s="232" t="s">
        <v>243</v>
      </c>
      <c r="C364" s="213">
        <v>110.26006203049999</v>
      </c>
      <c r="D364" s="213">
        <v>94.510837275699998</v>
      </c>
      <c r="E364" s="213">
        <v>95.841393451599998</v>
      </c>
      <c r="F364" s="213">
        <v>101.43984967999999</v>
      </c>
      <c r="G364" s="213">
        <v>119.43567724570001</v>
      </c>
      <c r="H364" s="213">
        <v>124.7641188464</v>
      </c>
      <c r="I364" s="213">
        <v>128.72152353760001</v>
      </c>
      <c r="J364" s="213">
        <v>156.26961709899999</v>
      </c>
      <c r="K364" s="213">
        <v>206.45439589259999</v>
      </c>
      <c r="L364" s="213">
        <v>274.85440796680001</v>
      </c>
      <c r="M364" s="213">
        <v>245.7289197213</v>
      </c>
      <c r="N364" s="213">
        <v>297.45400465360001</v>
      </c>
      <c r="O364" s="213">
        <v>257.7031844018</v>
      </c>
    </row>
    <row r="365" spans="1:15">
      <c r="A365" s="317"/>
      <c r="B365" s="232" t="s">
        <v>244</v>
      </c>
      <c r="C365" s="213">
        <v>16.655519515600002</v>
      </c>
      <c r="D365" s="213">
        <v>27.540775143800001</v>
      </c>
      <c r="E365" s="213">
        <v>14.375630389099999</v>
      </c>
      <c r="F365" s="213">
        <v>12.330096533400001</v>
      </c>
      <c r="G365" s="213">
        <v>21.259185153099999</v>
      </c>
      <c r="H365" s="213">
        <v>16.212260548500002</v>
      </c>
      <c r="I365" s="213">
        <v>17.7897737316</v>
      </c>
      <c r="J365" s="213">
        <v>27.3192267268</v>
      </c>
      <c r="K365" s="213">
        <v>27.8295922826</v>
      </c>
      <c r="L365" s="213">
        <v>41.450569314399999</v>
      </c>
      <c r="M365" s="213">
        <v>35.946007103900001</v>
      </c>
      <c r="N365" s="213">
        <v>35.1796402517</v>
      </c>
      <c r="O365" s="213">
        <v>24.032215305299999</v>
      </c>
    </row>
    <row r="366" spans="1:15">
      <c r="A366" s="317"/>
      <c r="B366" s="232" t="s">
        <v>245</v>
      </c>
      <c r="C366" s="213">
        <v>63.220681052700002</v>
      </c>
      <c r="D366" s="213">
        <v>37.894021540200001</v>
      </c>
      <c r="E366" s="213">
        <v>49.8865662527</v>
      </c>
      <c r="F366" s="214" t="s">
        <v>87</v>
      </c>
      <c r="G366" s="214" t="s">
        <v>87</v>
      </c>
      <c r="H366" s="213">
        <v>91.156488779</v>
      </c>
      <c r="I366" s="213">
        <v>96.757169407899994</v>
      </c>
      <c r="J366" s="213">
        <v>110.01602101650001</v>
      </c>
      <c r="K366" s="213">
        <v>163.59300467950001</v>
      </c>
      <c r="L366" s="213">
        <v>212.36205037689999</v>
      </c>
      <c r="M366" s="213">
        <v>205.75351654170001</v>
      </c>
      <c r="N366" s="213">
        <v>247.17005219609999</v>
      </c>
      <c r="O366" s="213">
        <v>223.8606370688</v>
      </c>
    </row>
    <row r="367" spans="1:15">
      <c r="A367" s="317"/>
      <c r="B367" s="232" t="s">
        <v>16</v>
      </c>
      <c r="C367" s="213">
        <v>91.375342974500001</v>
      </c>
      <c r="D367" s="213">
        <v>38.438039105100003</v>
      </c>
      <c r="E367" s="213">
        <v>54.2956114829</v>
      </c>
      <c r="F367" s="213">
        <v>71.592941589099993</v>
      </c>
      <c r="G367" s="213">
        <v>80.680736471700001</v>
      </c>
      <c r="H367" s="213">
        <v>91.918076253999999</v>
      </c>
      <c r="I367" s="213">
        <v>98.235386535000004</v>
      </c>
      <c r="J367" s="213">
        <v>114.0376449442</v>
      </c>
      <c r="K367" s="213">
        <v>157.1654032383</v>
      </c>
      <c r="L367" s="213">
        <v>219.49932259549999</v>
      </c>
      <c r="M367" s="213">
        <v>227.84488664720001</v>
      </c>
      <c r="N367" s="213">
        <v>295.89973963469998</v>
      </c>
      <c r="O367" s="213">
        <v>233.109079568</v>
      </c>
    </row>
    <row r="368" spans="1:15">
      <c r="A368" s="317"/>
      <c r="B368" s="232" t="s">
        <v>246</v>
      </c>
      <c r="C368" s="213">
        <v>86.006234750100006</v>
      </c>
      <c r="D368" s="213">
        <v>41.9035054127</v>
      </c>
      <c r="E368" s="213">
        <v>57.959635929699999</v>
      </c>
      <c r="F368" s="213">
        <v>79.950315022699996</v>
      </c>
      <c r="G368" s="213">
        <v>86.127029421900005</v>
      </c>
      <c r="H368" s="213">
        <v>95.533937782600006</v>
      </c>
      <c r="I368" s="213">
        <v>103.90109947249999</v>
      </c>
      <c r="J368" s="213">
        <v>114.935433015</v>
      </c>
      <c r="K368" s="213">
        <v>170.42318296529999</v>
      </c>
      <c r="L368" s="213">
        <v>240.80786999840001</v>
      </c>
      <c r="M368" s="213">
        <v>225.2778716931</v>
      </c>
      <c r="N368" s="213">
        <v>286.1835643686</v>
      </c>
      <c r="O368" s="213">
        <v>246.2468363072</v>
      </c>
    </row>
    <row r="369" spans="1:16">
      <c r="A369" s="317"/>
      <c r="B369" s="232" t="s">
        <v>247</v>
      </c>
      <c r="C369" s="214" t="s">
        <v>87</v>
      </c>
      <c r="D369" s="214" t="s">
        <v>87</v>
      </c>
      <c r="E369" s="214" t="s">
        <v>87</v>
      </c>
      <c r="F369" s="214" t="s">
        <v>87</v>
      </c>
      <c r="G369" s="214" t="s">
        <v>87</v>
      </c>
      <c r="H369" s="214" t="s">
        <v>87</v>
      </c>
      <c r="I369" s="214" t="s">
        <v>87</v>
      </c>
      <c r="J369" s="214" t="s">
        <v>87</v>
      </c>
      <c r="K369" s="214" t="s">
        <v>87</v>
      </c>
      <c r="L369" s="214" t="s">
        <v>87</v>
      </c>
      <c r="M369" s="214" t="s">
        <v>87</v>
      </c>
      <c r="N369" s="214" t="s">
        <v>87</v>
      </c>
      <c r="O369" s="214" t="s">
        <v>87</v>
      </c>
    </row>
    <row r="370" spans="1:16">
      <c r="A370" s="317"/>
      <c r="B370" s="232" t="s">
        <v>248</v>
      </c>
      <c r="C370" s="213">
        <v>183.15712205770001</v>
      </c>
      <c r="D370" s="213">
        <v>124.1140106344</v>
      </c>
      <c r="E370" s="213">
        <v>151.4769792452</v>
      </c>
      <c r="F370" s="213">
        <v>180.75264028550001</v>
      </c>
      <c r="G370" s="213">
        <v>186.08636778409999</v>
      </c>
      <c r="H370" s="213">
        <v>207.6679429209</v>
      </c>
      <c r="I370" s="213">
        <v>191.34998147580001</v>
      </c>
      <c r="J370" s="213">
        <v>191.4136451741</v>
      </c>
      <c r="K370" s="213">
        <v>292.89413231179998</v>
      </c>
      <c r="L370" s="213">
        <v>414.01754011700001</v>
      </c>
      <c r="M370" s="213">
        <v>555.8437887668</v>
      </c>
      <c r="N370" s="213">
        <v>803.59752152579995</v>
      </c>
      <c r="O370" s="213">
        <v>859.25313398649996</v>
      </c>
      <c r="P370" s="60">
        <f>(O370/C370-1)*100</f>
        <v>369.13443732524325</v>
      </c>
    </row>
    <row r="371" spans="1:16">
      <c r="A371" s="317"/>
      <c r="B371" s="232" t="s">
        <v>322</v>
      </c>
      <c r="C371" s="214" t="s">
        <v>87</v>
      </c>
      <c r="D371" s="214" t="s">
        <v>87</v>
      </c>
      <c r="E371" s="214" t="s">
        <v>87</v>
      </c>
      <c r="F371" s="214" t="s">
        <v>87</v>
      </c>
      <c r="G371" s="214" t="s">
        <v>87</v>
      </c>
      <c r="H371" s="214" t="s">
        <v>87</v>
      </c>
      <c r="I371" s="214" t="s">
        <v>87</v>
      </c>
      <c r="J371" s="214" t="s">
        <v>87</v>
      </c>
      <c r="K371" s="214" t="s">
        <v>87</v>
      </c>
      <c r="L371" s="214" t="s">
        <v>87</v>
      </c>
      <c r="M371" s="214" t="s">
        <v>87</v>
      </c>
      <c r="N371" s="214" t="s">
        <v>87</v>
      </c>
      <c r="O371" s="214" t="s">
        <v>87</v>
      </c>
    </row>
    <row r="372" spans="1:16">
      <c r="A372" s="319"/>
      <c r="B372" s="232" t="s">
        <v>322</v>
      </c>
      <c r="C372" s="213">
        <v>54.316060098500003</v>
      </c>
      <c r="D372" s="213">
        <v>29.065669649299998</v>
      </c>
      <c r="E372" s="213">
        <v>45.8180149425</v>
      </c>
      <c r="F372" s="213">
        <v>62.286961624900002</v>
      </c>
      <c r="G372" s="213">
        <v>51.359381406099999</v>
      </c>
      <c r="H372" s="213">
        <v>80.545232922300002</v>
      </c>
      <c r="I372" s="213">
        <v>86.700599986100002</v>
      </c>
      <c r="J372" s="213">
        <v>100.8022641452</v>
      </c>
      <c r="K372" s="213">
        <v>136.455438974</v>
      </c>
      <c r="L372" s="213">
        <v>131.19551264730001</v>
      </c>
      <c r="M372" s="213">
        <v>191.86943783379999</v>
      </c>
      <c r="N372" s="213">
        <v>211.77408217710001</v>
      </c>
      <c r="O372" s="213">
        <v>200.20374403029999</v>
      </c>
    </row>
    <row r="373" spans="1:16">
      <c r="A373" s="316" t="s">
        <v>96</v>
      </c>
      <c r="B373" s="232" t="s">
        <v>243</v>
      </c>
      <c r="C373" s="213">
        <v>53.946552699400002</v>
      </c>
      <c r="D373" s="213">
        <v>27.162176346300001</v>
      </c>
      <c r="E373" s="213">
        <v>44.690481325699999</v>
      </c>
      <c r="F373" s="213">
        <v>60.373853773900002</v>
      </c>
      <c r="G373" s="213">
        <v>66.064211160499994</v>
      </c>
      <c r="H373" s="213">
        <v>81.556878052200005</v>
      </c>
      <c r="I373" s="213">
        <v>90.825389397899997</v>
      </c>
      <c r="J373" s="213">
        <v>100.26005549440001</v>
      </c>
      <c r="K373" s="213">
        <v>153.02489306410001</v>
      </c>
      <c r="L373" s="213">
        <v>186.1303684419</v>
      </c>
      <c r="M373" s="213">
        <v>165.3887794366</v>
      </c>
      <c r="N373" s="213">
        <v>191.188599877</v>
      </c>
      <c r="O373" s="213">
        <v>165.8980468789</v>
      </c>
    </row>
    <row r="374" spans="1:16">
      <c r="A374" s="317"/>
      <c r="B374" s="232" t="s">
        <v>244</v>
      </c>
      <c r="C374" s="214" t="s">
        <v>87</v>
      </c>
      <c r="D374" s="214" t="s">
        <v>87</v>
      </c>
      <c r="E374" s="214" t="s">
        <v>87</v>
      </c>
      <c r="F374" s="214" t="s">
        <v>87</v>
      </c>
      <c r="G374" s="214" t="s">
        <v>87</v>
      </c>
      <c r="H374" s="214" t="s">
        <v>87</v>
      </c>
      <c r="I374" s="214" t="s">
        <v>87</v>
      </c>
      <c r="J374" s="214" t="s">
        <v>87</v>
      </c>
      <c r="K374" s="214" t="s">
        <v>87</v>
      </c>
      <c r="L374" s="214" t="s">
        <v>87</v>
      </c>
      <c r="M374" s="214" t="s">
        <v>87</v>
      </c>
      <c r="N374" s="214" t="s">
        <v>87</v>
      </c>
      <c r="O374" s="214" t="s">
        <v>87</v>
      </c>
    </row>
    <row r="375" spans="1:16">
      <c r="A375" s="317"/>
      <c r="B375" s="232" t="s">
        <v>245</v>
      </c>
      <c r="C375" s="213">
        <v>59.951908228599997</v>
      </c>
      <c r="D375" s="213">
        <v>17.5082679404</v>
      </c>
      <c r="E375" s="213">
        <v>35.931100972599999</v>
      </c>
      <c r="F375" s="214" t="s">
        <v>87</v>
      </c>
      <c r="G375" s="214" t="s">
        <v>87</v>
      </c>
      <c r="H375" s="213">
        <v>70.049151887899995</v>
      </c>
      <c r="I375" s="213">
        <v>76.443767935500006</v>
      </c>
      <c r="J375" s="213">
        <v>88.488353008800004</v>
      </c>
      <c r="K375" s="213">
        <v>130.76360995760001</v>
      </c>
      <c r="L375" s="213">
        <v>163.59983817849999</v>
      </c>
      <c r="M375" s="213">
        <v>170.5480600436</v>
      </c>
      <c r="N375" s="213">
        <v>217.2346750303</v>
      </c>
      <c r="O375" s="213">
        <v>176.02482867820001</v>
      </c>
    </row>
    <row r="376" spans="1:16">
      <c r="A376" s="317"/>
      <c r="B376" s="232" t="s">
        <v>16</v>
      </c>
      <c r="C376" s="213">
        <v>53.569971114799998</v>
      </c>
      <c r="D376" s="213">
        <v>20.270014616800001</v>
      </c>
      <c r="E376" s="213">
        <v>35.717588810300001</v>
      </c>
      <c r="F376" s="213">
        <v>56.886262934500003</v>
      </c>
      <c r="G376" s="213">
        <v>47.649686703299999</v>
      </c>
      <c r="H376" s="213">
        <v>71.347228829499997</v>
      </c>
      <c r="I376" s="213">
        <v>75.628799988799997</v>
      </c>
      <c r="J376" s="213">
        <v>90.629518909599994</v>
      </c>
      <c r="K376" s="213">
        <v>137.6869189626</v>
      </c>
      <c r="L376" s="213">
        <v>138.74140145710001</v>
      </c>
      <c r="M376" s="213">
        <v>130.28165660920001</v>
      </c>
      <c r="N376" s="213">
        <v>150.1314882881</v>
      </c>
      <c r="O376" s="213">
        <v>165.01481997799999</v>
      </c>
    </row>
    <row r="377" spans="1:16">
      <c r="A377" s="317"/>
      <c r="B377" s="232" t="s">
        <v>246</v>
      </c>
      <c r="C377" s="213">
        <v>33.638654760999998</v>
      </c>
      <c r="D377" s="213">
        <v>10.9593926761</v>
      </c>
      <c r="E377" s="213">
        <v>24.629684491999999</v>
      </c>
      <c r="F377" s="213">
        <v>47.342571020999998</v>
      </c>
      <c r="G377" s="213">
        <v>38.491493961000003</v>
      </c>
      <c r="H377" s="213">
        <v>60.991801974099999</v>
      </c>
      <c r="I377" s="213">
        <v>68.295439593200001</v>
      </c>
      <c r="J377" s="213">
        <v>77.530400542500004</v>
      </c>
      <c r="K377" s="213">
        <v>117.7213000787</v>
      </c>
      <c r="L377" s="213">
        <v>94.849630089200005</v>
      </c>
      <c r="M377" s="213">
        <v>129.243849404</v>
      </c>
      <c r="N377" s="213">
        <v>124.5650575415</v>
      </c>
      <c r="O377" s="213">
        <v>152.43601567159999</v>
      </c>
    </row>
    <row r="378" spans="1:16">
      <c r="A378" s="317"/>
      <c r="B378" s="232" t="s">
        <v>247</v>
      </c>
      <c r="C378" s="214" t="s">
        <v>87</v>
      </c>
      <c r="D378" s="214" t="s">
        <v>87</v>
      </c>
      <c r="E378" s="214" t="s">
        <v>87</v>
      </c>
      <c r="F378" s="214" t="s">
        <v>87</v>
      </c>
      <c r="G378" s="214" t="s">
        <v>87</v>
      </c>
      <c r="H378" s="214" t="s">
        <v>87</v>
      </c>
      <c r="I378" s="214" t="s">
        <v>87</v>
      </c>
      <c r="J378" s="214" t="s">
        <v>87</v>
      </c>
      <c r="K378" s="214" t="s">
        <v>87</v>
      </c>
      <c r="L378" s="214" t="s">
        <v>87</v>
      </c>
      <c r="M378" s="214" t="s">
        <v>87</v>
      </c>
      <c r="N378" s="214" t="s">
        <v>87</v>
      </c>
      <c r="O378" s="214" t="s">
        <v>87</v>
      </c>
    </row>
    <row r="379" spans="1:16">
      <c r="A379" s="317"/>
      <c r="B379" s="232" t="s">
        <v>248</v>
      </c>
      <c r="C379" s="213">
        <v>16.550290240999999</v>
      </c>
      <c r="D379" s="213">
        <v>8.7021444707000004</v>
      </c>
      <c r="E379" s="213">
        <v>14.824806007199999</v>
      </c>
      <c r="F379" s="213">
        <v>17.084072255700001</v>
      </c>
      <c r="G379" s="213">
        <v>21.128543547700001</v>
      </c>
      <c r="H379" s="213">
        <v>20.981990845599999</v>
      </c>
      <c r="I379" s="213">
        <v>11.889897555499999</v>
      </c>
      <c r="J379" s="213">
        <v>11.1421123764</v>
      </c>
      <c r="K379" s="213">
        <v>48.938886027000002</v>
      </c>
      <c r="L379" s="213">
        <v>56.7825392218</v>
      </c>
      <c r="M379" s="213">
        <v>58.158957931099998</v>
      </c>
      <c r="N379" s="213">
        <v>100.08318474879999</v>
      </c>
      <c r="O379" s="213">
        <v>56.674718755900003</v>
      </c>
    </row>
    <row r="380" spans="1:16">
      <c r="A380" s="317"/>
      <c r="B380" s="232" t="s">
        <v>322</v>
      </c>
      <c r="C380" s="214" t="s">
        <v>87</v>
      </c>
      <c r="D380" s="214" t="s">
        <v>87</v>
      </c>
      <c r="E380" s="214" t="s">
        <v>87</v>
      </c>
      <c r="F380" s="214" t="s">
        <v>87</v>
      </c>
      <c r="G380" s="214" t="s">
        <v>87</v>
      </c>
      <c r="H380" s="214" t="s">
        <v>87</v>
      </c>
      <c r="I380" s="214" t="s">
        <v>87</v>
      </c>
      <c r="J380" s="214" t="s">
        <v>87</v>
      </c>
      <c r="K380" s="214" t="s">
        <v>87</v>
      </c>
      <c r="L380" s="214" t="s">
        <v>87</v>
      </c>
      <c r="M380" s="214" t="s">
        <v>87</v>
      </c>
      <c r="N380" s="214" t="s">
        <v>87</v>
      </c>
      <c r="O380" s="214" t="s">
        <v>87</v>
      </c>
    </row>
    <row r="381" spans="1:16">
      <c r="A381" s="319"/>
      <c r="B381" s="232" t="s">
        <v>322</v>
      </c>
      <c r="C381" s="213">
        <v>77.901569195799993</v>
      </c>
      <c r="D381" s="213">
        <v>34.682442227300001</v>
      </c>
      <c r="E381" s="213">
        <v>43.434583634600003</v>
      </c>
      <c r="F381" s="213">
        <v>66.381283773500002</v>
      </c>
      <c r="G381" s="213">
        <v>66.960475301299994</v>
      </c>
      <c r="H381" s="213">
        <v>83.191862507500005</v>
      </c>
      <c r="I381" s="213">
        <v>88.670328642300007</v>
      </c>
      <c r="J381" s="213">
        <v>104.32859804890001</v>
      </c>
      <c r="K381" s="213">
        <v>151.04323535770001</v>
      </c>
      <c r="L381" s="213">
        <v>202.79131424490001</v>
      </c>
      <c r="M381" s="213">
        <v>205.7875639927</v>
      </c>
      <c r="N381" s="213">
        <v>274.76169516319999</v>
      </c>
      <c r="O381" s="213">
        <v>214.61647665340001</v>
      </c>
    </row>
    <row r="384" spans="1:16">
      <c r="C384" s="73"/>
      <c r="D384" s="73"/>
      <c r="E384" s="73"/>
      <c r="F384" s="73"/>
      <c r="G384" s="73"/>
      <c r="H384" s="73"/>
      <c r="I384" s="73"/>
      <c r="J384" s="73"/>
      <c r="K384" s="73"/>
      <c r="L384" s="73"/>
      <c r="M384" s="73"/>
      <c r="N384" s="73"/>
      <c r="O384" s="73"/>
    </row>
    <row r="387" spans="1:16">
      <c r="A387" s="212" t="s">
        <v>108</v>
      </c>
      <c r="B387" s="282" t="s">
        <v>287</v>
      </c>
      <c r="C387" s="282" t="s">
        <v>292</v>
      </c>
      <c r="D387" s="282" t="s">
        <v>297</v>
      </c>
      <c r="E387" s="282" t="s">
        <v>302</v>
      </c>
      <c r="F387" s="282" t="s">
        <v>304</v>
      </c>
      <c r="G387" s="282" t="s">
        <v>306</v>
      </c>
      <c r="H387" s="282" t="s">
        <v>313</v>
      </c>
      <c r="I387" s="282" t="s">
        <v>315</v>
      </c>
      <c r="J387" s="282" t="s">
        <v>317</v>
      </c>
      <c r="K387" s="282" t="s">
        <v>319</v>
      </c>
      <c r="L387" s="282" t="s">
        <v>325</v>
      </c>
      <c r="M387" s="282" t="s">
        <v>328</v>
      </c>
      <c r="N387" s="282" t="s">
        <v>330</v>
      </c>
    </row>
    <row r="388" spans="1:16">
      <c r="A388" s="212" t="s">
        <v>30</v>
      </c>
      <c r="B388" s="283"/>
      <c r="C388" s="283"/>
      <c r="D388" s="283"/>
      <c r="E388" s="283"/>
      <c r="F388" s="283"/>
      <c r="G388" s="283"/>
      <c r="H388" s="283"/>
      <c r="I388" s="283"/>
      <c r="J388" s="283"/>
      <c r="K388" s="283"/>
      <c r="L388" s="283"/>
      <c r="M388" s="283"/>
      <c r="N388" s="283"/>
      <c r="O388" s="73"/>
    </row>
    <row r="389" spans="1:16">
      <c r="A389" s="232" t="s">
        <v>92</v>
      </c>
      <c r="B389" s="233">
        <v>226500</v>
      </c>
      <c r="C389" s="233">
        <v>81934</v>
      </c>
      <c r="D389" s="233">
        <v>126244</v>
      </c>
      <c r="E389" s="233">
        <v>127856</v>
      </c>
      <c r="F389" s="233">
        <v>102428</v>
      </c>
      <c r="G389" s="233">
        <v>186252</v>
      </c>
      <c r="H389" s="233">
        <v>201819</v>
      </c>
      <c r="I389" s="233">
        <v>291448</v>
      </c>
      <c r="J389" s="233">
        <v>96081.4</v>
      </c>
      <c r="K389" s="233">
        <v>118365.1</v>
      </c>
      <c r="L389" s="233">
        <v>343479</v>
      </c>
      <c r="M389" s="233">
        <v>265922</v>
      </c>
      <c r="N389" s="233">
        <v>242550</v>
      </c>
      <c r="O389" s="73"/>
    </row>
    <row r="390" spans="1:16">
      <c r="A390" s="232" t="s">
        <v>96</v>
      </c>
      <c r="B390" s="233">
        <v>94356</v>
      </c>
      <c r="C390" s="233">
        <v>108008</v>
      </c>
      <c r="D390" s="233">
        <v>108770</v>
      </c>
      <c r="E390" s="233">
        <v>70258.899999999994</v>
      </c>
      <c r="F390" s="233">
        <v>106486</v>
      </c>
      <c r="G390" s="233">
        <v>55783</v>
      </c>
      <c r="H390" s="233">
        <v>51039</v>
      </c>
      <c r="I390" s="233">
        <v>33637</v>
      </c>
      <c r="J390" s="233">
        <v>93374</v>
      </c>
      <c r="K390" s="233">
        <v>45192.800000000003</v>
      </c>
      <c r="L390" s="233">
        <v>29276</v>
      </c>
      <c r="M390" s="233">
        <v>55765</v>
      </c>
      <c r="N390" s="233">
        <v>41421</v>
      </c>
    </row>
    <row r="392" spans="1:16">
      <c r="C392" s="73"/>
      <c r="D392" s="73"/>
      <c r="E392" s="73"/>
      <c r="F392" s="73"/>
      <c r="G392" s="73"/>
      <c r="H392" s="73"/>
      <c r="I392" s="73"/>
      <c r="J392" s="73"/>
      <c r="K392" s="73"/>
      <c r="L392" s="73"/>
      <c r="M392" s="73"/>
      <c r="N392" s="73"/>
      <c r="O392" s="73"/>
    </row>
    <row r="393" spans="1:16">
      <c r="C393" s="73"/>
      <c r="D393" s="73"/>
      <c r="E393" s="73"/>
      <c r="F393" s="73"/>
      <c r="G393" s="73"/>
      <c r="H393" s="73"/>
      <c r="I393" s="73"/>
      <c r="J393" s="73"/>
      <c r="K393" s="73"/>
      <c r="L393" s="73"/>
      <c r="M393" s="73"/>
      <c r="N393" s="73"/>
      <c r="O393" s="73"/>
    </row>
    <row r="394" spans="1:16">
      <c r="A394" s="212"/>
      <c r="B394" s="212"/>
      <c r="C394" s="212" t="s">
        <v>30</v>
      </c>
      <c r="D394" s="318" t="s">
        <v>277</v>
      </c>
      <c r="E394" s="313"/>
      <c r="F394" s="313"/>
      <c r="G394" s="313"/>
      <c r="H394" s="313"/>
      <c r="I394" s="313"/>
      <c r="J394" s="313"/>
      <c r="K394" s="313"/>
      <c r="L394" s="313"/>
      <c r="M394" s="313"/>
      <c r="N394" s="313"/>
      <c r="O394" s="313"/>
      <c r="P394" s="313"/>
    </row>
    <row r="395" spans="1:16">
      <c r="A395" s="212"/>
      <c r="B395" s="212"/>
      <c r="C395" s="212" t="s">
        <v>108</v>
      </c>
      <c r="D395" s="282" t="s">
        <v>287</v>
      </c>
      <c r="E395" s="282" t="s">
        <v>292</v>
      </c>
      <c r="F395" s="282" t="s">
        <v>297</v>
      </c>
      <c r="G395" s="282" t="s">
        <v>302</v>
      </c>
      <c r="H395" s="282" t="s">
        <v>304</v>
      </c>
      <c r="I395" s="282" t="s">
        <v>306</v>
      </c>
      <c r="J395" s="282" t="s">
        <v>313</v>
      </c>
      <c r="K395" s="282" t="s">
        <v>315</v>
      </c>
      <c r="L395" s="282" t="s">
        <v>317</v>
      </c>
      <c r="M395" s="282" t="s">
        <v>319</v>
      </c>
      <c r="N395" s="282" t="s">
        <v>325</v>
      </c>
      <c r="O395" s="282" t="s">
        <v>328</v>
      </c>
      <c r="P395" s="282" t="s">
        <v>330</v>
      </c>
    </row>
    <row r="396" spans="1:16">
      <c r="A396" s="212" t="s">
        <v>147</v>
      </c>
      <c r="B396" s="212" t="s">
        <v>278</v>
      </c>
      <c r="C396" s="212" t="s">
        <v>279</v>
      </c>
      <c r="D396" s="283"/>
      <c r="E396" s="283"/>
      <c r="F396" s="283"/>
      <c r="G396" s="283"/>
      <c r="H396" s="283"/>
      <c r="I396" s="283"/>
      <c r="J396" s="283"/>
      <c r="K396" s="283"/>
      <c r="L396" s="283"/>
      <c r="M396" s="283"/>
      <c r="N396" s="283"/>
      <c r="O396" s="283"/>
      <c r="P396" s="283"/>
    </row>
    <row r="397" spans="1:16">
      <c r="A397" s="320" t="s">
        <v>271</v>
      </c>
      <c r="B397" s="320" t="s">
        <v>272</v>
      </c>
      <c r="C397" s="232" t="s">
        <v>273</v>
      </c>
      <c r="D397" s="233">
        <v>0</v>
      </c>
      <c r="E397" s="233">
        <v>16686.7</v>
      </c>
      <c r="F397" s="233">
        <v>55171.8</v>
      </c>
      <c r="G397" s="233">
        <v>48949.5</v>
      </c>
      <c r="H397" s="233">
        <v>17155.7</v>
      </c>
      <c r="I397" s="233">
        <v>24417.4</v>
      </c>
      <c r="J397" s="233">
        <v>32356.7</v>
      </c>
      <c r="K397" s="233">
        <v>10422.799999999999</v>
      </c>
      <c r="L397" s="233">
        <v>16160</v>
      </c>
      <c r="M397" s="233">
        <v>22251.7</v>
      </c>
      <c r="N397" s="233">
        <v>43842.5</v>
      </c>
      <c r="O397" s="233">
        <v>53460</v>
      </c>
      <c r="P397" s="233">
        <v>56434</v>
      </c>
    </row>
    <row r="398" spans="1:16">
      <c r="A398" s="317"/>
      <c r="B398" s="319"/>
      <c r="C398" s="232" t="s">
        <v>274</v>
      </c>
      <c r="D398" s="233">
        <v>36360.300000000003</v>
      </c>
      <c r="E398" s="233">
        <v>32453.200000000001</v>
      </c>
      <c r="F398" s="233">
        <v>23771</v>
      </c>
      <c r="G398" s="233">
        <v>41786.5</v>
      </c>
      <c r="H398" s="233">
        <v>66602</v>
      </c>
      <c r="I398" s="233">
        <v>48121.8</v>
      </c>
      <c r="J398" s="233">
        <v>52628.6</v>
      </c>
      <c r="K398" s="233">
        <v>35868.400000000001</v>
      </c>
      <c r="L398" s="233">
        <v>27614.799999999999</v>
      </c>
      <c r="M398" s="233">
        <v>57303</v>
      </c>
      <c r="N398" s="233">
        <v>42886.3</v>
      </c>
      <c r="O398" s="233">
        <v>61129.1</v>
      </c>
      <c r="P398" s="233">
        <v>41874.5</v>
      </c>
    </row>
    <row r="399" spans="1:16">
      <c r="A399" s="317"/>
      <c r="B399" s="316" t="s">
        <v>275</v>
      </c>
      <c r="C399" s="232" t="s">
        <v>273</v>
      </c>
      <c r="D399" s="233">
        <v>0</v>
      </c>
      <c r="E399" s="233">
        <v>0</v>
      </c>
      <c r="F399" s="233">
        <v>0</v>
      </c>
      <c r="G399" s="233">
        <v>0</v>
      </c>
      <c r="H399" s="233">
        <v>0</v>
      </c>
      <c r="I399" s="233">
        <v>0</v>
      </c>
      <c r="J399" s="233">
        <v>0</v>
      </c>
      <c r="K399" s="233">
        <v>0</v>
      </c>
      <c r="L399" s="233">
        <v>0</v>
      </c>
      <c r="M399" s="233">
        <v>0</v>
      </c>
      <c r="N399" s="233">
        <v>0</v>
      </c>
      <c r="O399" s="233">
        <v>0</v>
      </c>
      <c r="P399" s="233">
        <v>0</v>
      </c>
    </row>
    <row r="400" spans="1:16">
      <c r="A400" s="319"/>
      <c r="B400" s="319"/>
      <c r="C400" s="232" t="s">
        <v>274</v>
      </c>
      <c r="D400" s="233">
        <v>0</v>
      </c>
      <c r="E400" s="233">
        <v>0</v>
      </c>
      <c r="F400" s="233">
        <v>0</v>
      </c>
      <c r="G400" s="233">
        <v>0</v>
      </c>
      <c r="H400" s="233">
        <v>0</v>
      </c>
      <c r="I400" s="233">
        <v>0</v>
      </c>
      <c r="J400" s="233">
        <v>0</v>
      </c>
      <c r="K400" s="233">
        <v>0</v>
      </c>
      <c r="L400" s="233">
        <v>0</v>
      </c>
      <c r="M400" s="233">
        <v>0</v>
      </c>
      <c r="N400" s="233">
        <v>0</v>
      </c>
      <c r="O400" s="233">
        <v>0</v>
      </c>
      <c r="P400" s="233">
        <v>0</v>
      </c>
    </row>
    <row r="401" spans="1:16">
      <c r="A401" s="316" t="s">
        <v>276</v>
      </c>
      <c r="B401" s="316" t="s">
        <v>272</v>
      </c>
      <c r="C401" s="232" t="s">
        <v>273</v>
      </c>
      <c r="D401" s="233">
        <v>0</v>
      </c>
      <c r="E401" s="233">
        <v>-3833.9</v>
      </c>
      <c r="F401" s="233">
        <v>-14708.8</v>
      </c>
      <c r="G401" s="233">
        <v>-23425.3</v>
      </c>
      <c r="H401" s="233">
        <v>-29868.1</v>
      </c>
      <c r="I401" s="233">
        <v>-22114.9</v>
      </c>
      <c r="J401" s="233">
        <v>-13794.4</v>
      </c>
      <c r="K401" s="233">
        <v>-10931.6</v>
      </c>
      <c r="L401" s="233">
        <v>-22871.5</v>
      </c>
      <c r="M401" s="233">
        <v>-31842.2</v>
      </c>
      <c r="N401" s="233">
        <v>-24354.5</v>
      </c>
      <c r="O401" s="233">
        <v>-14504.8</v>
      </c>
      <c r="P401" s="233">
        <v>-26635.4</v>
      </c>
    </row>
    <row r="402" spans="1:16">
      <c r="A402" s="317"/>
      <c r="B402" s="319"/>
      <c r="C402" s="232" t="s">
        <v>274</v>
      </c>
      <c r="D402" s="233">
        <v>-55888.5</v>
      </c>
      <c r="E402" s="233">
        <v>-32519.8</v>
      </c>
      <c r="F402" s="233">
        <v>-70500</v>
      </c>
      <c r="G402" s="233">
        <v>-41770</v>
      </c>
      <c r="H402" s="233">
        <v>-36645.5</v>
      </c>
      <c r="I402" s="233">
        <v>-46831.4</v>
      </c>
      <c r="J402" s="233">
        <v>-40614.300000000003</v>
      </c>
      <c r="K402" s="233">
        <v>-27867.9</v>
      </c>
      <c r="L402" s="233">
        <v>-60380.5</v>
      </c>
      <c r="M402" s="233">
        <v>-49868.6</v>
      </c>
      <c r="N402" s="233">
        <v>-51005.7</v>
      </c>
      <c r="O402" s="233">
        <v>-58082.9</v>
      </c>
      <c r="P402" s="233">
        <v>-52718.7</v>
      </c>
    </row>
    <row r="403" spans="1:16">
      <c r="A403" s="317"/>
      <c r="B403" s="316" t="s">
        <v>275</v>
      </c>
      <c r="C403" s="232" t="s">
        <v>273</v>
      </c>
      <c r="D403" s="233">
        <v>0</v>
      </c>
      <c r="E403" s="233">
        <v>0</v>
      </c>
      <c r="F403" s="233">
        <v>0</v>
      </c>
      <c r="G403" s="233">
        <v>0</v>
      </c>
      <c r="H403" s="233">
        <v>0</v>
      </c>
      <c r="I403" s="233">
        <v>0</v>
      </c>
      <c r="J403" s="233">
        <v>0</v>
      </c>
      <c r="K403" s="233">
        <v>0</v>
      </c>
      <c r="L403" s="233">
        <v>0</v>
      </c>
      <c r="M403" s="233">
        <v>0</v>
      </c>
      <c r="N403" s="233">
        <v>0</v>
      </c>
      <c r="O403" s="233">
        <v>0</v>
      </c>
      <c r="P403" s="233">
        <v>0</v>
      </c>
    </row>
    <row r="404" spans="1:16">
      <c r="A404" s="319"/>
      <c r="B404" s="319"/>
      <c r="C404" s="232" t="s">
        <v>274</v>
      </c>
      <c r="D404" s="233">
        <v>0</v>
      </c>
      <c r="E404" s="233">
        <v>0</v>
      </c>
      <c r="F404" s="233">
        <v>0</v>
      </c>
      <c r="G404" s="233">
        <v>0</v>
      </c>
      <c r="H404" s="233">
        <v>0</v>
      </c>
      <c r="I404" s="233">
        <v>0</v>
      </c>
      <c r="J404" s="233">
        <v>0</v>
      </c>
      <c r="K404" s="233">
        <v>0</v>
      </c>
      <c r="L404" s="233">
        <v>0</v>
      </c>
      <c r="M404" s="233">
        <v>0</v>
      </c>
      <c r="N404" s="233">
        <v>0</v>
      </c>
      <c r="O404" s="233">
        <v>0</v>
      </c>
      <c r="P404" s="233">
        <v>0</v>
      </c>
    </row>
    <row r="405" spans="1:16">
      <c r="D405" s="233">
        <f>'Data 2'!D94</f>
        <v>275840.2</v>
      </c>
      <c r="E405" s="233">
        <f>'Data 2'!E94</f>
        <v>88172.2</v>
      </c>
      <c r="F405" s="233">
        <f>'Data 2'!F94</f>
        <v>128766.39999999999</v>
      </c>
      <c r="G405" s="233">
        <f>'Data 2'!G94</f>
        <v>148371.20000000001</v>
      </c>
      <c r="H405" s="233">
        <f>'Data 2'!H94</f>
        <v>111851.8</v>
      </c>
      <c r="I405" s="233">
        <f>'Data 2'!I94</f>
        <v>182049.8</v>
      </c>
      <c r="J405" s="233">
        <f>'Data 2'!J94</f>
        <v>184550.8</v>
      </c>
      <c r="K405" s="233">
        <f>'Data 2'!K94</f>
        <v>298829.90000000002</v>
      </c>
      <c r="L405" s="233">
        <f>'Data 2'!L94</f>
        <v>160066</v>
      </c>
      <c r="M405" s="233">
        <f>'Data 2'!M94</f>
        <v>161949.6</v>
      </c>
      <c r="N405" s="233">
        <f>'Data 2'!N94</f>
        <v>357339.7</v>
      </c>
      <c r="O405" s="233">
        <f>'Data 2'!O94</f>
        <v>282259.40000000002</v>
      </c>
      <c r="P405" s="233">
        <f>'Data 2'!P94</f>
        <v>244787.3</v>
      </c>
    </row>
    <row r="406" spans="1:16">
      <c r="D406" s="233">
        <f>'Data 2'!D105</f>
        <v>124168</v>
      </c>
      <c r="E406" s="233">
        <f>'Data 2'!E105</f>
        <v>127032.4</v>
      </c>
      <c r="F406" s="233">
        <f>'Data 2'!F105</f>
        <v>105026.4</v>
      </c>
      <c r="G406" s="233">
        <f>'Data 2'!G105</f>
        <v>116314.8</v>
      </c>
      <c r="H406" s="233">
        <f>'Data 2'!H105</f>
        <v>133153.9</v>
      </c>
      <c r="I406" s="233">
        <f>'Data 2'!I105</f>
        <v>55173.7</v>
      </c>
      <c r="J406" s="233">
        <f>'Data 2'!J105</f>
        <v>64347.4</v>
      </c>
      <c r="K406" s="233">
        <f>'Data 2'!K105</f>
        <v>48510.6</v>
      </c>
      <c r="L406" s="233">
        <f>'Data 2'!L105</f>
        <v>117881.4</v>
      </c>
      <c r="M406" s="233">
        <f>'Data 2'!M105</f>
        <v>86621.2</v>
      </c>
      <c r="N406" s="233">
        <f>'Data 2'!N105</f>
        <v>54505.3</v>
      </c>
      <c r="O406" s="233">
        <f>'Data 2'!O105</f>
        <v>114103.8</v>
      </c>
      <c r="P406" s="233">
        <f>'Data 2'!P105</f>
        <v>62612.7</v>
      </c>
    </row>
    <row r="407" spans="1:16">
      <c r="D407" t="s">
        <v>280</v>
      </c>
    </row>
    <row r="658" ht="37.5" customHeight="1"/>
    <row r="659" ht="37.5" customHeight="1"/>
  </sheetData>
  <mergeCells count="49">
    <mergeCell ref="A247:A257"/>
    <mergeCell ref="B301:N301"/>
    <mergeCell ref="A270:A282"/>
    <mergeCell ref="B41:N41"/>
    <mergeCell ref="A140:A148"/>
    <mergeCell ref="A134:A139"/>
    <mergeCell ref="B65:B66"/>
    <mergeCell ref="H65:H66"/>
    <mergeCell ref="J65:J66"/>
    <mergeCell ref="I65:I66"/>
    <mergeCell ref="F65:F66"/>
    <mergeCell ref="C65:C66"/>
    <mergeCell ref="D65:D66"/>
    <mergeCell ref="G65:G66"/>
    <mergeCell ref="A189:A205"/>
    <mergeCell ref="A237:A246"/>
    <mergeCell ref="D394:P394"/>
    <mergeCell ref="A283:A295"/>
    <mergeCell ref="A373:A381"/>
    <mergeCell ref="A364:A372"/>
    <mergeCell ref="C267:O267"/>
    <mergeCell ref="B308:N308"/>
    <mergeCell ref="I342:I343"/>
    <mergeCell ref="J342:J343"/>
    <mergeCell ref="C342:C343"/>
    <mergeCell ref="D342:D343"/>
    <mergeCell ref="H342:H343"/>
    <mergeCell ref="E342:E343"/>
    <mergeCell ref="F342:F343"/>
    <mergeCell ref="G342:G343"/>
    <mergeCell ref="B403:B404"/>
    <mergeCell ref="B401:B402"/>
    <mergeCell ref="A401:A404"/>
    <mergeCell ref="B399:B400"/>
    <mergeCell ref="B397:B398"/>
    <mergeCell ref="A397:A400"/>
    <mergeCell ref="A206:A222"/>
    <mergeCell ref="B4:AB4"/>
    <mergeCell ref="B97:C97"/>
    <mergeCell ref="B178:L178"/>
    <mergeCell ref="E65:E66"/>
    <mergeCell ref="B5:AB5"/>
    <mergeCell ref="B259:N259"/>
    <mergeCell ref="B223:N223"/>
    <mergeCell ref="D98:E117"/>
    <mergeCell ref="B119:C119"/>
    <mergeCell ref="C131:O131"/>
    <mergeCell ref="C186:O186"/>
    <mergeCell ref="C234:O234"/>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B4" sqref="B4"/>
    </sheetView>
  </sheetViews>
  <sheetFormatPr baseColWidth="10" defaultColWidth="10.88671875" defaultRowHeight="10.199999999999999"/>
  <cols>
    <col min="1" max="1" width="10.88671875" style="44" hidden="1" customWidth="1"/>
    <col min="2" max="2" width="2.5546875" style="44" customWidth="1"/>
    <col min="3" max="3" width="23.88671875" style="44" customWidth="1"/>
    <col min="4" max="4" width="2.88671875" style="44" customWidth="1"/>
    <col min="5" max="38" width="10.88671875" style="44" customWidth="1"/>
    <col min="39" max="58" width="10.88671875" style="51" customWidth="1"/>
    <col min="59" max="16384" width="10.88671875" style="44"/>
  </cols>
  <sheetData>
    <row r="2" spans="3:12" ht="13.2">
      <c r="C2" s="1"/>
      <c r="D2" s="1"/>
      <c r="L2" s="19" t="s">
        <v>34</v>
      </c>
    </row>
    <row r="3" spans="3:12" ht="13.2">
      <c r="C3" s="1"/>
      <c r="D3" s="1"/>
      <c r="L3" s="20" t="str">
        <f>Indice!E3</f>
        <v>Enero 2022</v>
      </c>
    </row>
    <row r="4" spans="3:12" ht="20.100000000000001" customHeight="1">
      <c r="C4" s="21" t="s">
        <v>33</v>
      </c>
    </row>
    <row r="5" spans="3:12">
      <c r="C5" s="4"/>
    </row>
    <row r="6" spans="3:12">
      <c r="C6" s="5"/>
    </row>
    <row r="7" spans="3:12" ht="10.5" customHeight="1">
      <c r="C7" s="294" t="s">
        <v>41</v>
      </c>
    </row>
    <row r="8" spans="3:12" ht="10.5" customHeight="1">
      <c r="C8" s="294"/>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3.2">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zoomScaleNormal="100" workbookViewId="0">
      <selection activeCell="B4" sqref="B4"/>
    </sheetView>
  </sheetViews>
  <sheetFormatPr baseColWidth="10" defaultRowHeight="13.2"/>
  <cols>
    <col min="1" max="1" width="0.109375" style="1" customWidth="1"/>
    <col min="2" max="2" width="2.88671875" style="1" customWidth="1"/>
    <col min="3" max="3" width="23.88671875" style="1" customWidth="1"/>
    <col min="4" max="4" width="1.109375" style="1" customWidth="1"/>
    <col min="5" max="5" width="105.88671875" style="1" customWidth="1"/>
    <col min="6" max="6" width="11.44140625" style="8" customWidth="1"/>
    <col min="8" max="11" width="11.44140625" customWidth="1"/>
  </cols>
  <sheetData>
    <row r="1" spans="2:8" s="1" customFormat="1" ht="0.6" customHeight="1"/>
    <row r="2" spans="2:8" s="1" customFormat="1" ht="21" customHeight="1">
      <c r="E2" s="19" t="s">
        <v>34</v>
      </c>
    </row>
    <row r="3" spans="2:8" s="1" customFormat="1" ht="15" customHeight="1">
      <c r="E3" s="20" t="str">
        <f>Indice!E3</f>
        <v>Enero 2022</v>
      </c>
    </row>
    <row r="4" spans="2:8" s="2" customFormat="1" ht="20.100000000000001" customHeight="1">
      <c r="B4" s="3"/>
      <c r="C4" s="163" t="s">
        <v>33</v>
      </c>
    </row>
    <row r="5" spans="2:8" s="2" customFormat="1" ht="12.6" customHeight="1">
      <c r="B5" s="3"/>
      <c r="C5" s="4"/>
    </row>
    <row r="6" spans="2:8" s="2" customFormat="1" ht="13.35" customHeight="1">
      <c r="B6" s="3"/>
      <c r="C6" s="5"/>
      <c r="D6" s="6"/>
      <c r="E6" s="6"/>
    </row>
    <row r="7" spans="2:8" s="2" customFormat="1" ht="12.75" customHeight="1">
      <c r="B7" s="3"/>
      <c r="C7" s="294" t="s">
        <v>198</v>
      </c>
      <c r="D7" s="6"/>
      <c r="E7" s="7"/>
      <c r="H7" s="240"/>
    </row>
    <row r="8" spans="2:8" s="2" customFormat="1" ht="12.75" customHeight="1">
      <c r="B8" s="3"/>
      <c r="C8" s="294"/>
      <c r="D8" s="6"/>
      <c r="E8" s="7"/>
    </row>
    <row r="9" spans="2:8" s="2" customFormat="1" ht="12.75" customHeight="1">
      <c r="B9" s="3"/>
      <c r="C9" s="294"/>
      <c r="D9" s="6"/>
      <c r="E9" s="7"/>
    </row>
    <row r="10" spans="2:8" s="2" customFormat="1" ht="12.75" customHeight="1">
      <c r="B10" s="3"/>
      <c r="C10" s="53"/>
      <c r="D10" s="6"/>
      <c r="E10" s="7"/>
    </row>
    <row r="11" spans="2:8" s="2" customFormat="1" ht="12.75" customHeight="1">
      <c r="B11" s="3"/>
      <c r="C11" s="10"/>
      <c r="D11" s="6"/>
      <c r="E11" s="7"/>
      <c r="F11" s="61"/>
    </row>
    <row r="12" spans="2:8" s="2" customFormat="1" ht="12.75" customHeight="1">
      <c r="B12" s="3"/>
      <c r="C12" s="41"/>
      <c r="D12" s="6"/>
      <c r="E12" s="7"/>
      <c r="F12" s="61"/>
    </row>
    <row r="13" spans="2:8" s="2" customFormat="1" ht="12.75" customHeight="1">
      <c r="B13" s="3"/>
      <c r="C13" s="5"/>
      <c r="D13" s="6"/>
      <c r="E13" s="7"/>
      <c r="F13" s="61"/>
    </row>
    <row r="14" spans="2:8" s="2" customFormat="1" ht="12.75" customHeight="1">
      <c r="B14" s="3"/>
      <c r="C14" s="5"/>
      <c r="D14" s="6"/>
      <c r="E14" s="7"/>
      <c r="F14" s="61"/>
    </row>
    <row r="15" spans="2:8" s="2" customFormat="1" ht="12.75" customHeight="1">
      <c r="B15" s="3"/>
      <c r="C15" s="5"/>
      <c r="D15" s="6"/>
      <c r="E15" s="7"/>
      <c r="F15" s="61"/>
    </row>
    <row r="16" spans="2:8"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zoomScaleNormal="100" workbookViewId="0"/>
  </sheetViews>
  <sheetFormatPr baseColWidth="10" defaultRowHeight="13.2"/>
  <cols>
    <col min="1" max="1" width="0.109375" style="1" customWidth="1"/>
    <col min="2" max="2" width="2.88671875" style="1" customWidth="1"/>
    <col min="3" max="3" width="23.88671875" style="1" customWidth="1"/>
    <col min="4" max="4" width="1.109375" style="1" customWidth="1"/>
    <col min="5" max="5" width="105.88671875" style="1" customWidth="1"/>
    <col min="6" max="6" width="11.44140625" style="8" customWidth="1"/>
  </cols>
  <sheetData>
    <row r="1" spans="2:19" s="1" customFormat="1" ht="0.6" customHeight="1"/>
    <row r="2" spans="2:19" s="1" customFormat="1" ht="21" customHeight="1">
      <c r="E2" s="19" t="s">
        <v>34</v>
      </c>
    </row>
    <row r="3" spans="2:19" s="1" customFormat="1" ht="15" customHeight="1">
      <c r="E3" s="92" t="str">
        <f>Indice!E3</f>
        <v>Enero 2022</v>
      </c>
    </row>
    <row r="4" spans="2:19" s="2" customFormat="1" ht="20.100000000000001" customHeight="1">
      <c r="B4" s="3"/>
      <c r="C4" s="21" t="s">
        <v>33</v>
      </c>
    </row>
    <row r="5" spans="2:19" s="2" customFormat="1" ht="12.6" customHeight="1">
      <c r="B5" s="3"/>
      <c r="C5" s="4"/>
    </row>
    <row r="6" spans="2:19" s="2" customFormat="1" ht="13.35" customHeight="1">
      <c r="B6" s="3"/>
      <c r="C6" s="5"/>
      <c r="D6" s="6"/>
      <c r="E6" s="6"/>
    </row>
    <row r="7" spans="2:19" s="2" customFormat="1" ht="12.75" customHeight="1">
      <c r="B7" s="3"/>
      <c r="C7" s="294" t="s">
        <v>55</v>
      </c>
      <c r="D7" s="6"/>
      <c r="E7" s="14"/>
    </row>
    <row r="8" spans="2:19" s="2" customFormat="1" ht="12.75" customHeight="1">
      <c r="B8" s="3"/>
      <c r="C8" s="294"/>
      <c r="D8" s="6"/>
      <c r="E8" s="14"/>
    </row>
    <row r="9" spans="2:19" s="2" customFormat="1" ht="18" customHeight="1">
      <c r="B9" s="3"/>
      <c r="C9" s="294"/>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A4" sqref="A4"/>
    </sheetView>
  </sheetViews>
  <sheetFormatPr baseColWidth="10" defaultColWidth="11.44140625" defaultRowHeight="13.2"/>
  <cols>
    <col min="1" max="1" width="3.88671875" style="22" customWidth="1"/>
    <col min="2" max="2" width="23.88671875" style="22" customWidth="1"/>
    <col min="3" max="3" width="11.44140625" style="22"/>
    <col min="4" max="4" width="12.44140625" style="22" customWidth="1"/>
    <col min="5" max="5" width="11.109375" style="22" customWidth="1"/>
    <col min="6" max="6" width="11.44140625" style="22"/>
    <col min="7" max="7" width="12.109375" style="22" customWidth="1"/>
    <col min="8" max="10" width="11.44140625" style="22"/>
    <col min="11" max="11" width="13" style="22" customWidth="1"/>
    <col min="12" max="16384" width="11.44140625" style="22"/>
  </cols>
  <sheetData>
    <row r="1" spans="1:8">
      <c r="A1" s="22" t="s">
        <v>4</v>
      </c>
    </row>
    <row r="2" spans="1:8">
      <c r="H2" s="19" t="s">
        <v>34</v>
      </c>
    </row>
    <row r="3" spans="1:8">
      <c r="H3" s="92" t="str">
        <f>Indice!E3</f>
        <v>Enero 2022</v>
      </c>
    </row>
    <row r="4" spans="1:8" ht="20.100000000000001" customHeight="1">
      <c r="B4" s="21" t="s">
        <v>33</v>
      </c>
    </row>
    <row r="7" spans="1:8" ht="12.75" customHeight="1">
      <c r="B7" s="295" t="s">
        <v>48</v>
      </c>
    </row>
    <row r="8" spans="1:8">
      <c r="B8" s="295"/>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zoomScaleNormal="100" workbookViewId="0">
      <selection activeCell="B4" sqref="B4"/>
    </sheetView>
  </sheetViews>
  <sheetFormatPr baseColWidth="10" defaultRowHeight="13.2"/>
  <cols>
    <col min="1" max="1" width="0.109375" style="1" customWidth="1"/>
    <col min="2" max="2" width="2.88671875" style="1" customWidth="1"/>
    <col min="3" max="3" width="23.88671875" style="1" customWidth="1"/>
    <col min="4" max="4" width="1.109375" style="1" customWidth="1"/>
    <col min="5" max="5" width="105.88671875" style="1" customWidth="1"/>
    <col min="6" max="6" width="11.44140625" style="8" customWidth="1"/>
    <col min="7" max="7" width="28.44140625" customWidth="1"/>
    <col min="8" max="20" width="9.44140625" customWidth="1"/>
    <col min="24" max="36" width="13.109375" bestFit="1" customWidth="1"/>
  </cols>
  <sheetData>
    <row r="1" spans="2:39" s="1" customFormat="1" ht="0.6" customHeight="1"/>
    <row r="2" spans="2:39" s="1" customFormat="1" ht="21" customHeight="1">
      <c r="E2" s="19" t="s">
        <v>34</v>
      </c>
      <c r="F2" s="12"/>
      <c r="G2" s="12"/>
      <c r="H2" s="12"/>
      <c r="I2" s="12"/>
      <c r="J2" s="12"/>
      <c r="K2" s="12"/>
      <c r="L2" s="12"/>
      <c r="M2" s="12"/>
      <c r="N2" s="12"/>
      <c r="O2" s="12"/>
      <c r="P2" s="12"/>
      <c r="Q2" s="12"/>
      <c r="R2" s="12"/>
      <c r="S2" s="12"/>
      <c r="T2" s="12"/>
    </row>
    <row r="3" spans="2:39" s="1" customFormat="1" ht="15" customHeight="1">
      <c r="E3" s="92" t="str">
        <f>Indice!E3</f>
        <v>Enero 2022</v>
      </c>
      <c r="F3" s="13"/>
      <c r="G3" s="13"/>
      <c r="H3" s="13"/>
      <c r="I3" s="13"/>
      <c r="J3" s="13"/>
      <c r="K3" s="13"/>
      <c r="L3" s="13"/>
      <c r="M3" s="13"/>
      <c r="N3" s="13"/>
      <c r="O3" s="13"/>
      <c r="P3" s="13"/>
      <c r="Q3" s="13"/>
      <c r="R3" s="13"/>
      <c r="S3" s="13"/>
      <c r="T3" s="13"/>
    </row>
    <row r="4" spans="2:39" s="2" customFormat="1" ht="20.100000000000001" customHeight="1">
      <c r="C4" s="21" t="s">
        <v>33</v>
      </c>
    </row>
    <row r="5" spans="2:39" s="2" customFormat="1" ht="12.6" customHeight="1">
      <c r="B5" s="3"/>
      <c r="C5" s="4"/>
    </row>
    <row r="6" spans="2:39" s="2" customFormat="1" ht="13.35" customHeight="1">
      <c r="B6" s="3"/>
      <c r="C6" s="5"/>
      <c r="D6" s="6"/>
      <c r="E6" s="6"/>
    </row>
    <row r="7" spans="2:39" s="2" customFormat="1" ht="12.75" customHeight="1">
      <c r="B7" s="3"/>
      <c r="C7" s="295" t="s">
        <v>31</v>
      </c>
      <c r="D7" s="6"/>
      <c r="E7" s="14"/>
    </row>
    <row r="8" spans="2:39" s="2" customFormat="1" ht="12.75" customHeight="1">
      <c r="B8" s="3"/>
      <c r="C8" s="295"/>
      <c r="D8" s="6"/>
      <c r="E8" s="14"/>
    </row>
    <row r="9" spans="2:39" s="2" customFormat="1" ht="12.75" customHeight="1">
      <c r="B9" s="3"/>
      <c r="C9" s="295"/>
      <c r="D9" s="6"/>
      <c r="E9" s="14"/>
    </row>
    <row r="10" spans="2:39" s="2" customFormat="1" ht="12.75" customHeight="1">
      <c r="B10" s="3"/>
      <c r="C10" s="295"/>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2"/>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zoomScaleNormal="100" workbookViewId="0">
      <selection activeCell="C17" sqref="C17"/>
    </sheetView>
  </sheetViews>
  <sheetFormatPr baseColWidth="10" defaultRowHeight="13.2"/>
  <cols>
    <col min="1" max="1" width="0.109375" style="1" customWidth="1"/>
    <col min="2" max="2" width="2.88671875" style="1" customWidth="1"/>
    <col min="3" max="3" width="23.88671875" style="1" customWidth="1"/>
    <col min="4" max="4" width="1.109375" style="1" customWidth="1"/>
    <col min="5" max="5" width="50.88671875" style="1" customWidth="1"/>
    <col min="6" max="6" width="18.88671875" style="8" customWidth="1"/>
    <col min="7" max="7" width="18.88671875" customWidth="1"/>
    <col min="8" max="9" width="9.44140625" customWidth="1"/>
    <col min="11" max="11" width="26.88671875" bestFit="1" customWidth="1"/>
    <col min="12" max="12" width="12.109375" bestFit="1" customWidth="1"/>
    <col min="13" max="13" width="35.109375" bestFit="1" customWidth="1"/>
    <col min="14" max="14" width="20.109375" bestFit="1" customWidth="1"/>
    <col min="15" max="15" width="28.109375" bestFit="1" customWidth="1"/>
    <col min="16" max="16" width="12.109375" bestFit="1" customWidth="1"/>
    <col min="17" max="17" width="35.109375" bestFit="1" customWidth="1"/>
    <col min="18" max="18" width="20.109375" bestFit="1" customWidth="1"/>
  </cols>
  <sheetData>
    <row r="1" spans="2:11" s="1" customFormat="1" ht="0.6" customHeight="1"/>
    <row r="2" spans="2:11" s="1" customFormat="1" ht="21" customHeight="1">
      <c r="E2" s="296" t="s">
        <v>34</v>
      </c>
      <c r="F2" s="296"/>
      <c r="G2" s="296"/>
      <c r="H2" s="12"/>
      <c r="I2" s="12"/>
    </row>
    <row r="3" spans="2:11" s="1" customFormat="1" ht="15" customHeight="1">
      <c r="E3" s="297" t="str">
        <f>Indice!E3</f>
        <v>Enero 2022</v>
      </c>
      <c r="F3" s="297"/>
      <c r="G3" s="297"/>
      <c r="H3" s="13"/>
      <c r="I3" s="13"/>
    </row>
    <row r="4" spans="2:11" s="2" customFormat="1" ht="20.100000000000001" customHeight="1">
      <c r="C4" s="21" t="s">
        <v>33</v>
      </c>
    </row>
    <row r="5" spans="2:11" s="2" customFormat="1" ht="12.6" customHeight="1">
      <c r="B5" s="3"/>
      <c r="C5" s="4"/>
    </row>
    <row r="6" spans="2:11" s="2" customFormat="1" ht="13.35" customHeight="1">
      <c r="B6" s="3"/>
      <c r="C6" s="5"/>
      <c r="D6" s="6"/>
      <c r="E6" s="6"/>
      <c r="F6" s="87"/>
    </row>
    <row r="7" spans="2:11" s="68" customFormat="1" ht="15" customHeight="1">
      <c r="B7" s="65"/>
      <c r="C7" s="295" t="s">
        <v>78</v>
      </c>
      <c r="D7" s="66"/>
      <c r="E7" s="67"/>
      <c r="F7" s="86"/>
      <c r="G7" s="86"/>
      <c r="I7" s="252"/>
    </row>
    <row r="8" spans="2:11" s="68" customFormat="1" ht="15" customHeight="1">
      <c r="B8" s="65"/>
      <c r="C8" s="295"/>
      <c r="D8" s="66"/>
      <c r="E8" s="69"/>
      <c r="F8" s="70" t="str">
        <f>'Data 1'!H105</f>
        <v>2021 Enero</v>
      </c>
      <c r="G8" s="70" t="str">
        <f>'Data 1'!D105</f>
        <v>2022 Enero</v>
      </c>
      <c r="I8" s="252"/>
    </row>
    <row r="9" spans="2:11" s="2" customFormat="1" ht="15" customHeight="1">
      <c r="B9" s="3"/>
      <c r="C9" s="52"/>
      <c r="D9" s="6"/>
      <c r="E9" s="276" t="s">
        <v>311</v>
      </c>
      <c r="F9" s="277">
        <f>'Data 1'!H108/1000000</f>
        <v>40.974693526799996</v>
      </c>
      <c r="G9" s="277">
        <f>'Data 1'!D108/1000000</f>
        <v>26.814406867500001</v>
      </c>
      <c r="H9" s="68"/>
      <c r="I9" s="252"/>
      <c r="J9" s="68"/>
      <c r="K9" s="68"/>
    </row>
    <row r="10" spans="2:11" s="2" customFormat="1" ht="15" customHeight="1">
      <c r="B10" s="3"/>
      <c r="C10" s="295"/>
      <c r="D10" s="6"/>
      <c r="E10" s="276" t="s">
        <v>312</v>
      </c>
      <c r="F10" s="277">
        <f>'Data 1'!H109/1000000</f>
        <v>21.625532694699999</v>
      </c>
      <c r="G10" s="277">
        <f>'Data 1'!D109/1000000</f>
        <v>22.5241017687</v>
      </c>
      <c r="H10" s="68"/>
      <c r="I10" s="252"/>
      <c r="J10" s="68"/>
      <c r="K10" s="68"/>
    </row>
    <row r="11" spans="2:11" s="2" customFormat="1" ht="15" customHeight="1">
      <c r="B11" s="3"/>
      <c r="C11" s="295"/>
      <c r="D11" s="6"/>
      <c r="E11" s="63" t="s">
        <v>50</v>
      </c>
      <c r="F11" s="278">
        <f>SUM(F9:F10)</f>
        <v>62.600226221499994</v>
      </c>
      <c r="G11" s="278">
        <f>SUM(G9:G10)</f>
        <v>49.338508636200004</v>
      </c>
      <c r="H11" s="68"/>
      <c r="I11" s="252"/>
      <c r="J11" s="68"/>
      <c r="K11" s="68"/>
    </row>
    <row r="12" spans="2:11" s="2" customFormat="1" ht="15" customHeight="1">
      <c r="B12" s="3"/>
      <c r="C12" s="295"/>
      <c r="D12" s="6"/>
      <c r="E12" s="63" t="s">
        <v>22</v>
      </c>
      <c r="F12" s="278">
        <f>'Data 1'!H111/1000000</f>
        <v>16.16224022446</v>
      </c>
      <c r="G12" s="278">
        <f>'Data 1'!D111/1000000</f>
        <v>21.880556003879999</v>
      </c>
      <c r="H12" s="68"/>
      <c r="I12" s="252"/>
      <c r="J12" s="68"/>
      <c r="K12" s="68"/>
    </row>
    <row r="13" spans="2:11" s="2" customFormat="1" ht="15" hidden="1" customHeight="1">
      <c r="B13" s="3"/>
      <c r="C13" s="5"/>
      <c r="D13" s="6"/>
      <c r="E13" s="63" t="s">
        <v>25</v>
      </c>
      <c r="F13" s="279" t="str">
        <f>IF('Data 1'!H110="-","-",'Data 1'!H110/1000000)</f>
        <v>-</v>
      </c>
      <c r="G13" s="279" t="str">
        <f>IF('Data 1'!D110="-","-",'Data 1'!D110/1000000)</f>
        <v>-</v>
      </c>
      <c r="H13" s="68"/>
      <c r="I13" s="252"/>
      <c r="J13" s="68"/>
      <c r="K13" s="68"/>
    </row>
    <row r="14" spans="2:11" s="2" customFormat="1" ht="15" customHeight="1">
      <c r="B14" s="3"/>
      <c r="C14" s="5"/>
      <c r="D14" s="6"/>
      <c r="E14" s="63" t="s">
        <v>16</v>
      </c>
      <c r="F14" s="278">
        <f>'Data 1'!H112/1000000</f>
        <v>11.154222126739999</v>
      </c>
      <c r="G14" s="278">
        <f>'Data 1'!D112/1000000</f>
        <v>13.728976316159999</v>
      </c>
      <c r="H14" s="68"/>
      <c r="I14" s="252"/>
      <c r="J14" s="68"/>
      <c r="K14" s="68"/>
    </row>
    <row r="15" spans="2:11" s="2" customFormat="1" ht="15" customHeight="1">
      <c r="B15" s="3"/>
      <c r="C15" s="5"/>
      <c r="D15" s="6"/>
      <c r="E15" s="63" t="s">
        <v>263</v>
      </c>
      <c r="F15" s="278">
        <f>(SUM('Data 1'!H113:H115)+IF('Data 1'!H116="-",0,'Data 1'!H116))/1000000</f>
        <v>-5.2356552839800008</v>
      </c>
      <c r="G15" s="278">
        <f>(SUM('Data 1'!D113:D115)+IF('Data 1'!D116="-",0,'Data 1'!D116))/1000000</f>
        <v>-2.1451525493999992</v>
      </c>
      <c r="H15" s="68"/>
      <c r="I15" s="252"/>
      <c r="J15" s="68"/>
      <c r="K15" s="68"/>
    </row>
    <row r="16" spans="2:11" s="2" customFormat="1" ht="15" customHeight="1">
      <c r="B16" s="3"/>
      <c r="C16" s="5"/>
      <c r="D16" s="6"/>
      <c r="E16" s="63" t="s">
        <v>51</v>
      </c>
      <c r="F16" s="279" t="str">
        <f>IF('Data 1'!H117="-","-",'Data 1'!H117/1000000)</f>
        <v>-</v>
      </c>
      <c r="G16" s="279">
        <f>IF('Data 1'!D117="-","-",'Data 1'!D117/1000000)</f>
        <v>-1.7161220395199999</v>
      </c>
      <c r="H16" s="68"/>
      <c r="I16" s="252"/>
      <c r="J16" s="68"/>
      <c r="K16" s="68"/>
    </row>
    <row r="17" spans="2:10" s="2" customFormat="1" ht="15" customHeight="1">
      <c r="B17" s="3"/>
      <c r="C17" s="5"/>
      <c r="D17" s="6"/>
      <c r="E17" s="64" t="s">
        <v>268</v>
      </c>
      <c r="F17" s="280">
        <f>SUM(F11:F16)</f>
        <v>84.681033288720002</v>
      </c>
      <c r="G17" s="280">
        <f>SUM(G11:G16)</f>
        <v>81.08676636732001</v>
      </c>
      <c r="I17" s="117"/>
    </row>
    <row r="18" spans="2:10" s="2" customFormat="1" ht="15" customHeight="1">
      <c r="B18" s="3"/>
      <c r="C18" s="5"/>
      <c r="D18" s="5"/>
      <c r="E18" s="71" t="str">
        <f>"∆"&amp;MID(G8,1,4)&amp;"/"&amp;MID(F8,1,4)</f>
        <v>∆2022/2021</v>
      </c>
      <c r="F18" s="247"/>
      <c r="G18" s="72">
        <f>(G17-F17)/F17</f>
        <v>-4.2444769292615245E-2</v>
      </c>
      <c r="I18" s="5"/>
      <c r="J18" s="5"/>
    </row>
    <row r="19" spans="2:10" s="2" customFormat="1" ht="12.75" customHeight="1">
      <c r="B19" s="3"/>
      <c r="C19" s="5"/>
      <c r="D19" s="6"/>
      <c r="H19" s="62"/>
      <c r="I19" s="62"/>
    </row>
    <row r="20" spans="2:10" s="2" customFormat="1" ht="12.75" customHeight="1">
      <c r="B20" s="3"/>
      <c r="C20" s="5"/>
      <c r="D20" s="5"/>
      <c r="E20" s="256" t="s">
        <v>262</v>
      </c>
    </row>
    <row r="21" spans="2:10" s="2" customFormat="1" ht="12.75" customHeight="1">
      <c r="B21" s="3"/>
      <c r="C21" s="5"/>
      <c r="D21" s="5"/>
      <c r="E21" s="5"/>
    </row>
    <row r="25" spans="2:10" ht="16.350000000000001"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zoomScaleNormal="100" workbookViewId="0"/>
  </sheetViews>
  <sheetFormatPr baseColWidth="10" defaultRowHeight="13.2"/>
  <cols>
    <col min="1" max="1" width="0.109375" style="1" customWidth="1"/>
    <col min="2" max="2" width="2.88671875" style="1" customWidth="1"/>
    <col min="3" max="3" width="23.88671875" style="1" customWidth="1"/>
    <col min="4" max="4" width="1.109375" style="1" customWidth="1"/>
    <col min="5" max="5" width="105.88671875" style="1" customWidth="1"/>
    <col min="6" max="6" width="11.44140625" style="8" customWidth="1"/>
    <col min="7" max="7" width="28.44140625" customWidth="1"/>
    <col min="8" max="9" width="9.44140625" customWidth="1"/>
  </cols>
  <sheetData>
    <row r="1" spans="2:9" s="1" customFormat="1" ht="0.6" customHeight="1"/>
    <row r="2" spans="2:9" s="1" customFormat="1" ht="21" customHeight="1">
      <c r="E2" s="19" t="s">
        <v>34</v>
      </c>
      <c r="F2" s="12"/>
      <c r="G2" s="12"/>
      <c r="H2" s="12"/>
      <c r="I2" s="12"/>
    </row>
    <row r="3" spans="2:9" s="1" customFormat="1" ht="15" customHeight="1">
      <c r="E3" s="20" t="str">
        <f>Indice!E3</f>
        <v>Enero 2022</v>
      </c>
      <c r="F3" s="13"/>
      <c r="G3" s="13"/>
      <c r="H3" s="13"/>
      <c r="I3" s="13"/>
    </row>
    <row r="4" spans="2:9" s="2" customFormat="1" ht="20.100000000000001" customHeight="1">
      <c r="C4" s="21" t="s">
        <v>33</v>
      </c>
    </row>
    <row r="5" spans="2:9" s="2" customFormat="1" ht="12.6" customHeight="1">
      <c r="B5" s="3"/>
      <c r="C5" s="4"/>
    </row>
    <row r="6" spans="2:9" s="2" customFormat="1" ht="13.35" customHeight="1">
      <c r="B6" s="3"/>
      <c r="C6" s="5"/>
      <c r="D6" s="6"/>
      <c r="E6" s="6"/>
    </row>
    <row r="7" spans="2:9" s="2" customFormat="1" ht="12.75" customHeight="1">
      <c r="B7" s="3"/>
      <c r="C7" s="295" t="s">
        <v>294</v>
      </c>
      <c r="D7" s="6"/>
      <c r="E7" s="14"/>
    </row>
    <row r="8" spans="2:9" s="2" customFormat="1" ht="12.75" customHeight="1">
      <c r="B8" s="3"/>
      <c r="C8" s="295"/>
      <c r="D8" s="6"/>
      <c r="E8" s="14"/>
    </row>
    <row r="9" spans="2:9" s="2" customFormat="1" ht="12.75" customHeight="1">
      <c r="B9" s="3"/>
      <c r="C9" s="295"/>
      <c r="D9" s="6"/>
      <c r="E9" s="14"/>
    </row>
    <row r="10" spans="2:9" s="2" customFormat="1" ht="12.75" customHeight="1">
      <c r="B10" s="3"/>
      <c r="C10" s="52" t="s">
        <v>52</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M10</vt:lpstr>
      <vt:lpstr>M9</vt:lpstr>
      <vt:lpstr>M11</vt:lpstr>
      <vt:lpstr>M12</vt:lpstr>
      <vt:lpstr>M13</vt:lpstr>
      <vt:lpstr>M14</vt:lpstr>
      <vt:lpstr>Data 1</vt:lpstr>
      <vt:lpstr>Data 2</vt:lpstr>
      <vt:lpstr>OMIE</vt:lpstr>
      <vt:lpstr>Dat_01</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Rodriguez Ortiz, Jose A</cp:lastModifiedBy>
  <cp:lastPrinted>2022-01-17T07:55:55Z</cp:lastPrinted>
  <dcterms:created xsi:type="dcterms:W3CDTF">1999-07-09T11:45:32Z</dcterms:created>
  <dcterms:modified xsi:type="dcterms:W3CDTF">2022-02-15T12:34:58Z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