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ENE\INF_ELABORADA\"/>
    </mc:Choice>
  </mc:AlternateContent>
  <bookViews>
    <workbookView xWindow="0" yWindow="0" windowWidth="19395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30" i="91" l="1"/>
  <c r="O155" i="91"/>
  <c r="O154" i="91"/>
  <c r="O153" i="91"/>
  <c r="O152" i="91"/>
  <c r="O151" i="91"/>
  <c r="P111" i="91"/>
  <c r="P110" i="91"/>
  <c r="P109" i="91"/>
  <c r="P108" i="91"/>
  <c r="P107" i="91"/>
  <c r="P78" i="91"/>
  <c r="P77" i="91"/>
  <c r="P76" i="91"/>
  <c r="P75" i="91"/>
  <c r="P74" i="91"/>
  <c r="O29" i="91"/>
  <c r="O28" i="91"/>
  <c r="O27" i="91"/>
  <c r="O26" i="91"/>
  <c r="C13" i="91"/>
  <c r="C12" i="91"/>
  <c r="E165" i="88"/>
  <c r="E164" i="88"/>
  <c r="E163" i="88"/>
  <c r="E162" i="88"/>
  <c r="E161" i="88"/>
  <c r="O88" i="88"/>
  <c r="O91" i="88"/>
  <c r="M74" i="88"/>
  <c r="L74" i="88"/>
  <c r="E3" i="92" l="1"/>
  <c r="G39" i="88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G16" i="76"/>
  <c r="F16" i="76"/>
  <c r="F15" i="76"/>
  <c r="F14" i="76"/>
  <c r="F9" i="76"/>
  <c r="F11" i="76" s="1"/>
  <c r="F10" i="76"/>
  <c r="F12" i="76"/>
  <c r="F13" i="76"/>
  <c r="F17" i="76" l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G13" i="76" l="1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H78" i="88" l="1"/>
  <c r="M78" i="88" s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K73" i="88" s="1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K74" i="88" s="1"/>
  <c r="I74" i="88" l="1"/>
</calcChain>
</file>

<file path=xl/sharedStrings.xml><?xml version="1.0" encoding="utf-8"?>
<sst xmlns="http://schemas.openxmlformats.org/spreadsheetml/2006/main" count="943" uniqueCount="248">
  <si>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</si>
  <si>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</si>
  <si>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</si>
  <si>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</si>
  <si>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</si>
  <si>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</si>
  <si>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</si>
  <si>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</si>
  <si>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</si>
  <si>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</si>
  <si>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</si>
  <si>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</si>
  <si>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</si>
  <si>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</si>
  <si>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</si>
  <si>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</si>
  <si>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</si>
  <si>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</si>
  <si>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</si>
  <si>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</si>
  <si>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</si>
  <si>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</si>
  <si>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</si>
  <si>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</si>
  <si>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</si>
  <si>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</si>
  <si>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</si>
  <si>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</si>
  <si>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</si>
  <si>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</si>
  <si>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</si>
  <si>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</si>
  <si>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</si>
  <si>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</si>
  <si>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</si>
  <si>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</si>
  <si>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</si>
  <si>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</si>
  <si>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</si>
  <si>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</si>
  <si>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</si>
  <si>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</si>
  <si>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</si>
  <si>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</si>
  <si>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</si>
  <si>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</si>
  <si>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</si>
  <si>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</si>
  <si>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</si>
  <si>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</si>
  <si>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</si>
  <si>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</si>
  <si>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</si>
  <si>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</si>
  <si>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</si>
  <si>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</si>
  <si>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</si>
  <si>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</si>
  <si>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</si>
  <si>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</si>
  <si>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</si>
  <si>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</si>
  <si>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</si>
  <si>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</si>
  <si>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</si>
  <si>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</si>
  <si>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</si>
  <si>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</si>
  <si>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</si>
  <si>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</si>
  <si>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</si>
  <si>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</si>
  <si>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</si>
  <si>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</si>
  <si>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</si>
  <si>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</si>
  <si>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</si>
  <si>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</si>
  <si>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</si>
  <si>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</si>
  <si>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</si>
  <si>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</si>
  <si>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</si>
  <si>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</si>
  <si>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</si>
  <si>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</si>
  <si>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</si>
  <si>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</si>
  <si>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</si>
  <si>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</si>
  <si>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</si>
  <si>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</si>
  <si>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</si>
  <si>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</si>
  <si>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</si>
  <si>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</si>
  <si>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</si>
  <si>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</si>
  <si>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</si>
  <si>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</si>
  <si>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</si>
  <si>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</si>
  <si>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</si>
  <si>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</si>
  <si>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</si>
  <si>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</si>
  <si>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</si>
  <si>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</si>
  <si>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</si>
  <si>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</si>
  <si>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</si>
  <si>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</si>
  <si>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</si>
  <si>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</si>
  <si>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</si>
  <si>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</si>
  <si>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</si>
  <si>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</si>
  <si>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</si>
  <si>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</si>
  <si>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</si>
  <si>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</si>
  <si>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</si>
  <si>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</si>
  <si>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</si>
  <si>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</si>
  <si>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</si>
  <si>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</si>
  <si>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</si>
  <si>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</si>
  <si>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</si>
  <si>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</si>
  <si>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</si>
  <si>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</si>
  <si>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</si>
  <si>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</si>
  <si>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</si>
  <si>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</si>
  <si>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</si>
  <si>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</si>
  <si>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</si>
  <si>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</si>
  <si>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</si>
  <si>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</si>
  <si>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</si>
  <si>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</si>
  <si>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</si>
  <si>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</si>
  <si>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</si>
  <si>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</si>
  <si>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</si>
  <si>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</si>
  <si>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</si>
  <si>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</si>
  <si>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</si>
  <si>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</si>
  <si>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</si>
  <si>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</si>
  <si>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</si>
  <si>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</si>
  <si>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</si>
  <si>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</si>
  <si>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</si>
  <si>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</si>
  <si>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</si>
  <si>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</si>
  <si>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</si>
  <si>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</si>
  <si>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</si>
  <si>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</si>
  <si>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</si>
  <si>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</si>
  <si>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</si>
  <si>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</si>
  <si>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</si>
  <si>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</si>
  <si>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</si>
  <si>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</si>
  <si>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</si>
  <si>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</si>
  <si>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</si>
  <si>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</si>
  <si>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</si>
  <si>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</si>
  <si>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</si>
  <si>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</si>
  <si>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Promedio</t>
  </si>
  <si>
    <t>-</t>
  </si>
  <si>
    <t>Enero 2018</t>
  </si>
  <si>
    <t>ENE-17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</si>
  <si>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</si>
  <si>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</si>
  <si>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</si>
  <si>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</si>
  <si>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</si>
  <si>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</si>
  <si>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</si>
  <si>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</si>
  <si>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</si>
  <si>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</si>
  <si>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</si>
  <si>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</si>
  <si>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2017 Enero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</si>
  <si>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</si>
  <si>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</si>
  <si>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</si>
  <si>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</si>
  <si>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</si>
  <si>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</si>
  <si>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</si>
  <si>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</si>
  <si>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</si>
  <si>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</si>
  <si>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</si>
  <si>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</si>
  <si>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</si>
  <si>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</si>
  <si>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</si>
  <si>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</si>
  <si>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</si>
  <si>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Reducción servicio interrumpibilidad</t>
  </si>
  <si>
    <t>Gestión de desvíos y terciaria (I)</t>
  </si>
  <si>
    <t>Servicios transfronterizos balance</t>
  </si>
  <si>
    <t>Acciones de balance</t>
  </si>
  <si>
    <t>Desvío entre sistemas</t>
  </si>
  <si>
    <t>Enero 2017</t>
  </si>
  <si>
    <t>Restricciones Técnicas al PBF</t>
  </si>
  <si>
    <t>Restric. en Tiempo Real</t>
  </si>
  <si>
    <t>Enero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</si>
  <si>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</si>
  <si>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</si>
  <si>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</si>
  <si>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</si>
  <si>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</si>
  <si>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</si>
  <si>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</si>
  <si>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</si>
  <si>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</si>
  <si>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</si>
  <si>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</si>
  <si>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</si>
  <si>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</si>
  <si>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</si>
  <si>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</si>
  <si>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</si>
  <si>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</si>
  <si>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Residuos no Renovables</t>
  </si>
  <si>
    <t>∆2018/2017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</si>
</sst>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63"/>
      </top>
      <bottom/>
      <diagonal/>
    </border>
    <border>
      <left/>
      <right/>
      <top style="thin">
        <color rgb="FFC0C0C0"/>
      </top>
      <bottom/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64" fontId="20" fillId="5" borderId="1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2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0" fontId="21" fillId="8" borderId="12" xfId="21" quotePrefix="1" applyFont="1" applyFill="1" applyBorder="1" applyAlignment="1">
      <alignment vertical="center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2" fontId="49" fillId="0" borderId="0" xfId="0" applyNumberFormat="1" applyFont="1" applyFill="1" applyBorder="1" applyProtection="1"/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36" fillId="5" borderId="0" xfId="20" applyNumberFormat="1" applyFont="1" applyFill="1" applyBorder="1"/>
    <xf numFmtId="0" fontId="19" fillId="0" borderId="0" xfId="11" applyFont="1"/>
    <xf numFmtId="2" fontId="33" fillId="4" borderId="0" xfId="0" applyNumberFormat="1" applyFont="1" applyFill="1" applyBorder="1" applyProtection="1"/>
    <xf numFmtId="0" fontId="33" fillId="4" borderId="0" xfId="0" applyFont="1" applyFill="1" applyBorder="1" applyProtection="1"/>
    <xf numFmtId="0" fontId="33" fillId="4" borderId="0" xfId="0" applyFont="1" applyFill="1"/>
    <xf numFmtId="166" fontId="33" fillId="4" borderId="0" xfId="0" applyNumberFormat="1" applyFont="1" applyFill="1" applyBorder="1" applyProtection="1"/>
    <xf numFmtId="2" fontId="21" fillId="4" borderId="10" xfId="31" applyNumberFormat="1" applyFont="1" applyFill="1" applyBorder="1" applyProtection="1"/>
    <xf numFmtId="0" fontId="54" fillId="4" borderId="0" xfId="0" applyFont="1" applyFill="1"/>
    <xf numFmtId="168" fontId="54" fillId="4" borderId="0" xfId="0" applyNumberFormat="1" applyFont="1" applyFill="1"/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0" fontId="21" fillId="8" borderId="12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70303C"/>
      <color rgb="FF95B3D7"/>
      <color rgb="FFA7DADA"/>
      <color rgb="FF004563"/>
      <color rgb="FFFFC000"/>
      <color rgb="FFFFCC66"/>
      <color rgb="FF70AD47"/>
      <color rgb="FF0090D1"/>
      <color rgb="FF993300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1'!$C$5:$C$35</c:f>
              <c:numCache>
                <c:formatCode>General</c:formatCode>
                <c:ptCount val="31"/>
                <c:pt idx="0">
                  <c:v>23.52</c:v>
                </c:pt>
                <c:pt idx="1">
                  <c:v>55.54</c:v>
                </c:pt>
                <c:pt idx="2">
                  <c:v>54.45</c:v>
                </c:pt>
                <c:pt idx="3">
                  <c:v>50.08</c:v>
                </c:pt>
                <c:pt idx="4">
                  <c:v>61.01</c:v>
                </c:pt>
                <c:pt idx="5">
                  <c:v>57.56</c:v>
                </c:pt>
                <c:pt idx="6">
                  <c:v>77.709999999999994</c:v>
                </c:pt>
                <c:pt idx="7">
                  <c:v>70.88</c:v>
                </c:pt>
                <c:pt idx="8">
                  <c:v>69.55</c:v>
                </c:pt>
                <c:pt idx="9">
                  <c:v>67.45</c:v>
                </c:pt>
                <c:pt idx="10">
                  <c:v>63.03</c:v>
                </c:pt>
                <c:pt idx="11">
                  <c:v>67.19</c:v>
                </c:pt>
                <c:pt idx="12">
                  <c:v>63.82</c:v>
                </c:pt>
                <c:pt idx="13">
                  <c:v>67.92</c:v>
                </c:pt>
                <c:pt idx="14">
                  <c:v>66.010000000000005</c:v>
                </c:pt>
                <c:pt idx="15">
                  <c:v>63.45</c:v>
                </c:pt>
                <c:pt idx="16">
                  <c:v>65.5</c:v>
                </c:pt>
                <c:pt idx="17">
                  <c:v>62.39</c:v>
                </c:pt>
                <c:pt idx="18">
                  <c:v>59.96</c:v>
                </c:pt>
                <c:pt idx="19">
                  <c:v>58.49</c:v>
                </c:pt>
                <c:pt idx="20">
                  <c:v>63.43</c:v>
                </c:pt>
                <c:pt idx="21">
                  <c:v>61.01</c:v>
                </c:pt>
                <c:pt idx="22">
                  <c:v>63.51</c:v>
                </c:pt>
                <c:pt idx="23">
                  <c:v>61.59</c:v>
                </c:pt>
                <c:pt idx="24">
                  <c:v>59.11</c:v>
                </c:pt>
                <c:pt idx="25">
                  <c:v>58.44</c:v>
                </c:pt>
                <c:pt idx="26">
                  <c:v>60.61</c:v>
                </c:pt>
                <c:pt idx="27">
                  <c:v>61.99</c:v>
                </c:pt>
                <c:pt idx="28">
                  <c:v>59.8</c:v>
                </c:pt>
                <c:pt idx="29">
                  <c:v>60.19</c:v>
                </c:pt>
                <c:pt idx="30">
                  <c:v>60.61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1'!$D$5:$D$35</c:f>
              <c:numCache>
                <c:formatCode>General</c:formatCode>
                <c:ptCount val="31"/>
                <c:pt idx="0">
                  <c:v>2.06</c:v>
                </c:pt>
                <c:pt idx="1">
                  <c:v>4.24</c:v>
                </c:pt>
                <c:pt idx="2">
                  <c:v>2.2999999999999998</c:v>
                </c:pt>
                <c:pt idx="3">
                  <c:v>2.63</c:v>
                </c:pt>
                <c:pt idx="4">
                  <c:v>5</c:v>
                </c:pt>
                <c:pt idx="5">
                  <c:v>30.5</c:v>
                </c:pt>
                <c:pt idx="6">
                  <c:v>15.51</c:v>
                </c:pt>
                <c:pt idx="7">
                  <c:v>49.54</c:v>
                </c:pt>
                <c:pt idx="8">
                  <c:v>45.6</c:v>
                </c:pt>
                <c:pt idx="9">
                  <c:v>44.22</c:v>
                </c:pt>
                <c:pt idx="10">
                  <c:v>33</c:v>
                </c:pt>
                <c:pt idx="11">
                  <c:v>46.01</c:v>
                </c:pt>
                <c:pt idx="12">
                  <c:v>46.1</c:v>
                </c:pt>
                <c:pt idx="13">
                  <c:v>42.09</c:v>
                </c:pt>
                <c:pt idx="14">
                  <c:v>45.69</c:v>
                </c:pt>
                <c:pt idx="15">
                  <c:v>35.1</c:v>
                </c:pt>
                <c:pt idx="16">
                  <c:v>35.450000000000003</c:v>
                </c:pt>
                <c:pt idx="17">
                  <c:v>45.19</c:v>
                </c:pt>
                <c:pt idx="18">
                  <c:v>45.09</c:v>
                </c:pt>
                <c:pt idx="19">
                  <c:v>39.58</c:v>
                </c:pt>
                <c:pt idx="20">
                  <c:v>19.989999999999998</c:v>
                </c:pt>
                <c:pt idx="21">
                  <c:v>39.85</c:v>
                </c:pt>
                <c:pt idx="22">
                  <c:v>47.43</c:v>
                </c:pt>
                <c:pt idx="23">
                  <c:v>49.57</c:v>
                </c:pt>
                <c:pt idx="24">
                  <c:v>43.09</c:v>
                </c:pt>
                <c:pt idx="25">
                  <c:v>32.799999999999997</c:v>
                </c:pt>
                <c:pt idx="26">
                  <c:v>37.92</c:v>
                </c:pt>
                <c:pt idx="27">
                  <c:v>39.659999999999997</c:v>
                </c:pt>
                <c:pt idx="28">
                  <c:v>45.09</c:v>
                </c:pt>
                <c:pt idx="29">
                  <c:v>41.06</c:v>
                </c:pt>
                <c:pt idx="30">
                  <c:v>48.46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004304"/>
        <c:axId val="180004688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1'!$A$5:$A$35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1'!$E$5:$E$35</c:f>
              <c:numCache>
                <c:formatCode>0.00</c:formatCode>
                <c:ptCount val="31"/>
                <c:pt idx="0">
                  <c:v>8.2680690040999991</c:v>
                </c:pt>
                <c:pt idx="1">
                  <c:v>39.529423144399999</c:v>
                </c:pt>
                <c:pt idx="2">
                  <c:v>40.098146515099998</c:v>
                </c:pt>
                <c:pt idx="3">
                  <c:v>37.9027821882</c:v>
                </c:pt>
                <c:pt idx="4">
                  <c:v>43.2899716692</c:v>
                </c:pt>
                <c:pt idx="5">
                  <c:v>46.391408312800003</c:v>
                </c:pt>
                <c:pt idx="6">
                  <c:v>46.427541593900003</c:v>
                </c:pt>
                <c:pt idx="7">
                  <c:v>66.398227368899995</c:v>
                </c:pt>
                <c:pt idx="8">
                  <c:v>59.439389928700002</c:v>
                </c:pt>
                <c:pt idx="9">
                  <c:v>54.362339147699998</c:v>
                </c:pt>
                <c:pt idx="10">
                  <c:v>52.096866706999997</c:v>
                </c:pt>
                <c:pt idx="11">
                  <c:v>61.056166646999998</c:v>
                </c:pt>
                <c:pt idx="12">
                  <c:v>56.096476067099999</c:v>
                </c:pt>
                <c:pt idx="13">
                  <c:v>54.182649080099999</c:v>
                </c:pt>
                <c:pt idx="14">
                  <c:v>59.032060490500001</c:v>
                </c:pt>
                <c:pt idx="15">
                  <c:v>52.712500235</c:v>
                </c:pt>
                <c:pt idx="16">
                  <c:v>53.558162283999998</c:v>
                </c:pt>
                <c:pt idx="17">
                  <c:v>58.428849469900001</c:v>
                </c:pt>
                <c:pt idx="18">
                  <c:v>55.802278624300001</c:v>
                </c:pt>
                <c:pt idx="19">
                  <c:v>48.095815968499998</c:v>
                </c:pt>
                <c:pt idx="20">
                  <c:v>43.748209096399997</c:v>
                </c:pt>
                <c:pt idx="21">
                  <c:v>54.754178394699998</c:v>
                </c:pt>
                <c:pt idx="22">
                  <c:v>58.651661517299999</c:v>
                </c:pt>
                <c:pt idx="23">
                  <c:v>56.667625285900002</c:v>
                </c:pt>
                <c:pt idx="24">
                  <c:v>53.895940274200001</c:v>
                </c:pt>
                <c:pt idx="25">
                  <c:v>49.613199357500001</c:v>
                </c:pt>
                <c:pt idx="26">
                  <c:v>49.131503355699998</c:v>
                </c:pt>
                <c:pt idx="27">
                  <c:v>49.756145405600002</c:v>
                </c:pt>
                <c:pt idx="28">
                  <c:v>55.502269501299999</c:v>
                </c:pt>
                <c:pt idx="29">
                  <c:v>55.105769321300002</c:v>
                </c:pt>
                <c:pt idx="30">
                  <c:v>57.597825041999997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4304"/>
        <c:axId val="180004688"/>
      </c:lineChart>
      <c:catAx>
        <c:axId val="1800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80004688"/>
        <c:crosses val="autoZero"/>
        <c:auto val="1"/>
        <c:lblAlgn val="ctr"/>
        <c:lblOffset val="100"/>
        <c:noMultiLvlLbl val="0"/>
      </c:catAx>
      <c:valAx>
        <c:axId val="18000468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1800043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520.03225806449996</c:v>
                </c:pt>
                <c:pt idx="1">
                  <c:v>516.89732142859998</c:v>
                </c:pt>
                <c:pt idx="2">
                  <c:v>513.60969044410001</c:v>
                </c:pt>
                <c:pt idx="3">
                  <c:v>504.98472222219999</c:v>
                </c:pt>
                <c:pt idx="4">
                  <c:v>508.80510752689997</c:v>
                </c:pt>
                <c:pt idx="5">
                  <c:v>519.46388888889999</c:v>
                </c:pt>
                <c:pt idx="6">
                  <c:v>510.7446236559</c:v>
                </c:pt>
                <c:pt idx="7">
                  <c:v>512.12365591399998</c:v>
                </c:pt>
                <c:pt idx="8">
                  <c:v>507.34166666670001</c:v>
                </c:pt>
                <c:pt idx="9">
                  <c:v>513.58791946309998</c:v>
                </c:pt>
                <c:pt idx="10">
                  <c:v>515.54861111109994</c:v>
                </c:pt>
                <c:pt idx="11">
                  <c:v>519.92069892469999</c:v>
                </c:pt>
                <c:pt idx="12">
                  <c:v>531.33064516130003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226856"/>
        <c:axId val="279226464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26856"/>
        <c:axId val="279226464"/>
      </c:lineChart>
      <c:valAx>
        <c:axId val="279226464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79226856"/>
        <c:crosses val="autoZero"/>
        <c:crossBetween val="between"/>
        <c:majorUnit val="200"/>
      </c:valAx>
      <c:catAx>
        <c:axId val="2792268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792264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114098.605</c:v>
                </c:pt>
                <c:pt idx="1">
                  <c:v>123063.594</c:v>
                </c:pt>
                <c:pt idx="2">
                  <c:v>142874.97500000001</c:v>
                </c:pt>
                <c:pt idx="3">
                  <c:v>143332.88099999999</c:v>
                </c:pt>
                <c:pt idx="4">
                  <c:v>124663.514</c:v>
                </c:pt>
                <c:pt idx="5">
                  <c:v>94559.540999999997</c:v>
                </c:pt>
                <c:pt idx="6">
                  <c:v>85673.202000000005</c:v>
                </c:pt>
                <c:pt idx="7">
                  <c:v>81536.076000000001</c:v>
                </c:pt>
                <c:pt idx="8">
                  <c:v>75102.289000000004</c:v>
                </c:pt>
                <c:pt idx="9">
                  <c:v>65089.595000000001</c:v>
                </c:pt>
                <c:pt idx="10">
                  <c:v>72290.070000000007</c:v>
                </c:pt>
                <c:pt idx="11">
                  <c:v>81049.796000000002</c:v>
                </c:pt>
                <c:pt idx="12">
                  <c:v>106846.751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227640"/>
        <c:axId val="27922803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75.307173036899997</c:v>
                </c:pt>
                <c:pt idx="1">
                  <c:v>56.121769286199999</c:v>
                </c:pt>
                <c:pt idx="2">
                  <c:v>47.867154202499997</c:v>
                </c:pt>
                <c:pt idx="3">
                  <c:v>48.851768841499997</c:v>
                </c:pt>
                <c:pt idx="4">
                  <c:v>50.732693448699997</c:v>
                </c:pt>
                <c:pt idx="5">
                  <c:v>52.547676812399999</c:v>
                </c:pt>
                <c:pt idx="6">
                  <c:v>50.083044053800002</c:v>
                </c:pt>
                <c:pt idx="7">
                  <c:v>47.756106266400003</c:v>
                </c:pt>
                <c:pt idx="8">
                  <c:v>50.449034516099999</c:v>
                </c:pt>
                <c:pt idx="9">
                  <c:v>58.357759792499998</c:v>
                </c:pt>
                <c:pt idx="10">
                  <c:v>62.377222902100002</c:v>
                </c:pt>
                <c:pt idx="11">
                  <c:v>61.842100256499997</c:v>
                </c:pt>
                <c:pt idx="12">
                  <c:v>51.707705552999997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28816"/>
        <c:axId val="279228424"/>
      </c:lineChart>
      <c:catAx>
        <c:axId val="279227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228032"/>
        <c:crosses val="autoZero"/>
        <c:auto val="1"/>
        <c:lblAlgn val="ctr"/>
        <c:lblOffset val="100"/>
        <c:noMultiLvlLbl val="1"/>
      </c:catAx>
      <c:valAx>
        <c:axId val="279228032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227640"/>
        <c:crosses val="autoZero"/>
        <c:crossBetween val="between"/>
        <c:majorUnit val="50000"/>
        <c:dispUnits>
          <c:builtInUnit val="thousands"/>
        </c:dispUnits>
      </c:valAx>
      <c:valAx>
        <c:axId val="27922842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228816"/>
        <c:crosses val="max"/>
        <c:crossBetween val="between"/>
        <c:majorUnit val="20"/>
      </c:valAx>
      <c:catAx>
        <c:axId val="279228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9228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108041.45299999999</c:v>
                </c:pt>
                <c:pt idx="1">
                  <c:v>65058.027000000002</c:v>
                </c:pt>
                <c:pt idx="2">
                  <c:v>65080.661999999997</c:v>
                </c:pt>
                <c:pt idx="3">
                  <c:v>56832.525000000001</c:v>
                </c:pt>
                <c:pt idx="4">
                  <c:v>67245.510999999999</c:v>
                </c:pt>
                <c:pt idx="5">
                  <c:v>87837.740999999995</c:v>
                </c:pt>
                <c:pt idx="6">
                  <c:v>115472.265</c:v>
                </c:pt>
                <c:pt idx="7">
                  <c:v>110945.08</c:v>
                </c:pt>
                <c:pt idx="8">
                  <c:v>109933.033</c:v>
                </c:pt>
                <c:pt idx="9">
                  <c:v>138127.981</c:v>
                </c:pt>
                <c:pt idx="10">
                  <c:v>138345.883</c:v>
                </c:pt>
                <c:pt idx="11">
                  <c:v>148810.416</c:v>
                </c:pt>
                <c:pt idx="12">
                  <c:v>118042.065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380072"/>
        <c:axId val="28037968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65.800001782600006</c:v>
                </c:pt>
                <c:pt idx="1">
                  <c:v>39.8691003956</c:v>
                </c:pt>
                <c:pt idx="2">
                  <c:v>31.858757214200001</c:v>
                </c:pt>
                <c:pt idx="3">
                  <c:v>33.552731292499999</c:v>
                </c:pt>
                <c:pt idx="4">
                  <c:v>39.81575127</c:v>
                </c:pt>
                <c:pt idx="5">
                  <c:v>42.375364024900001</c:v>
                </c:pt>
                <c:pt idx="6">
                  <c:v>40.013761746199997</c:v>
                </c:pt>
                <c:pt idx="7">
                  <c:v>38.090010931499997</c:v>
                </c:pt>
                <c:pt idx="8">
                  <c:v>39.002468893900001</c:v>
                </c:pt>
                <c:pt idx="9">
                  <c:v>45.204191538899998</c:v>
                </c:pt>
                <c:pt idx="10">
                  <c:v>53.3716975878</c:v>
                </c:pt>
                <c:pt idx="11">
                  <c:v>51.5734303841</c:v>
                </c:pt>
                <c:pt idx="12">
                  <c:v>40.970034284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380856"/>
        <c:axId val="280380464"/>
      </c:lineChart>
      <c:valAx>
        <c:axId val="280379680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80380072"/>
        <c:crosses val="autoZero"/>
        <c:crossBetween val="between"/>
        <c:majorUnit val="50000"/>
        <c:dispUnits>
          <c:builtInUnit val="thousands"/>
        </c:dispUnits>
      </c:valAx>
      <c:catAx>
        <c:axId val="2803800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80379680"/>
        <c:crosses val="autoZero"/>
        <c:auto val="1"/>
        <c:lblAlgn val="ctr"/>
        <c:lblOffset val="100"/>
        <c:noMultiLvlLbl val="0"/>
      </c:catAx>
      <c:valAx>
        <c:axId val="280380464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80380856"/>
        <c:crosses val="max"/>
        <c:crossBetween val="between"/>
        <c:majorUnit val="20"/>
      </c:valAx>
      <c:catAx>
        <c:axId val="280380856"/>
        <c:scaling>
          <c:orientation val="minMax"/>
        </c:scaling>
        <c:delete val="1"/>
        <c:axPos val="t"/>
        <c:majorTickMark val="out"/>
        <c:minorTickMark val="none"/>
        <c:tickLblPos val="nextTo"/>
        <c:crossAx val="2803804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29873.4</c:v>
                </c:pt>
                <c:pt idx="1">
                  <c:v>92635.5</c:v>
                </c:pt>
                <c:pt idx="2">
                  <c:v>60556.800000000003</c:v>
                </c:pt>
                <c:pt idx="3">
                  <c:v>39185.699999999997</c:v>
                </c:pt>
                <c:pt idx="4">
                  <c:v>36573.1</c:v>
                </c:pt>
                <c:pt idx="5">
                  <c:v>31856.5</c:v>
                </c:pt>
                <c:pt idx="6">
                  <c:v>64224.4</c:v>
                </c:pt>
                <c:pt idx="7">
                  <c:v>71875.8</c:v>
                </c:pt>
                <c:pt idx="8">
                  <c:v>46377.5</c:v>
                </c:pt>
                <c:pt idx="9">
                  <c:v>28352.7</c:v>
                </c:pt>
                <c:pt idx="10">
                  <c:v>20637.7</c:v>
                </c:pt>
                <c:pt idx="11">
                  <c:v>30371.3</c:v>
                </c:pt>
                <c:pt idx="12">
                  <c:v>49749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31257.5</c:v>
                </c:pt>
                <c:pt idx="1">
                  <c:v>28594.2</c:v>
                </c:pt>
                <c:pt idx="2">
                  <c:v>29853.7</c:v>
                </c:pt>
                <c:pt idx="3">
                  <c:v>20218.599999999999</c:v>
                </c:pt>
                <c:pt idx="4">
                  <c:v>14965.8</c:v>
                </c:pt>
                <c:pt idx="5">
                  <c:v>21784.2</c:v>
                </c:pt>
                <c:pt idx="6">
                  <c:v>40730.5</c:v>
                </c:pt>
                <c:pt idx="7">
                  <c:v>44407.8</c:v>
                </c:pt>
                <c:pt idx="8">
                  <c:v>52485.1</c:v>
                </c:pt>
                <c:pt idx="9">
                  <c:v>33701.800000000003</c:v>
                </c:pt>
                <c:pt idx="10">
                  <c:v>33409.300000000003</c:v>
                </c:pt>
                <c:pt idx="11">
                  <c:v>38818.699999999997</c:v>
                </c:pt>
                <c:pt idx="12">
                  <c:v>21689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232.7</c:v>
                </c:pt>
                <c:pt idx="1">
                  <c:v>463.1</c:v>
                </c:pt>
                <c:pt idx="2">
                  <c:v>1006.6</c:v>
                </c:pt>
                <c:pt idx="3">
                  <c:v>667</c:v>
                </c:pt>
                <c:pt idx="4">
                  <c:v>259.5</c:v>
                </c:pt>
                <c:pt idx="5">
                  <c:v>332.6</c:v>
                </c:pt>
                <c:pt idx="6">
                  <c:v>223.6</c:v>
                </c:pt>
                <c:pt idx="7">
                  <c:v>356.8</c:v>
                </c:pt>
                <c:pt idx="8">
                  <c:v>420.2</c:v>
                </c:pt>
                <c:pt idx="9">
                  <c:v>72.5</c:v>
                </c:pt>
                <c:pt idx="10">
                  <c:v>40.799999999999997</c:v>
                </c:pt>
                <c:pt idx="11">
                  <c:v>239.5</c:v>
                </c:pt>
                <c:pt idx="12">
                  <c:v>1091.7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29718.6</c:v>
                </c:pt>
                <c:pt idx="1">
                  <c:v>59071.9</c:v>
                </c:pt>
                <c:pt idx="2">
                  <c:v>69541.7</c:v>
                </c:pt>
                <c:pt idx="3">
                  <c:v>58045.1</c:v>
                </c:pt>
                <c:pt idx="4">
                  <c:v>26811.1</c:v>
                </c:pt>
                <c:pt idx="5">
                  <c:v>25120.799999999999</c:v>
                </c:pt>
                <c:pt idx="6">
                  <c:v>39459.699999999997</c:v>
                </c:pt>
                <c:pt idx="7">
                  <c:v>41443.4</c:v>
                </c:pt>
                <c:pt idx="8">
                  <c:v>46799.1</c:v>
                </c:pt>
                <c:pt idx="9">
                  <c:v>27285.599999999999</c:v>
                </c:pt>
                <c:pt idx="10">
                  <c:v>17072.8</c:v>
                </c:pt>
                <c:pt idx="11">
                  <c:v>44331.3</c:v>
                </c:pt>
                <c:pt idx="12">
                  <c:v>44705.2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2813.5</c:v>
                </c:pt>
                <c:pt idx="1">
                  <c:v>13978.3</c:v>
                </c:pt>
                <c:pt idx="2">
                  <c:v>24572.7</c:v>
                </c:pt>
                <c:pt idx="3">
                  <c:v>10784.5</c:v>
                </c:pt>
                <c:pt idx="4">
                  <c:v>4780.8999999999996</c:v>
                </c:pt>
                <c:pt idx="5">
                  <c:v>3742.7</c:v>
                </c:pt>
                <c:pt idx="6">
                  <c:v>10048.700000000001</c:v>
                </c:pt>
                <c:pt idx="7">
                  <c:v>8916.4</c:v>
                </c:pt>
                <c:pt idx="8">
                  <c:v>11262.5</c:v>
                </c:pt>
                <c:pt idx="9">
                  <c:v>6968.9</c:v>
                </c:pt>
                <c:pt idx="10">
                  <c:v>3847.5</c:v>
                </c:pt>
                <c:pt idx="11">
                  <c:v>13873.3</c:v>
                </c:pt>
                <c:pt idx="12">
                  <c:v>51833.3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48230.3</c:v>
                </c:pt>
                <c:pt idx="1">
                  <c:v>19654.8</c:v>
                </c:pt>
                <c:pt idx="2">
                  <c:v>29936.2</c:v>
                </c:pt>
                <c:pt idx="3">
                  <c:v>30176.3</c:v>
                </c:pt>
                <c:pt idx="4">
                  <c:v>9611.2999999999993</c:v>
                </c:pt>
                <c:pt idx="5">
                  <c:v>7869.8</c:v>
                </c:pt>
                <c:pt idx="6">
                  <c:v>2606.4</c:v>
                </c:pt>
                <c:pt idx="7">
                  <c:v>5181.1000000000004</c:v>
                </c:pt>
                <c:pt idx="8">
                  <c:v>3698.4</c:v>
                </c:pt>
                <c:pt idx="9">
                  <c:v>8057.2</c:v>
                </c:pt>
                <c:pt idx="10">
                  <c:v>8820.4</c:v>
                </c:pt>
                <c:pt idx="11">
                  <c:v>10280.700000000001</c:v>
                </c:pt>
                <c:pt idx="12">
                  <c:v>26560.6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30</c:v>
                </c:pt>
                <c:pt idx="3">
                  <c:v>635.29999999999995</c:v>
                </c:pt>
                <c:pt idx="4">
                  <c:v>138</c:v>
                </c:pt>
                <c:pt idx="5">
                  <c:v>320</c:v>
                </c:pt>
                <c:pt idx="6">
                  <c:v>130</c:v>
                </c:pt>
                <c:pt idx="7">
                  <c:v>179.2</c:v>
                </c:pt>
                <c:pt idx="8">
                  <c:v>178.3</c:v>
                </c:pt>
                <c:pt idx="9">
                  <c:v>1524.1</c:v>
                </c:pt>
                <c:pt idx="10">
                  <c:v>0</c:v>
                </c:pt>
                <c:pt idx="11">
                  <c:v>108.3</c:v>
                </c:pt>
                <c:pt idx="12">
                  <c:v>159.6</c:v>
                </c:pt>
              </c:numCache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3337.1</c:v>
                </c:pt>
                <c:pt idx="1">
                  <c:v>9063.5</c:v>
                </c:pt>
                <c:pt idx="2">
                  <c:v>14315.8</c:v>
                </c:pt>
                <c:pt idx="3">
                  <c:v>9263.7000000000007</c:v>
                </c:pt>
                <c:pt idx="4">
                  <c:v>3683.8</c:v>
                </c:pt>
                <c:pt idx="5">
                  <c:v>1244.9000000000001</c:v>
                </c:pt>
                <c:pt idx="6">
                  <c:v>1680.4</c:v>
                </c:pt>
                <c:pt idx="7">
                  <c:v>4517</c:v>
                </c:pt>
                <c:pt idx="8">
                  <c:v>4969.7</c:v>
                </c:pt>
                <c:pt idx="9">
                  <c:v>3817.1</c:v>
                </c:pt>
                <c:pt idx="10">
                  <c:v>5932.4</c:v>
                </c:pt>
                <c:pt idx="11">
                  <c:v>8046.3</c:v>
                </c:pt>
                <c:pt idx="12">
                  <c:v>11348.4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580384"/>
        <c:axId val="28058077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2'!$C$64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999F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2'!$D$64:$P$64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736.2</c:v>
                      </c:pt>
                      <c:pt idx="10">
                        <c:v>757.7</c:v>
                      </c:pt>
                      <c:pt idx="11">
                        <c:v>133.80000000000001</c:v>
                      </c:pt>
                      <c:pt idx="12">
                        <c:v>521.70000000000005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51.364834243200001</c:v>
                </c:pt>
                <c:pt idx="1">
                  <c:v>28.525761104899999</c:v>
                </c:pt>
                <c:pt idx="2">
                  <c:v>19.292700864</c:v>
                </c:pt>
                <c:pt idx="3">
                  <c:v>26.8904340375</c:v>
                </c:pt>
                <c:pt idx="4">
                  <c:v>30.571421091000001</c:v>
                </c:pt>
                <c:pt idx="5">
                  <c:v>36.435668434999997</c:v>
                </c:pt>
                <c:pt idx="6">
                  <c:v>36.143624378299997</c:v>
                </c:pt>
                <c:pt idx="7">
                  <c:v>33.497112747499997</c:v>
                </c:pt>
                <c:pt idx="8">
                  <c:v>30.933778283799999</c:v>
                </c:pt>
                <c:pt idx="9">
                  <c:v>35.307517909200001</c:v>
                </c:pt>
                <c:pt idx="10">
                  <c:v>45.196962723699997</c:v>
                </c:pt>
                <c:pt idx="11">
                  <c:v>36.297392464700003</c:v>
                </c:pt>
                <c:pt idx="12">
                  <c:v>24.798933392999999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81560"/>
        <c:axId val="280581168"/>
      </c:lineChart>
      <c:catAx>
        <c:axId val="2805803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80580776"/>
        <c:crosses val="autoZero"/>
        <c:auto val="1"/>
        <c:lblAlgn val="ctr"/>
        <c:lblOffset val="100"/>
        <c:noMultiLvlLbl val="0"/>
      </c:catAx>
      <c:valAx>
        <c:axId val="28058077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580384"/>
        <c:crosses val="autoZero"/>
        <c:crossBetween val="between"/>
        <c:dispUnits>
          <c:builtInUnit val="thousands"/>
        </c:dispUnits>
      </c:valAx>
      <c:valAx>
        <c:axId val="280581168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581560"/>
        <c:crosses val="max"/>
        <c:crossBetween val="between"/>
        <c:majorUnit val="15"/>
      </c:valAx>
      <c:catAx>
        <c:axId val="280581560"/>
        <c:scaling>
          <c:orientation val="minMax"/>
        </c:scaling>
        <c:delete val="1"/>
        <c:axPos val="t"/>
        <c:majorTickMark val="out"/>
        <c:minorTickMark val="none"/>
        <c:tickLblPos val="nextTo"/>
        <c:crossAx val="280581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33693.800000000003</c:v>
                </c:pt>
                <c:pt idx="1">
                  <c:v>19518.400000000001</c:v>
                </c:pt>
                <c:pt idx="2">
                  <c:v>27782.799999999999</c:v>
                </c:pt>
                <c:pt idx="3">
                  <c:v>26944.799999999999</c:v>
                </c:pt>
                <c:pt idx="4">
                  <c:v>49018.7</c:v>
                </c:pt>
                <c:pt idx="5">
                  <c:v>39223.4</c:v>
                </c:pt>
                <c:pt idx="6">
                  <c:v>28227.7</c:v>
                </c:pt>
                <c:pt idx="7">
                  <c:v>23185.3</c:v>
                </c:pt>
                <c:pt idx="8">
                  <c:v>23990.400000000001</c:v>
                </c:pt>
                <c:pt idx="9">
                  <c:v>36235.599999999999</c:v>
                </c:pt>
                <c:pt idx="10">
                  <c:v>35124.9</c:v>
                </c:pt>
                <c:pt idx="11">
                  <c:v>25784.6</c:v>
                </c:pt>
                <c:pt idx="12">
                  <c:v>35353.199999999997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71645.3</c:v>
                </c:pt>
                <c:pt idx="1">
                  <c:v>30319.3</c:v>
                </c:pt>
                <c:pt idx="2">
                  <c:v>47861.9</c:v>
                </c:pt>
                <c:pt idx="3">
                  <c:v>48899.3</c:v>
                </c:pt>
                <c:pt idx="4">
                  <c:v>59814.3</c:v>
                </c:pt>
                <c:pt idx="5">
                  <c:v>100710.5</c:v>
                </c:pt>
                <c:pt idx="6">
                  <c:v>53992.1</c:v>
                </c:pt>
                <c:pt idx="7">
                  <c:v>53888.3</c:v>
                </c:pt>
                <c:pt idx="8">
                  <c:v>55429.2</c:v>
                </c:pt>
                <c:pt idx="9">
                  <c:v>75955.399999999994</c:v>
                </c:pt>
                <c:pt idx="10">
                  <c:v>83653.399999999994</c:v>
                </c:pt>
                <c:pt idx="11">
                  <c:v>57877.3</c:v>
                </c:pt>
                <c:pt idx="12">
                  <c:v>57056.1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16.3</c:v>
                </c:pt>
                <c:pt idx="1">
                  <c:v>9.6</c:v>
                </c:pt>
                <c:pt idx="2">
                  <c:v>30.1</c:v>
                </c:pt>
                <c:pt idx="3">
                  <c:v>13.6</c:v>
                </c:pt>
                <c:pt idx="4">
                  <c:v>7.3</c:v>
                </c:pt>
                <c:pt idx="5">
                  <c:v>17.3</c:v>
                </c:pt>
                <c:pt idx="6">
                  <c:v>2.7</c:v>
                </c:pt>
                <c:pt idx="7">
                  <c:v>1.1000000000000001</c:v>
                </c:pt>
                <c:pt idx="8">
                  <c:v>0.8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10.8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5899.1</c:v>
                </c:pt>
                <c:pt idx="1">
                  <c:v>4595.7</c:v>
                </c:pt>
                <c:pt idx="2">
                  <c:v>3279.6</c:v>
                </c:pt>
                <c:pt idx="3">
                  <c:v>6553.1</c:v>
                </c:pt>
                <c:pt idx="4">
                  <c:v>7845.9</c:v>
                </c:pt>
                <c:pt idx="5">
                  <c:v>3498.8</c:v>
                </c:pt>
                <c:pt idx="6">
                  <c:v>1736.9</c:v>
                </c:pt>
                <c:pt idx="7">
                  <c:v>1823.4</c:v>
                </c:pt>
                <c:pt idx="8">
                  <c:v>1551.4</c:v>
                </c:pt>
                <c:pt idx="9">
                  <c:v>4285.8999999999996</c:v>
                </c:pt>
                <c:pt idx="10">
                  <c:v>7774.4</c:v>
                </c:pt>
                <c:pt idx="11">
                  <c:v>14602.9</c:v>
                </c:pt>
                <c:pt idx="12">
                  <c:v>4781.6000000000004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4288.7</c:v>
                </c:pt>
                <c:pt idx="1">
                  <c:v>2486.3000000000002</c:v>
                </c:pt>
                <c:pt idx="2">
                  <c:v>3494.1</c:v>
                </c:pt>
                <c:pt idx="3">
                  <c:v>2541.5</c:v>
                </c:pt>
                <c:pt idx="4">
                  <c:v>7018.8</c:v>
                </c:pt>
                <c:pt idx="5">
                  <c:v>11518.7</c:v>
                </c:pt>
                <c:pt idx="6">
                  <c:v>5554.8</c:v>
                </c:pt>
                <c:pt idx="7">
                  <c:v>5883.3</c:v>
                </c:pt>
                <c:pt idx="8">
                  <c:v>5247.3</c:v>
                </c:pt>
                <c:pt idx="9">
                  <c:v>7050.1</c:v>
                </c:pt>
                <c:pt idx="10">
                  <c:v>7943.5</c:v>
                </c:pt>
                <c:pt idx="11">
                  <c:v>8236.4</c:v>
                </c:pt>
                <c:pt idx="12">
                  <c:v>5669.6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99664.7</c:v>
                </c:pt>
                <c:pt idx="1">
                  <c:v>21689.9</c:v>
                </c:pt>
                <c:pt idx="2">
                  <c:v>75296.7</c:v>
                </c:pt>
                <c:pt idx="3">
                  <c:v>45882.6</c:v>
                </c:pt>
                <c:pt idx="4">
                  <c:v>58284.6</c:v>
                </c:pt>
                <c:pt idx="5">
                  <c:v>88256.3</c:v>
                </c:pt>
                <c:pt idx="6">
                  <c:v>34688.699999999997</c:v>
                </c:pt>
                <c:pt idx="7">
                  <c:v>29023.599999999999</c:v>
                </c:pt>
                <c:pt idx="8">
                  <c:v>29358.5</c:v>
                </c:pt>
                <c:pt idx="9">
                  <c:v>42190.9</c:v>
                </c:pt>
                <c:pt idx="10">
                  <c:v>66112.3</c:v>
                </c:pt>
                <c:pt idx="11">
                  <c:v>50297.7</c:v>
                </c:pt>
                <c:pt idx="12">
                  <c:v>55012.6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122</c:v>
                </c:pt>
                <c:pt idx="4">
                  <c:v>169.5</c:v>
                </c:pt>
                <c:pt idx="5">
                  <c:v>69.8</c:v>
                </c:pt>
                <c:pt idx="6">
                  <c:v>310</c:v>
                </c:pt>
                <c:pt idx="7">
                  <c:v>148</c:v>
                </c:pt>
                <c:pt idx="8">
                  <c:v>3.1</c:v>
                </c:pt>
                <c:pt idx="9">
                  <c:v>700</c:v>
                </c:pt>
                <c:pt idx="10">
                  <c:v>0</c:v>
                </c:pt>
                <c:pt idx="11">
                  <c:v>1085.4000000000001</c:v>
                </c:pt>
                <c:pt idx="12">
                  <c:v>282.3</c:v>
                </c:pt>
              </c:numCache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74414.2</c:v>
                </c:pt>
                <c:pt idx="1">
                  <c:v>32220.5</c:v>
                </c:pt>
                <c:pt idx="2">
                  <c:v>32248</c:v>
                </c:pt>
                <c:pt idx="3">
                  <c:v>24942.1</c:v>
                </c:pt>
                <c:pt idx="4">
                  <c:v>36979</c:v>
                </c:pt>
                <c:pt idx="5">
                  <c:v>27501.3</c:v>
                </c:pt>
                <c:pt idx="6">
                  <c:v>32397.1</c:v>
                </c:pt>
                <c:pt idx="7">
                  <c:v>29140</c:v>
                </c:pt>
                <c:pt idx="8">
                  <c:v>44532.5</c:v>
                </c:pt>
                <c:pt idx="9">
                  <c:v>30549.8</c:v>
                </c:pt>
                <c:pt idx="10">
                  <c:v>41077.1</c:v>
                </c:pt>
                <c:pt idx="11">
                  <c:v>54906.6</c:v>
                </c:pt>
                <c:pt idx="12">
                  <c:v>28937.8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0582344"/>
        <c:axId val="28058273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999F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2'!$D$47:$P$47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131.30000000000001</c:v>
                      </c:pt>
                      <c:pt idx="10">
                        <c:v>299.10000000000002</c:v>
                      </c:pt>
                      <c:pt idx="11">
                        <c:v>57.5</c:v>
                      </c:pt>
                      <c:pt idx="12">
                        <c:v>69.8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86.022068378100002</c:v>
                </c:pt>
                <c:pt idx="1">
                  <c:v>68.272500196199999</c:v>
                </c:pt>
                <c:pt idx="2">
                  <c:v>53.459637766</c:v>
                </c:pt>
                <c:pt idx="3">
                  <c:v>51.962276409700003</c:v>
                </c:pt>
                <c:pt idx="4">
                  <c:v>54.692289017699999</c:v>
                </c:pt>
                <c:pt idx="5">
                  <c:v>58.053899003700003</c:v>
                </c:pt>
                <c:pt idx="6">
                  <c:v>57.819714231100001</c:v>
                </c:pt>
                <c:pt idx="7">
                  <c:v>55.585096335899998</c:v>
                </c:pt>
                <c:pt idx="8">
                  <c:v>56.231510706199998</c:v>
                </c:pt>
                <c:pt idx="9">
                  <c:v>64.784309668600002</c:v>
                </c:pt>
                <c:pt idx="10">
                  <c:v>70.107599447400005</c:v>
                </c:pt>
                <c:pt idx="11">
                  <c:v>78.756404746300007</c:v>
                </c:pt>
                <c:pt idx="12">
                  <c:v>62.437006568199998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0583520"/>
        <c:axId val="280583128"/>
      </c:lineChart>
      <c:catAx>
        <c:axId val="28058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582736"/>
        <c:crosses val="autoZero"/>
        <c:auto val="1"/>
        <c:lblAlgn val="ctr"/>
        <c:lblOffset val="100"/>
        <c:noMultiLvlLbl val="0"/>
      </c:catAx>
      <c:valAx>
        <c:axId val="28058273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582344"/>
        <c:crosses val="autoZero"/>
        <c:crossBetween val="between"/>
        <c:dispUnits>
          <c:builtInUnit val="thousands"/>
        </c:dispUnits>
      </c:valAx>
      <c:valAx>
        <c:axId val="280583128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583520"/>
        <c:crosses val="max"/>
        <c:crossBetween val="between"/>
        <c:majorUnit val="15"/>
      </c:valAx>
      <c:catAx>
        <c:axId val="28058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0583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7306.9</c:v>
                </c:pt>
                <c:pt idx="1">
                  <c:v>50376</c:v>
                </c:pt>
                <c:pt idx="2">
                  <c:v>46429</c:v>
                </c:pt>
                <c:pt idx="3">
                  <c:v>17956.2</c:v>
                </c:pt>
                <c:pt idx="4">
                  <c:v>6283.8</c:v>
                </c:pt>
                <c:pt idx="5">
                  <c:v>10864.5</c:v>
                </c:pt>
                <c:pt idx="6">
                  <c:v>27924.7</c:v>
                </c:pt>
                <c:pt idx="7">
                  <c:v>43819.1</c:v>
                </c:pt>
                <c:pt idx="8">
                  <c:v>23995.8</c:v>
                </c:pt>
                <c:pt idx="9">
                  <c:v>6238.1</c:v>
                </c:pt>
                <c:pt idx="10">
                  <c:v>4345.3999999999996</c:v>
                </c:pt>
                <c:pt idx="11">
                  <c:v>11031.5</c:v>
                </c:pt>
                <c:pt idx="12">
                  <c:v>24843.5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11559.1</c:v>
                </c:pt>
                <c:pt idx="1">
                  <c:v>18600.8</c:v>
                </c:pt>
                <c:pt idx="2">
                  <c:v>22875.8</c:v>
                </c:pt>
                <c:pt idx="3">
                  <c:v>12815.5</c:v>
                </c:pt>
                <c:pt idx="4">
                  <c:v>4145.3</c:v>
                </c:pt>
                <c:pt idx="5">
                  <c:v>7378.2</c:v>
                </c:pt>
                <c:pt idx="6">
                  <c:v>18737.8</c:v>
                </c:pt>
                <c:pt idx="7">
                  <c:v>26947.4</c:v>
                </c:pt>
                <c:pt idx="8">
                  <c:v>23603.4</c:v>
                </c:pt>
                <c:pt idx="9">
                  <c:v>6107.2</c:v>
                </c:pt>
                <c:pt idx="10">
                  <c:v>8205.2999999999993</c:v>
                </c:pt>
                <c:pt idx="11">
                  <c:v>9660.7000000000007</c:v>
                </c:pt>
                <c:pt idx="12">
                  <c:v>12025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88</c:v>
                </c:pt>
                <c:pt idx="1">
                  <c:v>92.8</c:v>
                </c:pt>
                <c:pt idx="2">
                  <c:v>230</c:v>
                </c:pt>
                <c:pt idx="3">
                  <c:v>103.4</c:v>
                </c:pt>
                <c:pt idx="4">
                  <c:v>18.899999999999999</c:v>
                </c:pt>
                <c:pt idx="5">
                  <c:v>88.1</c:v>
                </c:pt>
                <c:pt idx="6">
                  <c:v>26.5</c:v>
                </c:pt>
                <c:pt idx="7">
                  <c:v>131.4</c:v>
                </c:pt>
                <c:pt idx="8">
                  <c:v>120.4</c:v>
                </c:pt>
                <c:pt idx="9">
                  <c:v>11.4</c:v>
                </c:pt>
                <c:pt idx="10">
                  <c:v>0</c:v>
                </c:pt>
                <c:pt idx="11">
                  <c:v>0</c:v>
                </c:pt>
                <c:pt idx="12">
                  <c:v>139.19999999999999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7999</c:v>
                </c:pt>
                <c:pt idx="1">
                  <c:v>18257.2</c:v>
                </c:pt>
                <c:pt idx="2">
                  <c:v>26858.5</c:v>
                </c:pt>
                <c:pt idx="3">
                  <c:v>12162.2</c:v>
                </c:pt>
                <c:pt idx="4">
                  <c:v>7977.8</c:v>
                </c:pt>
                <c:pt idx="5">
                  <c:v>16621.400000000001</c:v>
                </c:pt>
                <c:pt idx="6">
                  <c:v>21039.7</c:v>
                </c:pt>
                <c:pt idx="7">
                  <c:v>18038.2</c:v>
                </c:pt>
                <c:pt idx="8">
                  <c:v>18312.900000000001</c:v>
                </c:pt>
                <c:pt idx="9">
                  <c:v>8233.1</c:v>
                </c:pt>
                <c:pt idx="10">
                  <c:v>6736.7</c:v>
                </c:pt>
                <c:pt idx="11">
                  <c:v>16502.5</c:v>
                </c:pt>
                <c:pt idx="12">
                  <c:v>12696.1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402.8</c:v>
                </c:pt>
                <c:pt idx="1">
                  <c:v>867.9</c:v>
                </c:pt>
                <c:pt idx="2">
                  <c:v>1566</c:v>
                </c:pt>
                <c:pt idx="3">
                  <c:v>688.3</c:v>
                </c:pt>
                <c:pt idx="4">
                  <c:v>313</c:v>
                </c:pt>
                <c:pt idx="5">
                  <c:v>464.4</c:v>
                </c:pt>
                <c:pt idx="6">
                  <c:v>1083.3</c:v>
                </c:pt>
                <c:pt idx="7">
                  <c:v>700.3</c:v>
                </c:pt>
                <c:pt idx="8">
                  <c:v>630.70000000000005</c:v>
                </c:pt>
                <c:pt idx="9">
                  <c:v>466.1</c:v>
                </c:pt>
                <c:pt idx="10">
                  <c:v>204.5</c:v>
                </c:pt>
                <c:pt idx="11">
                  <c:v>1775.9</c:v>
                </c:pt>
                <c:pt idx="12">
                  <c:v>3036.8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17797.7</c:v>
                </c:pt>
                <c:pt idx="1">
                  <c:v>17793.5</c:v>
                </c:pt>
                <c:pt idx="2">
                  <c:v>20878.900000000001</c:v>
                </c:pt>
                <c:pt idx="3">
                  <c:v>19850.2</c:v>
                </c:pt>
                <c:pt idx="4">
                  <c:v>4389.8</c:v>
                </c:pt>
                <c:pt idx="5">
                  <c:v>2067.3000000000002</c:v>
                </c:pt>
                <c:pt idx="6">
                  <c:v>2318.1</c:v>
                </c:pt>
                <c:pt idx="7">
                  <c:v>5037</c:v>
                </c:pt>
                <c:pt idx="8">
                  <c:v>2095.3000000000002</c:v>
                </c:pt>
                <c:pt idx="9">
                  <c:v>1774.5</c:v>
                </c:pt>
                <c:pt idx="10">
                  <c:v>506</c:v>
                </c:pt>
                <c:pt idx="11">
                  <c:v>2151.1999999999998</c:v>
                </c:pt>
                <c:pt idx="12">
                  <c:v>14862.1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</c:v>
                </c:pt>
                <c:pt idx="4">
                  <c:v>0</c:v>
                </c:pt>
                <c:pt idx="5">
                  <c:v>1381.8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300.5</c:v>
                </c:pt>
                <c:pt idx="10">
                  <c:v>0</c:v>
                </c:pt>
                <c:pt idx="11">
                  <c:v>0</c:v>
                </c:pt>
                <c:pt idx="12">
                  <c:v>109.8</c:v>
                </c:pt>
              </c:numCache>
            </c:numRef>
          </c:val>
        </c:ser>
        <c:ser>
          <c:idx val="9"/>
          <c:order val="7"/>
          <c:tx>
            <c:strRef>
              <c:f>'Data 2'!$C$100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1941.3</c:v>
                </c:pt>
                <c:pt idx="1">
                  <c:v>4596.7</c:v>
                </c:pt>
                <c:pt idx="2">
                  <c:v>13810.2</c:v>
                </c:pt>
                <c:pt idx="3">
                  <c:v>11430.1</c:v>
                </c:pt>
                <c:pt idx="4">
                  <c:v>935.6</c:v>
                </c:pt>
                <c:pt idx="5">
                  <c:v>160.4</c:v>
                </c:pt>
                <c:pt idx="6">
                  <c:v>4314</c:v>
                </c:pt>
                <c:pt idx="7">
                  <c:v>3400</c:v>
                </c:pt>
                <c:pt idx="8">
                  <c:v>1288.4000000000001</c:v>
                </c:pt>
                <c:pt idx="9">
                  <c:v>185</c:v>
                </c:pt>
                <c:pt idx="10">
                  <c:v>802.1</c:v>
                </c:pt>
                <c:pt idx="11">
                  <c:v>2234.6</c:v>
                </c:pt>
                <c:pt idx="12">
                  <c:v>13649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160240"/>
        <c:axId val="281160632"/>
      </c:barChart>
      <c:lineChart>
        <c:grouping val="standard"/>
        <c:varyColors val="0"/>
        <c:ser>
          <c:idx val="8"/>
          <c:order val="8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2'!$D$104:$P$104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9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2'!$D$103:$P$103</c:f>
              <c:numCache>
                <c:formatCode>#,##0.0</c:formatCode>
                <c:ptCount val="13"/>
                <c:pt idx="0">
                  <c:v>56.505910843700001</c:v>
                </c:pt>
                <c:pt idx="1">
                  <c:v>39.278952461000003</c:v>
                </c:pt>
                <c:pt idx="2">
                  <c:v>30.862738864499999</c:v>
                </c:pt>
                <c:pt idx="3">
                  <c:v>38.917594599300003</c:v>
                </c:pt>
                <c:pt idx="4">
                  <c:v>37.510220161100001</c:v>
                </c:pt>
                <c:pt idx="5">
                  <c:v>38.300981138300003</c:v>
                </c:pt>
                <c:pt idx="6">
                  <c:v>40.000333624500001</c:v>
                </c:pt>
                <c:pt idx="7">
                  <c:v>35.937440223300001</c:v>
                </c:pt>
                <c:pt idx="8">
                  <c:v>36.511317131799998</c:v>
                </c:pt>
                <c:pt idx="9">
                  <c:v>38.937077702300002</c:v>
                </c:pt>
                <c:pt idx="10">
                  <c:v>48.682983173099998</c:v>
                </c:pt>
                <c:pt idx="11">
                  <c:v>37.017880635799997</c:v>
                </c:pt>
                <c:pt idx="12">
                  <c:v>35.217388445399997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61416"/>
        <c:axId val="281161024"/>
      </c:lineChart>
      <c:catAx>
        <c:axId val="2811602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81160632"/>
        <c:crosses val="autoZero"/>
        <c:auto val="1"/>
        <c:lblAlgn val="ctr"/>
        <c:lblOffset val="100"/>
        <c:noMultiLvlLbl val="0"/>
      </c:catAx>
      <c:valAx>
        <c:axId val="281160632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60240"/>
        <c:crosses val="autoZero"/>
        <c:crossBetween val="between"/>
        <c:dispUnits>
          <c:builtInUnit val="thousands"/>
        </c:dispUnits>
      </c:valAx>
      <c:valAx>
        <c:axId val="281161024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61416"/>
        <c:crosses val="max"/>
        <c:crossBetween val="between"/>
        <c:majorUnit val="20"/>
      </c:valAx>
      <c:catAx>
        <c:axId val="281161416"/>
        <c:scaling>
          <c:orientation val="minMax"/>
        </c:scaling>
        <c:delete val="1"/>
        <c:axPos val="t"/>
        <c:majorTickMark val="out"/>
        <c:minorTickMark val="none"/>
        <c:tickLblPos val="nextTo"/>
        <c:crossAx val="28116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27333.200000000001</c:v>
                </c:pt>
                <c:pt idx="1">
                  <c:v>11782.3</c:v>
                </c:pt>
                <c:pt idx="2">
                  <c:v>10392.299999999999</c:v>
                </c:pt>
                <c:pt idx="3">
                  <c:v>11417.3</c:v>
                </c:pt>
                <c:pt idx="4">
                  <c:v>14921.9</c:v>
                </c:pt>
                <c:pt idx="5">
                  <c:v>35897.1</c:v>
                </c:pt>
                <c:pt idx="6">
                  <c:v>15424.3</c:v>
                </c:pt>
                <c:pt idx="7">
                  <c:v>17604.099999999999</c:v>
                </c:pt>
                <c:pt idx="8">
                  <c:v>9030.9</c:v>
                </c:pt>
                <c:pt idx="9">
                  <c:v>13899.2</c:v>
                </c:pt>
                <c:pt idx="10">
                  <c:v>19298.3</c:v>
                </c:pt>
                <c:pt idx="11">
                  <c:v>36464.5</c:v>
                </c:pt>
                <c:pt idx="12">
                  <c:v>18538.8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50390.400000000001</c:v>
                </c:pt>
                <c:pt idx="1">
                  <c:v>9297.4</c:v>
                </c:pt>
                <c:pt idx="2">
                  <c:v>9024.7999999999993</c:v>
                </c:pt>
                <c:pt idx="3">
                  <c:v>11177.4</c:v>
                </c:pt>
                <c:pt idx="4">
                  <c:v>12578.5</c:v>
                </c:pt>
                <c:pt idx="5">
                  <c:v>86103.9</c:v>
                </c:pt>
                <c:pt idx="6">
                  <c:v>25298.7</c:v>
                </c:pt>
                <c:pt idx="7">
                  <c:v>20278.5</c:v>
                </c:pt>
                <c:pt idx="8">
                  <c:v>13355.9</c:v>
                </c:pt>
                <c:pt idx="9">
                  <c:v>20227.3</c:v>
                </c:pt>
                <c:pt idx="10">
                  <c:v>45604</c:v>
                </c:pt>
                <c:pt idx="11">
                  <c:v>72616.800000000003</c:v>
                </c:pt>
                <c:pt idx="12">
                  <c:v>25466.6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16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1420.1</c:v>
                </c:pt>
                <c:pt idx="1">
                  <c:v>2429.3000000000002</c:v>
                </c:pt>
                <c:pt idx="2">
                  <c:v>1213</c:v>
                </c:pt>
                <c:pt idx="3">
                  <c:v>2298.6999999999998</c:v>
                </c:pt>
                <c:pt idx="4">
                  <c:v>1623.5</c:v>
                </c:pt>
                <c:pt idx="5">
                  <c:v>4321.8999999999996</c:v>
                </c:pt>
                <c:pt idx="6">
                  <c:v>1196.5</c:v>
                </c:pt>
                <c:pt idx="7">
                  <c:v>1953.7</c:v>
                </c:pt>
                <c:pt idx="8">
                  <c:v>972.7</c:v>
                </c:pt>
                <c:pt idx="9">
                  <c:v>3473.9</c:v>
                </c:pt>
                <c:pt idx="10">
                  <c:v>3226</c:v>
                </c:pt>
                <c:pt idx="11">
                  <c:v>14393.3</c:v>
                </c:pt>
                <c:pt idx="12">
                  <c:v>6696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796.7</c:v>
                </c:pt>
                <c:pt idx="1">
                  <c:v>37.700000000000003</c:v>
                </c:pt>
                <c:pt idx="2">
                  <c:v>83.9</c:v>
                </c:pt>
                <c:pt idx="3">
                  <c:v>146.30000000000001</c:v>
                </c:pt>
                <c:pt idx="4">
                  <c:v>791</c:v>
                </c:pt>
                <c:pt idx="5">
                  <c:v>1499</c:v>
                </c:pt>
                <c:pt idx="6">
                  <c:v>694.8</c:v>
                </c:pt>
                <c:pt idx="7">
                  <c:v>1479</c:v>
                </c:pt>
                <c:pt idx="8">
                  <c:v>456.9</c:v>
                </c:pt>
                <c:pt idx="9">
                  <c:v>731.2</c:v>
                </c:pt>
                <c:pt idx="10">
                  <c:v>983.4</c:v>
                </c:pt>
                <c:pt idx="11">
                  <c:v>4195.1000000000004</c:v>
                </c:pt>
                <c:pt idx="12">
                  <c:v>686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48799.7</c:v>
                </c:pt>
                <c:pt idx="1">
                  <c:v>5011.6000000000004</c:v>
                </c:pt>
                <c:pt idx="2">
                  <c:v>15815.6</c:v>
                </c:pt>
                <c:pt idx="3">
                  <c:v>6448.1</c:v>
                </c:pt>
                <c:pt idx="4">
                  <c:v>6148.7</c:v>
                </c:pt>
                <c:pt idx="5">
                  <c:v>35181.699999999997</c:v>
                </c:pt>
                <c:pt idx="6">
                  <c:v>12560.8</c:v>
                </c:pt>
                <c:pt idx="7">
                  <c:v>9282.6</c:v>
                </c:pt>
                <c:pt idx="8">
                  <c:v>7586.6</c:v>
                </c:pt>
                <c:pt idx="9">
                  <c:v>6859.3</c:v>
                </c:pt>
                <c:pt idx="10">
                  <c:v>22432</c:v>
                </c:pt>
                <c:pt idx="11">
                  <c:v>32118.7</c:v>
                </c:pt>
                <c:pt idx="12">
                  <c:v>14339.3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</c:v>
                </c:pt>
                <c:pt idx="4">
                  <c:v>0</c:v>
                </c:pt>
                <c:pt idx="5">
                  <c:v>537</c:v>
                </c:pt>
                <c:pt idx="6">
                  <c:v>231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1236</c:v>
                </c:pt>
                <c:pt idx="12">
                  <c:v>277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22768.5</c:v>
                </c:pt>
                <c:pt idx="1">
                  <c:v>3301.6</c:v>
                </c:pt>
                <c:pt idx="2">
                  <c:v>5970.4</c:v>
                </c:pt>
                <c:pt idx="3">
                  <c:v>1824.9</c:v>
                </c:pt>
                <c:pt idx="4">
                  <c:v>5041.6000000000004</c:v>
                </c:pt>
                <c:pt idx="5">
                  <c:v>13587.3</c:v>
                </c:pt>
                <c:pt idx="6">
                  <c:v>9853.2999999999993</c:v>
                </c:pt>
                <c:pt idx="7">
                  <c:v>10537.6</c:v>
                </c:pt>
                <c:pt idx="8">
                  <c:v>7497.3</c:v>
                </c:pt>
                <c:pt idx="9">
                  <c:v>9809.2999999999993</c:v>
                </c:pt>
                <c:pt idx="10">
                  <c:v>16186.5</c:v>
                </c:pt>
                <c:pt idx="11">
                  <c:v>39485.4</c:v>
                </c:pt>
                <c:pt idx="12">
                  <c:v>7767.7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162200"/>
        <c:axId val="281162592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2'!$D$102:$P$102</c:f>
              <c:numCache>
                <c:formatCode>#,##0.0</c:formatCode>
                <c:ptCount val="13"/>
                <c:pt idx="0">
                  <c:v>84.925632340299998</c:v>
                </c:pt>
                <c:pt idx="1">
                  <c:v>75.523737362600002</c:v>
                </c:pt>
                <c:pt idx="2">
                  <c:v>52.278636470599999</c:v>
                </c:pt>
                <c:pt idx="3">
                  <c:v>50.1687773612</c:v>
                </c:pt>
                <c:pt idx="4">
                  <c:v>52.772110097999999</c:v>
                </c:pt>
                <c:pt idx="5">
                  <c:v>57.933831365300001</c:v>
                </c:pt>
                <c:pt idx="6">
                  <c:v>57.393478933700003</c:v>
                </c:pt>
                <c:pt idx="7">
                  <c:v>54.654758855300003</c:v>
                </c:pt>
                <c:pt idx="8">
                  <c:v>54.685032249099997</c:v>
                </c:pt>
                <c:pt idx="9">
                  <c:v>61.513323042499998</c:v>
                </c:pt>
                <c:pt idx="10">
                  <c:v>71.000344286000001</c:v>
                </c:pt>
                <c:pt idx="11">
                  <c:v>75.213326381100003</c:v>
                </c:pt>
                <c:pt idx="12">
                  <c:v>60.115528511000001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163376"/>
        <c:axId val="281162984"/>
      </c:lineChart>
      <c:catAx>
        <c:axId val="281162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62592"/>
        <c:crosses val="autoZero"/>
        <c:auto val="1"/>
        <c:lblAlgn val="ctr"/>
        <c:lblOffset val="100"/>
        <c:noMultiLvlLbl val="0"/>
      </c:catAx>
      <c:valAx>
        <c:axId val="2811625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62200"/>
        <c:crosses val="autoZero"/>
        <c:crossBetween val="between"/>
        <c:dispUnits>
          <c:builtInUnit val="thousands"/>
        </c:dispUnits>
      </c:valAx>
      <c:valAx>
        <c:axId val="2811629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163376"/>
        <c:crosses val="max"/>
        <c:crossBetween val="between"/>
        <c:majorUnit val="20"/>
      </c:valAx>
      <c:catAx>
        <c:axId val="28116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116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2'!$C$129:$O$129</c:f>
              <c:numCache>
                <c:formatCode>#,##0.0</c:formatCode>
                <c:ptCount val="13"/>
                <c:pt idx="0">
                  <c:v>376.2</c:v>
                </c:pt>
                <c:pt idx="1">
                  <c:v>14289.6</c:v>
                </c:pt>
                <c:pt idx="2">
                  <c:v>1420.9</c:v>
                </c:pt>
                <c:pt idx="3">
                  <c:v>808.2</c:v>
                </c:pt>
                <c:pt idx="4">
                  <c:v>0</c:v>
                </c:pt>
                <c:pt idx="5">
                  <c:v>294.2</c:v>
                </c:pt>
                <c:pt idx="6">
                  <c:v>516.70000000000005</c:v>
                </c:pt>
                <c:pt idx="7">
                  <c:v>0</c:v>
                </c:pt>
                <c:pt idx="8">
                  <c:v>0</c:v>
                </c:pt>
                <c:pt idx="9">
                  <c:v>8149.5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2'!$B$130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2'!$C$130:$O$130</c:f>
              <c:numCache>
                <c:formatCode>#,##0.0</c:formatCode>
                <c:ptCount val="13"/>
                <c:pt idx="0">
                  <c:v>910.9</c:v>
                </c:pt>
                <c:pt idx="1">
                  <c:v>859.1</c:v>
                </c:pt>
                <c:pt idx="2">
                  <c:v>0</c:v>
                </c:pt>
                <c:pt idx="3">
                  <c:v>1016.6</c:v>
                </c:pt>
                <c:pt idx="4">
                  <c:v>1097.9000000000001</c:v>
                </c:pt>
                <c:pt idx="5">
                  <c:v>0</c:v>
                </c:pt>
                <c:pt idx="6">
                  <c:v>1537.9</c:v>
                </c:pt>
                <c:pt idx="7">
                  <c:v>2533.1</c:v>
                </c:pt>
                <c:pt idx="8">
                  <c:v>555.79999999999995</c:v>
                </c:pt>
                <c:pt idx="9">
                  <c:v>754.8</c:v>
                </c:pt>
                <c:pt idx="10">
                  <c:v>458.3</c:v>
                </c:pt>
                <c:pt idx="11">
                  <c:v>223.8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'Data 2'!$B$131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0</c:v>
                </c:pt>
                <c:pt idx="1">
                  <c:v>5068.8</c:v>
                </c:pt>
                <c:pt idx="2">
                  <c:v>2008.3</c:v>
                </c:pt>
                <c:pt idx="3">
                  <c:v>1618.6</c:v>
                </c:pt>
                <c:pt idx="4">
                  <c:v>0</c:v>
                </c:pt>
                <c:pt idx="5">
                  <c:v>0</c:v>
                </c:pt>
                <c:pt idx="6">
                  <c:v>257</c:v>
                </c:pt>
                <c:pt idx="7">
                  <c:v>0</c:v>
                </c:pt>
                <c:pt idx="8">
                  <c:v>0</c:v>
                </c:pt>
                <c:pt idx="9">
                  <c:v>3.5</c:v>
                </c:pt>
                <c:pt idx="10">
                  <c:v>0</c:v>
                </c:pt>
                <c:pt idx="11">
                  <c:v>2.4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2'!$B$132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52921.9</c:v>
                </c:pt>
                <c:pt idx="1">
                  <c:v>28184.1</c:v>
                </c:pt>
                <c:pt idx="2">
                  <c:v>27920</c:v>
                </c:pt>
                <c:pt idx="3">
                  <c:v>42815.3</c:v>
                </c:pt>
                <c:pt idx="4">
                  <c:v>21404.400000000001</c:v>
                </c:pt>
                <c:pt idx="5">
                  <c:v>4310.8</c:v>
                </c:pt>
                <c:pt idx="6">
                  <c:v>809.6</c:v>
                </c:pt>
                <c:pt idx="7">
                  <c:v>2991.4</c:v>
                </c:pt>
                <c:pt idx="8">
                  <c:v>20748.5</c:v>
                </c:pt>
                <c:pt idx="9">
                  <c:v>31856.3</c:v>
                </c:pt>
                <c:pt idx="10">
                  <c:v>31829.7</c:v>
                </c:pt>
                <c:pt idx="11">
                  <c:v>30752.2</c:v>
                </c:pt>
                <c:pt idx="12">
                  <c:v>31097.5</c:v>
                </c:pt>
              </c:numCache>
            </c:numRef>
          </c:val>
        </c:ser>
        <c:ser>
          <c:idx val="7"/>
          <c:order val="4"/>
          <c:tx>
            <c:strRef>
              <c:f>'Data 2'!$B$133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42.4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2'!$B$134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42.8</c:v>
                </c:pt>
                <c:pt idx="1">
                  <c:v>40432</c:v>
                </c:pt>
                <c:pt idx="2">
                  <c:v>13960.1</c:v>
                </c:pt>
                <c:pt idx="3">
                  <c:v>4070.8</c:v>
                </c:pt>
                <c:pt idx="4">
                  <c:v>137.4</c:v>
                </c:pt>
                <c:pt idx="5">
                  <c:v>0.6</c:v>
                </c:pt>
                <c:pt idx="6">
                  <c:v>9502.9</c:v>
                </c:pt>
                <c:pt idx="7">
                  <c:v>42.6</c:v>
                </c:pt>
                <c:pt idx="8">
                  <c:v>1071</c:v>
                </c:pt>
                <c:pt idx="9">
                  <c:v>1760.6</c:v>
                </c:pt>
                <c:pt idx="10">
                  <c:v>671.7</c:v>
                </c:pt>
                <c:pt idx="11">
                  <c:v>2324.3000000000002</c:v>
                </c:pt>
                <c:pt idx="12">
                  <c:v>268.5</c:v>
                </c:pt>
              </c:numCache>
            </c:numRef>
          </c:val>
        </c:ser>
        <c:ser>
          <c:idx val="9"/>
          <c:order val="6"/>
          <c:tx>
            <c:strRef>
              <c:f>'Data 2'!$B$135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0</c:v>
                </c:pt>
                <c:pt idx="1">
                  <c:v>8486.1</c:v>
                </c:pt>
                <c:pt idx="2">
                  <c:v>1762.8</c:v>
                </c:pt>
                <c:pt idx="3">
                  <c:v>105.9</c:v>
                </c:pt>
                <c:pt idx="4">
                  <c:v>0</c:v>
                </c:pt>
                <c:pt idx="5">
                  <c:v>0</c:v>
                </c:pt>
                <c:pt idx="6">
                  <c:v>408.7</c:v>
                </c:pt>
                <c:pt idx="7">
                  <c:v>0</c:v>
                </c:pt>
                <c:pt idx="8">
                  <c:v>8.1999999999999993</c:v>
                </c:pt>
                <c:pt idx="9">
                  <c:v>0</c:v>
                </c:pt>
                <c:pt idx="10">
                  <c:v>189.5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7"/>
          <c:tx>
            <c:strRef>
              <c:f>'Data 2'!$B$123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2'!$C$147:$O$147</c:f>
              <c:numCache>
                <c:formatCode>General</c:formatCode>
                <c:ptCount val="13"/>
              </c:numCache>
            </c:numRef>
          </c:val>
        </c:ser>
        <c:ser>
          <c:idx val="10"/>
          <c:order val="8"/>
          <c:tx>
            <c:strRef>
              <c:f>'Data 2'!$B$136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0</c:v>
                </c:pt>
                <c:pt idx="1">
                  <c:v>49.4</c:v>
                </c:pt>
                <c:pt idx="2">
                  <c:v>22.7</c:v>
                </c:pt>
                <c:pt idx="3">
                  <c:v>51.2</c:v>
                </c:pt>
                <c:pt idx="4">
                  <c:v>0</c:v>
                </c:pt>
                <c:pt idx="5">
                  <c:v>0</c:v>
                </c:pt>
                <c:pt idx="6">
                  <c:v>117.5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'Data 2'!$B$137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0</c:v>
                </c:pt>
                <c:pt idx="1">
                  <c:v>334.8</c:v>
                </c:pt>
                <c:pt idx="2">
                  <c:v>98.3</c:v>
                </c:pt>
                <c:pt idx="3">
                  <c:v>12.8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'Data 2'!$B$138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'Data 2'!$B$139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2'!$C$139:$O$139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224.2</c:v>
                </c:pt>
                <c:pt idx="3">
                  <c:v>0</c:v>
                </c:pt>
                <c:pt idx="4">
                  <c:v>518.79999999999995</c:v>
                </c:pt>
                <c:pt idx="5">
                  <c:v>0</c:v>
                </c:pt>
                <c:pt idx="6">
                  <c:v>1254.7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'Data 2'!$B$140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2'!$C$140:$O$140</c:f>
              <c:numCache>
                <c:formatCode>#,##0.0</c:formatCode>
                <c:ptCount val="13"/>
                <c:pt idx="0">
                  <c:v>1542.2</c:v>
                </c:pt>
                <c:pt idx="1">
                  <c:v>110.8</c:v>
                </c:pt>
                <c:pt idx="2">
                  <c:v>474.7</c:v>
                </c:pt>
                <c:pt idx="3">
                  <c:v>879</c:v>
                </c:pt>
                <c:pt idx="4">
                  <c:v>108.8</c:v>
                </c:pt>
                <c:pt idx="5">
                  <c:v>0</c:v>
                </c:pt>
                <c:pt idx="6">
                  <c:v>102.9</c:v>
                </c:pt>
                <c:pt idx="7">
                  <c:v>65</c:v>
                </c:pt>
                <c:pt idx="8">
                  <c:v>183.2</c:v>
                </c:pt>
                <c:pt idx="9">
                  <c:v>177.8</c:v>
                </c:pt>
                <c:pt idx="10">
                  <c:v>613.5</c:v>
                </c:pt>
                <c:pt idx="11">
                  <c:v>1135.9000000000001</c:v>
                </c:pt>
                <c:pt idx="12">
                  <c:v>1121.8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093176"/>
        <c:axId val="28109356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2'!$C$147:$O$147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2'!$C$146:$O$146</c:f>
              <c:numCache>
                <c:formatCode>#,##0.0</c:formatCode>
                <c:ptCount val="13"/>
                <c:pt idx="0">
                  <c:v>45.532258665800001</c:v>
                </c:pt>
                <c:pt idx="1">
                  <c:v>12.5584233249</c:v>
                </c:pt>
                <c:pt idx="2">
                  <c:v>20.0210055959</c:v>
                </c:pt>
                <c:pt idx="3">
                  <c:v>28.9232389487</c:v>
                </c:pt>
                <c:pt idx="4">
                  <c:v>34.613184598099998</c:v>
                </c:pt>
                <c:pt idx="5">
                  <c:v>38.1623566962</c:v>
                </c:pt>
                <c:pt idx="6">
                  <c:v>7.5200099254000001</c:v>
                </c:pt>
                <c:pt idx="7">
                  <c:v>24.361699898800001</c:v>
                </c:pt>
                <c:pt idx="8">
                  <c:v>37.7942734206</c:v>
                </c:pt>
                <c:pt idx="9">
                  <c:v>31.409996136099998</c:v>
                </c:pt>
                <c:pt idx="10">
                  <c:v>38.9460973204</c:v>
                </c:pt>
                <c:pt idx="11">
                  <c:v>34.010933952000002</c:v>
                </c:pt>
                <c:pt idx="12">
                  <c:v>33.175365521800003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1094352"/>
        <c:axId val="281093960"/>
      </c:lineChart>
      <c:catAx>
        <c:axId val="281093176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281093568"/>
        <c:crosses val="autoZero"/>
        <c:auto val="1"/>
        <c:lblAlgn val="ctr"/>
        <c:lblOffset val="100"/>
        <c:noMultiLvlLbl val="0"/>
      </c:catAx>
      <c:valAx>
        <c:axId val="281093568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093176"/>
        <c:crosses val="autoZero"/>
        <c:crossBetween val="between"/>
        <c:majorUnit val="20000"/>
        <c:dispUnits>
          <c:builtInUnit val="thousands"/>
        </c:dispUnits>
      </c:valAx>
      <c:valAx>
        <c:axId val="281093960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094352"/>
        <c:crosses val="max"/>
        <c:crossBetween val="between"/>
        <c:majorUnit val="30"/>
      </c:valAx>
      <c:catAx>
        <c:axId val="2810943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81093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2413726733086343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2'!$C$116:$O$116</c:f>
              <c:numCache>
                <c:formatCode>#,##0.0</c:formatCode>
                <c:ptCount val="13"/>
                <c:pt idx="0">
                  <c:v>0</c:v>
                </c:pt>
                <c:pt idx="1">
                  <c:v>6150</c:v>
                </c:pt>
                <c:pt idx="2">
                  <c:v>0</c:v>
                </c:pt>
                <c:pt idx="3">
                  <c:v>610</c:v>
                </c:pt>
                <c:pt idx="4">
                  <c:v>70</c:v>
                </c:pt>
                <c:pt idx="5">
                  <c:v>673.2</c:v>
                </c:pt>
                <c:pt idx="6">
                  <c:v>0</c:v>
                </c:pt>
                <c:pt idx="7">
                  <c:v>1372.5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374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2'!$B$117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2'!$C$117:$O$117</c:f>
              <c:numCache>
                <c:formatCode>#,##0.0</c:formatCode>
                <c:ptCount val="13"/>
                <c:pt idx="0">
                  <c:v>25945.3</c:v>
                </c:pt>
                <c:pt idx="1">
                  <c:v>9508.4</c:v>
                </c:pt>
                <c:pt idx="2">
                  <c:v>19740.7</c:v>
                </c:pt>
                <c:pt idx="3">
                  <c:v>6714.7</c:v>
                </c:pt>
                <c:pt idx="4">
                  <c:v>3116.9</c:v>
                </c:pt>
                <c:pt idx="5">
                  <c:v>5702.5</c:v>
                </c:pt>
                <c:pt idx="6">
                  <c:v>4906.7</c:v>
                </c:pt>
                <c:pt idx="7">
                  <c:v>12488.5</c:v>
                </c:pt>
                <c:pt idx="8">
                  <c:v>9962.2999999999993</c:v>
                </c:pt>
                <c:pt idx="9">
                  <c:v>10119.200000000001</c:v>
                </c:pt>
                <c:pt idx="10">
                  <c:v>8034.3</c:v>
                </c:pt>
                <c:pt idx="11">
                  <c:v>3967.2</c:v>
                </c:pt>
                <c:pt idx="12">
                  <c:v>4799.8</c:v>
                </c:pt>
              </c:numCache>
            </c:numRef>
          </c:val>
        </c:ser>
        <c:ser>
          <c:idx val="5"/>
          <c:order val="2"/>
          <c:tx>
            <c:strRef>
              <c:f>'Data 2'!$B$118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2'!$B$119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3031.3</c:v>
                </c:pt>
                <c:pt idx="1">
                  <c:v>1469.4</c:v>
                </c:pt>
                <c:pt idx="2">
                  <c:v>1177.9000000000001</c:v>
                </c:pt>
                <c:pt idx="3">
                  <c:v>1740</c:v>
                </c:pt>
                <c:pt idx="4">
                  <c:v>762.7</c:v>
                </c:pt>
                <c:pt idx="5">
                  <c:v>1567.6</c:v>
                </c:pt>
                <c:pt idx="6">
                  <c:v>593.20000000000005</c:v>
                </c:pt>
                <c:pt idx="7">
                  <c:v>3675.7</c:v>
                </c:pt>
                <c:pt idx="8">
                  <c:v>123.8</c:v>
                </c:pt>
                <c:pt idx="9">
                  <c:v>1038.2</c:v>
                </c:pt>
                <c:pt idx="10">
                  <c:v>863.8</c:v>
                </c:pt>
                <c:pt idx="11">
                  <c:v>2746.1</c:v>
                </c:pt>
                <c:pt idx="12">
                  <c:v>3776.1</c:v>
                </c:pt>
              </c:numCache>
            </c:numRef>
          </c:val>
        </c:ser>
        <c:ser>
          <c:idx val="7"/>
          <c:order val="4"/>
          <c:tx>
            <c:strRef>
              <c:f>'Data 2'!$B$120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20.399999999999999</c:v>
                </c:pt>
                <c:pt idx="3">
                  <c:v>132.6</c:v>
                </c:pt>
                <c:pt idx="4">
                  <c:v>846.6</c:v>
                </c:pt>
                <c:pt idx="5">
                  <c:v>28.4</c:v>
                </c:pt>
                <c:pt idx="6">
                  <c:v>844.1</c:v>
                </c:pt>
                <c:pt idx="7">
                  <c:v>1561.2</c:v>
                </c:pt>
                <c:pt idx="8">
                  <c:v>0</c:v>
                </c:pt>
                <c:pt idx="9">
                  <c:v>495.2</c:v>
                </c:pt>
                <c:pt idx="10">
                  <c:v>0</c:v>
                </c:pt>
                <c:pt idx="11">
                  <c:v>58.6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43.7</c:v>
                </c:pt>
                <c:pt idx="3">
                  <c:v>93.7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733.3</c:v>
                </c:pt>
                <c:pt idx="1">
                  <c:v>198</c:v>
                </c:pt>
                <c:pt idx="2">
                  <c:v>849.6</c:v>
                </c:pt>
                <c:pt idx="3">
                  <c:v>0</c:v>
                </c:pt>
                <c:pt idx="4">
                  <c:v>410</c:v>
                </c:pt>
                <c:pt idx="5">
                  <c:v>149.4</c:v>
                </c:pt>
                <c:pt idx="6">
                  <c:v>376.7</c:v>
                </c:pt>
                <c:pt idx="7">
                  <c:v>359.5</c:v>
                </c:pt>
                <c:pt idx="8">
                  <c:v>40</c:v>
                </c:pt>
                <c:pt idx="9">
                  <c:v>208.4</c:v>
                </c:pt>
                <c:pt idx="10">
                  <c:v>0</c:v>
                </c:pt>
                <c:pt idx="11">
                  <c:v>52.1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2'!$B$123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0</c:v>
                </c:pt>
                <c:pt idx="1">
                  <c:v>2463.6</c:v>
                </c:pt>
                <c:pt idx="2">
                  <c:v>0</c:v>
                </c:pt>
                <c:pt idx="3">
                  <c:v>4549.7</c:v>
                </c:pt>
                <c:pt idx="4">
                  <c:v>0</c:v>
                </c:pt>
                <c:pt idx="5">
                  <c:v>0</c:v>
                </c:pt>
                <c:pt idx="6">
                  <c:v>973.2</c:v>
                </c:pt>
                <c:pt idx="7">
                  <c:v>1700.4</c:v>
                </c:pt>
                <c:pt idx="8">
                  <c:v>0</c:v>
                </c:pt>
                <c:pt idx="9">
                  <c:v>0</c:v>
                </c:pt>
                <c:pt idx="10">
                  <c:v>3635.7</c:v>
                </c:pt>
                <c:pt idx="11">
                  <c:v>0</c:v>
                </c:pt>
                <c:pt idx="12">
                  <c:v>5766.5</c:v>
                </c:pt>
              </c:numCache>
            </c:numRef>
          </c:val>
        </c:ser>
        <c:ser>
          <c:idx val="11"/>
          <c:order val="8"/>
          <c:tx>
            <c:strRef>
              <c:f>'Data 2'!$B$124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0"/>
          <c:tx>
            <c:strRef>
              <c:f>'Data 2'!$B$126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1"/>
          <c:tx>
            <c:strRef>
              <c:f>'Data 2'!$B$127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4804</c:v>
                </c:pt>
                <c:pt idx="1">
                  <c:v>2519.6999999999998</c:v>
                </c:pt>
                <c:pt idx="2">
                  <c:v>6709.7</c:v>
                </c:pt>
                <c:pt idx="3">
                  <c:v>7385.9</c:v>
                </c:pt>
                <c:pt idx="4">
                  <c:v>1489.3</c:v>
                </c:pt>
                <c:pt idx="5">
                  <c:v>940.1</c:v>
                </c:pt>
                <c:pt idx="6">
                  <c:v>7214.8</c:v>
                </c:pt>
                <c:pt idx="7">
                  <c:v>1397.9</c:v>
                </c:pt>
                <c:pt idx="8">
                  <c:v>759.3</c:v>
                </c:pt>
                <c:pt idx="9">
                  <c:v>2510.5</c:v>
                </c:pt>
                <c:pt idx="10">
                  <c:v>1650.6</c:v>
                </c:pt>
                <c:pt idx="11">
                  <c:v>774.9</c:v>
                </c:pt>
                <c:pt idx="12">
                  <c:v>1181.9000000000001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1095136"/>
        <c:axId val="281095528"/>
      </c:barChart>
      <c:lineChart>
        <c:grouping val="standard"/>
        <c:varyColors val="0"/>
        <c:ser>
          <c:idx val="2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2'!$C$115:$O$115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2'!$C$145:$O$145</c:f>
              <c:numCache>
                <c:formatCode>#,##0.0</c:formatCode>
                <c:ptCount val="13"/>
                <c:pt idx="0">
                  <c:v>162.96642019590001</c:v>
                </c:pt>
                <c:pt idx="1">
                  <c:v>106.2718796366</c:v>
                </c:pt>
                <c:pt idx="2">
                  <c:v>110.2333782116</c:v>
                </c:pt>
                <c:pt idx="3">
                  <c:v>83.828092822599999</c:v>
                </c:pt>
                <c:pt idx="4">
                  <c:v>118.2418215391</c:v>
                </c:pt>
                <c:pt idx="5">
                  <c:v>91.525396333399996</c:v>
                </c:pt>
                <c:pt idx="6">
                  <c:v>88.581907768400001</c:v>
                </c:pt>
                <c:pt idx="7">
                  <c:v>86.157873728799999</c:v>
                </c:pt>
                <c:pt idx="8">
                  <c:v>132.9255103166</c:v>
                </c:pt>
                <c:pt idx="9">
                  <c:v>162.3070364578</c:v>
                </c:pt>
                <c:pt idx="10">
                  <c:v>156.44702913059999</c:v>
                </c:pt>
                <c:pt idx="11">
                  <c:v>137.28795092429999</c:v>
                </c:pt>
                <c:pt idx="12">
                  <c:v>95.193314352300007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20352"/>
        <c:axId val="282119960"/>
      </c:lineChart>
      <c:catAx>
        <c:axId val="2810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095528"/>
        <c:crosses val="autoZero"/>
        <c:auto val="1"/>
        <c:lblAlgn val="ctr"/>
        <c:lblOffset val="100"/>
        <c:noMultiLvlLbl val="0"/>
      </c:catAx>
      <c:valAx>
        <c:axId val="281095528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1095136"/>
        <c:crosses val="autoZero"/>
        <c:crossBetween val="between"/>
        <c:majorUnit val="20000"/>
        <c:dispUnits>
          <c:builtInUnit val="thousands"/>
        </c:dispUnits>
      </c:valAx>
      <c:valAx>
        <c:axId val="28211996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2120352"/>
        <c:crosses val="max"/>
        <c:crossBetween val="between"/>
        <c:majorUnit val="30"/>
      </c:valAx>
      <c:catAx>
        <c:axId val="28212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2119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2'!$C$162:$O$162</c:f>
              <c:numCache>
                <c:formatCode>#,##0.0</c:formatCode>
                <c:ptCount val="13"/>
                <c:pt idx="0">
                  <c:v>5325.4</c:v>
                </c:pt>
                <c:pt idx="1">
                  <c:v>1383.6</c:v>
                </c:pt>
                <c:pt idx="2">
                  <c:v>6612.9</c:v>
                </c:pt>
                <c:pt idx="3">
                  <c:v>3055</c:v>
                </c:pt>
                <c:pt idx="4">
                  <c:v>341</c:v>
                </c:pt>
                <c:pt idx="5">
                  <c:v>4305</c:v>
                </c:pt>
                <c:pt idx="6">
                  <c:v>0</c:v>
                </c:pt>
                <c:pt idx="7">
                  <c:v>0</c:v>
                </c:pt>
                <c:pt idx="8">
                  <c:v>3306.6</c:v>
                </c:pt>
                <c:pt idx="9">
                  <c:v>27914.400000000001</c:v>
                </c:pt>
                <c:pt idx="10">
                  <c:v>23926.9</c:v>
                </c:pt>
                <c:pt idx="11">
                  <c:v>3200.6</c:v>
                </c:pt>
                <c:pt idx="12">
                  <c:v>10696.2</c:v>
                </c:pt>
              </c:numCache>
            </c:numRef>
          </c:val>
        </c:ser>
        <c:ser>
          <c:idx val="5"/>
          <c:order val="2"/>
          <c:tx>
            <c:strRef>
              <c:f>'Data 2'!$B$163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2'!$C$163:$O$163</c:f>
              <c:numCache>
                <c:formatCode>#,##0.0</c:formatCode>
                <c:ptCount val="13"/>
                <c:pt idx="0">
                  <c:v>179227.5</c:v>
                </c:pt>
                <c:pt idx="1">
                  <c:v>10714</c:v>
                </c:pt>
                <c:pt idx="2">
                  <c:v>64802.400000000001</c:v>
                </c:pt>
                <c:pt idx="3">
                  <c:v>6101.5</c:v>
                </c:pt>
                <c:pt idx="4">
                  <c:v>2659</c:v>
                </c:pt>
                <c:pt idx="5">
                  <c:v>11713</c:v>
                </c:pt>
                <c:pt idx="6">
                  <c:v>0</c:v>
                </c:pt>
                <c:pt idx="7">
                  <c:v>15430.5</c:v>
                </c:pt>
                <c:pt idx="8">
                  <c:v>27967.5</c:v>
                </c:pt>
                <c:pt idx="9">
                  <c:v>638167.19999999995</c:v>
                </c:pt>
                <c:pt idx="10">
                  <c:v>455734.5</c:v>
                </c:pt>
                <c:pt idx="11">
                  <c:v>67420.5</c:v>
                </c:pt>
                <c:pt idx="12">
                  <c:v>39454.699999999997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82121136"/>
        <c:axId val="28212152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2'!$B$161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2'!$C$161:$O$161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2'!$B$164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2'!$C$164:$O$164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2'!$B$165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2'!$C$165:$O$165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2'!$C$177:$O$177</c:f>
              <c:numCache>
                <c:formatCode>#,##0.0</c:formatCode>
                <c:ptCount val="13"/>
                <c:pt idx="0">
                  <c:v>35.2700287993</c:v>
                </c:pt>
                <c:pt idx="1">
                  <c:v>27.787926530899998</c:v>
                </c:pt>
                <c:pt idx="2">
                  <c:v>22.1695571817</c:v>
                </c:pt>
                <c:pt idx="3">
                  <c:v>20</c:v>
                </c:pt>
                <c:pt idx="4">
                  <c:v>3</c:v>
                </c:pt>
                <c:pt idx="5">
                  <c:v>12.8</c:v>
                </c:pt>
                <c:pt idx="6">
                  <c:v>0</c:v>
                </c:pt>
                <c:pt idx="7">
                  <c:v>23.340193253599999</c:v>
                </c:pt>
                <c:pt idx="8">
                  <c:v>21.599768498500001</c:v>
                </c:pt>
                <c:pt idx="9">
                  <c:v>20.4834082251</c:v>
                </c:pt>
                <c:pt idx="10">
                  <c:v>7.6688870712000003</c:v>
                </c:pt>
                <c:pt idx="11">
                  <c:v>8.8270115871999995</c:v>
                </c:pt>
                <c:pt idx="12">
                  <c:v>9.1079265776000007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122312"/>
        <c:axId val="282121920"/>
      </c:lineChart>
      <c:catAx>
        <c:axId val="28212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2121528"/>
        <c:crosses val="autoZero"/>
        <c:auto val="1"/>
        <c:lblAlgn val="ctr"/>
        <c:lblOffset val="100"/>
        <c:noMultiLvlLbl val="0"/>
      </c:catAx>
      <c:valAx>
        <c:axId val="282121528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2121136"/>
        <c:crosses val="autoZero"/>
        <c:crossBetween val="between"/>
        <c:dispUnits>
          <c:builtInUnit val="thousands"/>
        </c:dispUnits>
      </c:valAx>
      <c:valAx>
        <c:axId val="282121920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2122312"/>
        <c:crosses val="max"/>
        <c:crossBetween val="between"/>
      </c:valAx>
      <c:catAx>
        <c:axId val="28212231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121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08120108901129E-2"/>
          <c:y val="0.94186719838370736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43.929211469534053</c:v>
                </c:pt>
                <c:pt idx="1">
                  <c:v>33.382936507936506</c:v>
                </c:pt>
                <c:pt idx="2">
                  <c:v>43.965903992821893</c:v>
                </c:pt>
                <c:pt idx="3">
                  <c:v>40.798611111111114</c:v>
                </c:pt>
                <c:pt idx="4">
                  <c:v>40.143369175627242</c:v>
                </c:pt>
                <c:pt idx="5">
                  <c:v>46.087962962962969</c:v>
                </c:pt>
                <c:pt idx="6">
                  <c:v>37.298387096774199</c:v>
                </c:pt>
                <c:pt idx="7">
                  <c:v>36.04390681003585</c:v>
                </c:pt>
                <c:pt idx="8">
                  <c:v>38.946759259259267</c:v>
                </c:pt>
                <c:pt idx="9">
                  <c:v>39.807347670250891</c:v>
                </c:pt>
                <c:pt idx="10">
                  <c:v>33.518518518518519</c:v>
                </c:pt>
                <c:pt idx="11">
                  <c:v>37.141577060931901</c:v>
                </c:pt>
                <c:pt idx="12">
                  <c:v>34.65501792114695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7.3028673835125444</c:v>
                </c:pt>
                <c:pt idx="1">
                  <c:v>13.640873015873014</c:v>
                </c:pt>
                <c:pt idx="2">
                  <c:v>14.984297891431133</c:v>
                </c:pt>
                <c:pt idx="3">
                  <c:v>13.738425925925924</c:v>
                </c:pt>
                <c:pt idx="4">
                  <c:v>11.559139784946236</c:v>
                </c:pt>
                <c:pt idx="5">
                  <c:v>3.981481481481481</c:v>
                </c:pt>
                <c:pt idx="6">
                  <c:v>4.7827060931899634</c:v>
                </c:pt>
                <c:pt idx="7">
                  <c:v>10.360663082437277</c:v>
                </c:pt>
                <c:pt idx="8">
                  <c:v>7.4074074074074066</c:v>
                </c:pt>
                <c:pt idx="9">
                  <c:v>6.25</c:v>
                </c:pt>
                <c:pt idx="10">
                  <c:v>10.11574074074074</c:v>
                </c:pt>
                <c:pt idx="11">
                  <c:v>8.736559139784946</c:v>
                </c:pt>
                <c:pt idx="12">
                  <c:v>14.448924731182796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</c:v>
                </c:pt>
                <c:pt idx="1">
                  <c:v>0.29761904761904762</c:v>
                </c:pt>
                <c:pt idx="2">
                  <c:v>0.13458950201884254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0.13440860215053765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12.253584229390679</c:v>
                </c:pt>
                <c:pt idx="1">
                  <c:v>6.820436507936507</c:v>
                </c:pt>
                <c:pt idx="2">
                  <c:v>6.303275011215792</c:v>
                </c:pt>
                <c:pt idx="3">
                  <c:v>4.583333333333333</c:v>
                </c:pt>
                <c:pt idx="4">
                  <c:v>12.186379928315411</c:v>
                </c:pt>
                <c:pt idx="5">
                  <c:v>13.032407407407407</c:v>
                </c:pt>
                <c:pt idx="6">
                  <c:v>17.6747311827957</c:v>
                </c:pt>
                <c:pt idx="7">
                  <c:v>17.517921146953402</c:v>
                </c:pt>
                <c:pt idx="8">
                  <c:v>19.201388888888893</c:v>
                </c:pt>
                <c:pt idx="9">
                  <c:v>10.483870967741936</c:v>
                </c:pt>
                <c:pt idx="10">
                  <c:v>17.546296296296298</c:v>
                </c:pt>
                <c:pt idx="11">
                  <c:v>15.770609318996415</c:v>
                </c:pt>
                <c:pt idx="12">
                  <c:v>11.312724014336919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16.50985663082437</c:v>
                </c:pt>
                <c:pt idx="1">
                  <c:v>23.883928571428573</c:v>
                </c:pt>
                <c:pt idx="2">
                  <c:v>12.943023777478688</c:v>
                </c:pt>
                <c:pt idx="3">
                  <c:v>16.93287037037037</c:v>
                </c:pt>
                <c:pt idx="4">
                  <c:v>20.228494623655912</c:v>
                </c:pt>
                <c:pt idx="5">
                  <c:v>25.462962962962965</c:v>
                </c:pt>
                <c:pt idx="6">
                  <c:v>28.59543010752688</c:v>
                </c:pt>
                <c:pt idx="7">
                  <c:v>17.708333333333336</c:v>
                </c:pt>
                <c:pt idx="8">
                  <c:v>17.187499999999996</c:v>
                </c:pt>
                <c:pt idx="9">
                  <c:v>25.963261648745522</c:v>
                </c:pt>
                <c:pt idx="10">
                  <c:v>26.087962962962962</c:v>
                </c:pt>
                <c:pt idx="11">
                  <c:v>19.153225806451612</c:v>
                </c:pt>
                <c:pt idx="12">
                  <c:v>18.637992831541222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20.004480286738353</c:v>
                </c:pt>
                <c:pt idx="1">
                  <c:v>21.974206349206348</c:v>
                </c:pt>
                <c:pt idx="2">
                  <c:v>21.668909825033648</c:v>
                </c:pt>
                <c:pt idx="3">
                  <c:v>23.94675925925926</c:v>
                </c:pt>
                <c:pt idx="4">
                  <c:v>15.882616487455195</c:v>
                </c:pt>
                <c:pt idx="5">
                  <c:v>11.435185185185185</c:v>
                </c:pt>
                <c:pt idx="6">
                  <c:v>11.514336917562725</c:v>
                </c:pt>
                <c:pt idx="7">
                  <c:v>18.369175627240143</c:v>
                </c:pt>
                <c:pt idx="8">
                  <c:v>17.256944444444443</c:v>
                </c:pt>
                <c:pt idx="9">
                  <c:v>17.495519713261647</c:v>
                </c:pt>
                <c:pt idx="10">
                  <c:v>12.731481481481485</c:v>
                </c:pt>
                <c:pt idx="11">
                  <c:v>19.198028673835125</c:v>
                </c:pt>
                <c:pt idx="12">
                  <c:v>20.945340501792113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939712"/>
        <c:axId val="180940096"/>
      </c:barChart>
      <c:catAx>
        <c:axId val="18093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0940096"/>
        <c:crosses val="autoZero"/>
        <c:auto val="1"/>
        <c:lblAlgn val="ctr"/>
        <c:lblOffset val="100"/>
        <c:noMultiLvlLbl val="0"/>
      </c:catAx>
      <c:valAx>
        <c:axId val="1809400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809397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73.59</c:v>
                </c:pt>
                <c:pt idx="1">
                  <c:v>53.05</c:v>
                </c:pt>
                <c:pt idx="2">
                  <c:v>43.94</c:v>
                </c:pt>
                <c:pt idx="3">
                  <c:v>44.2</c:v>
                </c:pt>
                <c:pt idx="4">
                  <c:v>47.6</c:v>
                </c:pt>
                <c:pt idx="5">
                  <c:v>50.77</c:v>
                </c:pt>
                <c:pt idx="6">
                  <c:v>49.13</c:v>
                </c:pt>
                <c:pt idx="7">
                  <c:v>48.03</c:v>
                </c:pt>
                <c:pt idx="8">
                  <c:v>49.519999999999996</c:v>
                </c:pt>
                <c:pt idx="9">
                  <c:v>57.6</c:v>
                </c:pt>
                <c:pt idx="10">
                  <c:v>60.540000000000006</c:v>
                </c:pt>
                <c:pt idx="11">
                  <c:v>60.16</c:v>
                </c:pt>
                <c:pt idx="12">
                  <c:v>51.77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2.89</c:v>
                </c:pt>
                <c:pt idx="1">
                  <c:v>2.8400000000000003</c:v>
                </c:pt>
                <c:pt idx="2">
                  <c:v>3.13</c:v>
                </c:pt>
                <c:pt idx="3">
                  <c:v>3.2699999999999996</c:v>
                </c:pt>
                <c:pt idx="4">
                  <c:v>2.13</c:v>
                </c:pt>
                <c:pt idx="5">
                  <c:v>1.2399999999999998</c:v>
                </c:pt>
                <c:pt idx="6">
                  <c:v>1.6499999999999997</c:v>
                </c:pt>
                <c:pt idx="7">
                  <c:v>2.4900000000000007</c:v>
                </c:pt>
                <c:pt idx="8">
                  <c:v>2.2000000000000006</c:v>
                </c:pt>
                <c:pt idx="9">
                  <c:v>2.79</c:v>
                </c:pt>
                <c:pt idx="10">
                  <c:v>1.66</c:v>
                </c:pt>
                <c:pt idx="11">
                  <c:v>2.2399999999999998</c:v>
                </c:pt>
                <c:pt idx="12">
                  <c:v>1.9500000000000004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3.26</c:v>
                </c:pt>
                <c:pt idx="1">
                  <c:v>3.17</c:v>
                </c:pt>
                <c:pt idx="2">
                  <c:v>2.52</c:v>
                </c:pt>
                <c:pt idx="3">
                  <c:v>2.38</c:v>
                </c:pt>
                <c:pt idx="4">
                  <c:v>2.37</c:v>
                </c:pt>
                <c:pt idx="5">
                  <c:v>2.9</c:v>
                </c:pt>
                <c:pt idx="6">
                  <c:v>3.22</c:v>
                </c:pt>
                <c:pt idx="7">
                  <c:v>2.16</c:v>
                </c:pt>
                <c:pt idx="8">
                  <c:v>2.41</c:v>
                </c:pt>
                <c:pt idx="9">
                  <c:v>2.41</c:v>
                </c:pt>
                <c:pt idx="10">
                  <c:v>2.58</c:v>
                </c:pt>
                <c:pt idx="11">
                  <c:v>3.15</c:v>
                </c:pt>
                <c:pt idx="12">
                  <c:v>3.3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1.88</c:v>
                </c:pt>
                <c:pt idx="1">
                  <c:v>2.17</c:v>
                </c:pt>
                <c:pt idx="2">
                  <c:v>2.06</c:v>
                </c:pt>
                <c:pt idx="3">
                  <c:v>2.2799999999999998</c:v>
                </c:pt>
                <c:pt idx="4">
                  <c:v>2.15</c:v>
                </c:pt>
                <c:pt idx="5">
                  <c:v>2</c:v>
                </c:pt>
                <c:pt idx="6">
                  <c:v>1.93</c:v>
                </c:pt>
                <c:pt idx="7">
                  <c:v>1.99</c:v>
                </c:pt>
                <c:pt idx="8">
                  <c:v>2.14</c:v>
                </c:pt>
                <c:pt idx="9">
                  <c:v>2.16</c:v>
                </c:pt>
                <c:pt idx="10">
                  <c:v>2.08</c:v>
                </c:pt>
                <c:pt idx="11">
                  <c:v>1.96</c:v>
                </c:pt>
                <c:pt idx="12">
                  <c:v>1.38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8958896"/>
        <c:axId val="278708984"/>
      </c:barChart>
      <c:catAx>
        <c:axId val="278958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8708984"/>
        <c:crosses val="autoZero"/>
        <c:auto val="1"/>
        <c:lblAlgn val="ctr"/>
        <c:lblOffset val="100"/>
        <c:noMultiLvlLbl val="0"/>
      </c:catAx>
      <c:valAx>
        <c:axId val="2787089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8958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9.7038361002420706E-2"/>
                  <c:y val="-0.370266425142895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51.77</c:v>
                </c:pt>
                <c:pt idx="1">
                  <c:v>3.3</c:v>
                </c:pt>
                <c:pt idx="2">
                  <c:v>1.38</c:v>
                </c:pt>
                <c:pt idx="3">
                  <c:v>1.95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1.48</c:v>
                </c:pt>
                <c:pt idx="1">
                  <c:v>1.82</c:v>
                </c:pt>
                <c:pt idx="2">
                  <c:v>2.2200000000000002</c:v>
                </c:pt>
                <c:pt idx="3">
                  <c:v>2.4</c:v>
                </c:pt>
                <c:pt idx="4">
                  <c:v>1.45</c:v>
                </c:pt>
                <c:pt idx="5">
                  <c:v>0.69</c:v>
                </c:pt>
                <c:pt idx="6">
                  <c:v>1.1399999999999999</c:v>
                </c:pt>
                <c:pt idx="7">
                  <c:v>1.86</c:v>
                </c:pt>
                <c:pt idx="8">
                  <c:v>1.55</c:v>
                </c:pt>
                <c:pt idx="9">
                  <c:v>1.1399999999999999</c:v>
                </c:pt>
                <c:pt idx="10">
                  <c:v>0.76</c:v>
                </c:pt>
                <c:pt idx="11">
                  <c:v>1.06</c:v>
                </c:pt>
                <c:pt idx="12">
                  <c:v>1.07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0.17</c:v>
                </c:pt>
                <c:pt idx="1">
                  <c:v>0.24</c:v>
                </c:pt>
                <c:pt idx="2">
                  <c:v>0.14000000000000001</c:v>
                </c:pt>
                <c:pt idx="3">
                  <c:v>0.09</c:v>
                </c:pt>
                <c:pt idx="4">
                  <c:v>0.03</c:v>
                </c:pt>
                <c:pt idx="5">
                  <c:v>0.02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0.12</c:v>
                </c:pt>
                <c:pt idx="10">
                  <c:v>0.08</c:v>
                </c:pt>
                <c:pt idx="11">
                  <c:v>0.05</c:v>
                </c:pt>
                <c:pt idx="12">
                  <c:v>0.05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0.27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0.02</c:v>
                </c:pt>
                <c:pt idx="8">
                  <c:v>0.03</c:v>
                </c:pt>
                <c:pt idx="9">
                  <c:v>0.66</c:v>
                </c:pt>
                <c:pt idx="10">
                  <c:v>0.17</c:v>
                </c:pt>
                <c:pt idx="11">
                  <c:v>0.03</c:v>
                </c:pt>
                <c:pt idx="12">
                  <c:v>0.02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0.87</c:v>
                </c:pt>
                <c:pt idx="1">
                  <c:v>0.65</c:v>
                </c:pt>
                <c:pt idx="2">
                  <c:v>0.52</c:v>
                </c:pt>
                <c:pt idx="3">
                  <c:v>0.69</c:v>
                </c:pt>
                <c:pt idx="4">
                  <c:v>0.65</c:v>
                </c:pt>
                <c:pt idx="5">
                  <c:v>0.5</c:v>
                </c:pt>
                <c:pt idx="6">
                  <c:v>0.43</c:v>
                </c:pt>
                <c:pt idx="7">
                  <c:v>0.46</c:v>
                </c:pt>
                <c:pt idx="8">
                  <c:v>0.47</c:v>
                </c:pt>
                <c:pt idx="9">
                  <c:v>0.82</c:v>
                </c:pt>
                <c:pt idx="10">
                  <c:v>0.61</c:v>
                </c:pt>
                <c:pt idx="11">
                  <c:v>0.95</c:v>
                </c:pt>
                <c:pt idx="12">
                  <c:v>0.7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0.32999999999999996</c:v>
                </c:pt>
                <c:pt idx="1">
                  <c:v>0.37</c:v>
                </c:pt>
                <c:pt idx="2">
                  <c:v>0.34</c:v>
                </c:pt>
                <c:pt idx="3">
                  <c:v>0.27</c:v>
                </c:pt>
                <c:pt idx="4">
                  <c:v>0.15000000000000002</c:v>
                </c:pt>
                <c:pt idx="5">
                  <c:v>0.18000000000000002</c:v>
                </c:pt>
                <c:pt idx="6">
                  <c:v>0.17</c:v>
                </c:pt>
                <c:pt idx="7">
                  <c:v>0.24000000000000002</c:v>
                </c:pt>
                <c:pt idx="8">
                  <c:v>0.24000000000000002</c:v>
                </c:pt>
                <c:pt idx="9">
                  <c:v>0.26</c:v>
                </c:pt>
                <c:pt idx="10">
                  <c:v>0.16</c:v>
                </c:pt>
                <c:pt idx="11">
                  <c:v>0.3</c:v>
                </c:pt>
                <c:pt idx="12">
                  <c:v>0.27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-0.16</c:v>
                </c:pt>
                <c:pt idx="1">
                  <c:v>-0.19</c:v>
                </c:pt>
                <c:pt idx="2">
                  <c:v>-0.1</c:v>
                </c:pt>
                <c:pt idx="3">
                  <c:v>-0.13</c:v>
                </c:pt>
                <c:pt idx="4">
                  <c:v>-0.1</c:v>
                </c:pt>
                <c:pt idx="5">
                  <c:v>-0.11</c:v>
                </c:pt>
                <c:pt idx="6">
                  <c:v>-0.09</c:v>
                </c:pt>
                <c:pt idx="7">
                  <c:v>-9.0000000000000011E-2</c:v>
                </c:pt>
                <c:pt idx="8">
                  <c:v>-9.0000000000000011E-2</c:v>
                </c:pt>
                <c:pt idx="9">
                  <c:v>-0.15</c:v>
                </c:pt>
                <c:pt idx="10">
                  <c:v>-6.0000000000000005E-2</c:v>
                </c:pt>
                <c:pt idx="11">
                  <c:v>-7.0000000000000007E-2</c:v>
                </c:pt>
                <c:pt idx="12">
                  <c:v>-0.09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-0.06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-0.05</c:v>
                </c:pt>
                <c:pt idx="9">
                  <c:v>-0.06</c:v>
                </c:pt>
                <c:pt idx="10">
                  <c:v>-0.06</c:v>
                </c:pt>
                <c:pt idx="11">
                  <c:v>-0.08</c:v>
                </c:pt>
                <c:pt idx="12">
                  <c:v>-7.0000000000000007E-2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8709368"/>
        <c:axId val="278909248"/>
      </c:barChart>
      <c:catAx>
        <c:axId val="27870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890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909248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78709368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Enero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860.56859999999995</c:v>
                </c:pt>
                <c:pt idx="1">
                  <c:v>224.88881599999999</c:v>
                </c:pt>
                <c:pt idx="2">
                  <c:v>394.83229999999998</c:v>
                </c:pt>
                <c:pt idx="3">
                  <c:v>155.13290000000001</c:v>
                </c:pt>
                <c:pt idx="4">
                  <c:v>48.012099999999997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Enero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735.04840000000002</c:v>
                </c:pt>
                <c:pt idx="1">
                  <c:v>222.14005800000001</c:v>
                </c:pt>
                <c:pt idx="2">
                  <c:v>435.08519999999999</c:v>
                </c:pt>
                <c:pt idx="3">
                  <c:v>198.60339999999999</c:v>
                </c:pt>
                <c:pt idx="4">
                  <c:v>90.307900000000004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97856"/>
        <c:axId val="179297464"/>
      </c:barChart>
      <c:catAx>
        <c:axId val="1792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9297464"/>
        <c:crosses val="autoZero"/>
        <c:auto val="1"/>
        <c:lblAlgn val="ctr"/>
        <c:lblOffset val="100"/>
        <c:noMultiLvlLbl val="0"/>
      </c:catAx>
      <c:valAx>
        <c:axId val="1792974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79297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35729</c:v>
                </c:pt>
                <c:pt idx="1">
                  <c:v>198516.2</c:v>
                </c:pt>
                <c:pt idx="2">
                  <c:v>631868</c:v>
                </c:pt>
                <c:pt idx="3">
                  <c:v>454829.4</c:v>
                </c:pt>
                <c:pt idx="4">
                  <c:v>384999.4</c:v>
                </c:pt>
                <c:pt idx="5">
                  <c:v>176734.4</c:v>
                </c:pt>
                <c:pt idx="6">
                  <c:v>221645.5</c:v>
                </c:pt>
                <c:pt idx="7">
                  <c:v>424631</c:v>
                </c:pt>
                <c:pt idx="8">
                  <c:v>419522.2</c:v>
                </c:pt>
                <c:pt idx="9">
                  <c:v>195163.5</c:v>
                </c:pt>
                <c:pt idx="10">
                  <c:v>99779.8</c:v>
                </c:pt>
                <c:pt idx="11">
                  <c:v>195559</c:v>
                </c:pt>
                <c:pt idx="12">
                  <c:v>323414.2</c:v>
                </c:pt>
              </c:numCache>
            </c:numRef>
          </c:val>
        </c:ser>
        <c:ser>
          <c:idx val="2"/>
          <c:order val="1"/>
          <c:tx>
            <c:strRef>
              <c:f>'Data 1'!$C$142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696156.2</c:v>
                </c:pt>
                <c:pt idx="1">
                  <c:v>665095.19999999995</c:v>
                </c:pt>
                <c:pt idx="2">
                  <c:v>670791.6</c:v>
                </c:pt>
                <c:pt idx="3">
                  <c:v>684899.6</c:v>
                </c:pt>
                <c:pt idx="4">
                  <c:v>642959.4</c:v>
                </c:pt>
                <c:pt idx="5">
                  <c:v>535700.19999999995</c:v>
                </c:pt>
                <c:pt idx="6">
                  <c:v>612390.30000000005</c:v>
                </c:pt>
                <c:pt idx="7">
                  <c:v>842008.2</c:v>
                </c:pt>
                <c:pt idx="8">
                  <c:v>659557.1</c:v>
                </c:pt>
                <c:pt idx="9">
                  <c:v>613794.4</c:v>
                </c:pt>
                <c:pt idx="10">
                  <c:v>428275.6</c:v>
                </c:pt>
                <c:pt idx="11">
                  <c:v>499810.1</c:v>
                </c:pt>
                <c:pt idx="12">
                  <c:v>535924.4</c:v>
                </c:pt>
              </c:numCache>
            </c:numRef>
          </c:val>
        </c:ser>
        <c:ser>
          <c:idx val="0"/>
          <c:order val="2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0</c:v>
                </c:pt>
                <c:pt idx="1">
                  <c:v>712.6</c:v>
                </c:pt>
                <c:pt idx="2">
                  <c:v>1411.7</c:v>
                </c:pt>
                <c:pt idx="3">
                  <c:v>1412</c:v>
                </c:pt>
                <c:pt idx="4">
                  <c:v>538</c:v>
                </c:pt>
                <c:pt idx="5">
                  <c:v>240</c:v>
                </c:pt>
                <c:pt idx="6">
                  <c:v>245</c:v>
                </c:pt>
                <c:pt idx="7">
                  <c:v>714.3</c:v>
                </c:pt>
                <c:pt idx="8">
                  <c:v>1903.2</c:v>
                </c:pt>
                <c:pt idx="9">
                  <c:v>1865.1</c:v>
                </c:pt>
                <c:pt idx="10">
                  <c:v>1458.4</c:v>
                </c:pt>
                <c:pt idx="11">
                  <c:v>237.7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1'!$C$140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4"/>
          <c:tx>
            <c:strRef>
              <c:f>'Data 1'!$C$143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0</c:v>
                </c:pt>
                <c:pt idx="1">
                  <c:v>139.6</c:v>
                </c:pt>
                <c:pt idx="2">
                  <c:v>13667.9</c:v>
                </c:pt>
                <c:pt idx="3">
                  <c:v>2812.1</c:v>
                </c:pt>
                <c:pt idx="4">
                  <c:v>0</c:v>
                </c:pt>
                <c:pt idx="5">
                  <c:v>0</c:v>
                </c:pt>
                <c:pt idx="6">
                  <c:v>1709.9</c:v>
                </c:pt>
                <c:pt idx="7">
                  <c:v>227.4</c:v>
                </c:pt>
                <c:pt idx="8">
                  <c:v>2247.5</c:v>
                </c:pt>
                <c:pt idx="9">
                  <c:v>2877.8</c:v>
                </c:pt>
                <c:pt idx="10">
                  <c:v>370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299032"/>
        <c:axId val="17929864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114.12251594919999</c:v>
                </c:pt>
                <c:pt idx="1">
                  <c:v>92.084451201899995</c:v>
                </c:pt>
                <c:pt idx="2">
                  <c:v>76.422112971999994</c:v>
                </c:pt>
                <c:pt idx="3">
                  <c:v>81.132726105100005</c:v>
                </c:pt>
                <c:pt idx="4">
                  <c:v>73.815872961400004</c:v>
                </c:pt>
                <c:pt idx="5">
                  <c:v>69.048564800799994</c:v>
                </c:pt>
                <c:pt idx="6">
                  <c:v>78.254490438700003</c:v>
                </c:pt>
                <c:pt idx="7">
                  <c:v>77.994650132399997</c:v>
                </c:pt>
                <c:pt idx="8">
                  <c:v>76.517602623599998</c:v>
                </c:pt>
                <c:pt idx="9">
                  <c:v>81.795735348899996</c:v>
                </c:pt>
                <c:pt idx="10">
                  <c:v>84.018140656499995</c:v>
                </c:pt>
                <c:pt idx="11">
                  <c:v>84.545507835699993</c:v>
                </c:pt>
                <c:pt idx="12">
                  <c:v>74.456576685800002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790136"/>
        <c:axId val="279789744"/>
      </c:lineChart>
      <c:catAx>
        <c:axId val="17929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298640"/>
        <c:crosses val="autoZero"/>
        <c:auto val="1"/>
        <c:lblAlgn val="ctr"/>
        <c:lblOffset val="100"/>
        <c:noMultiLvlLbl val="1"/>
      </c:catAx>
      <c:valAx>
        <c:axId val="179298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9299032"/>
        <c:crosses val="autoZero"/>
        <c:crossBetween val="between"/>
        <c:dispUnits>
          <c:builtInUnit val="thousands"/>
        </c:dispUnits>
      </c:valAx>
      <c:valAx>
        <c:axId val="279789744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90136"/>
        <c:crosses val="max"/>
        <c:crossBetween val="between"/>
      </c:valAx>
      <c:catAx>
        <c:axId val="279790136"/>
        <c:scaling>
          <c:orientation val="minMax"/>
        </c:scaling>
        <c:delete val="1"/>
        <c:axPos val="b"/>
        <c:majorTickMark val="out"/>
        <c:minorTickMark val="none"/>
        <c:tickLblPos val="nextTo"/>
        <c:crossAx val="27978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0</c:v>
                </c:pt>
                <c:pt idx="1">
                  <c:v>58033.7</c:v>
                </c:pt>
                <c:pt idx="2">
                  <c:v>20255.7</c:v>
                </c:pt>
                <c:pt idx="3">
                  <c:v>158.4</c:v>
                </c:pt>
                <c:pt idx="4">
                  <c:v>6575</c:v>
                </c:pt>
                <c:pt idx="5">
                  <c:v>8771</c:v>
                </c:pt>
                <c:pt idx="6">
                  <c:v>66423</c:v>
                </c:pt>
                <c:pt idx="7">
                  <c:v>75870.399999999994</c:v>
                </c:pt>
                <c:pt idx="8">
                  <c:v>802.5</c:v>
                </c:pt>
                <c:pt idx="9">
                  <c:v>7913</c:v>
                </c:pt>
                <c:pt idx="10">
                  <c:v>9798</c:v>
                </c:pt>
                <c:pt idx="11">
                  <c:v>40570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1'!$C$148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400</c:v>
                </c:pt>
                <c:pt idx="1">
                  <c:v>0</c:v>
                </c:pt>
                <c:pt idx="2">
                  <c:v>17094</c:v>
                </c:pt>
                <c:pt idx="3">
                  <c:v>0</c:v>
                </c:pt>
                <c:pt idx="4">
                  <c:v>0</c:v>
                </c:pt>
                <c:pt idx="5">
                  <c:v>12552</c:v>
                </c:pt>
                <c:pt idx="6">
                  <c:v>75034.899999999994</c:v>
                </c:pt>
                <c:pt idx="7">
                  <c:v>123130.8</c:v>
                </c:pt>
                <c:pt idx="8">
                  <c:v>67762.600000000006</c:v>
                </c:pt>
                <c:pt idx="9">
                  <c:v>45184</c:v>
                </c:pt>
                <c:pt idx="10">
                  <c:v>18106.5</c:v>
                </c:pt>
                <c:pt idx="11">
                  <c:v>3247</c:v>
                </c:pt>
                <c:pt idx="12">
                  <c:v>1230</c:v>
                </c:pt>
              </c:numCache>
            </c:numRef>
          </c:val>
        </c:ser>
        <c:ser>
          <c:idx val="6"/>
          <c:order val="2"/>
          <c:tx>
            <c:strRef>
              <c:f>'Data 1'!$C$152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910.1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'Data 1'!$D$155:$P$155</c:f>
              <c:numCache>
                <c:formatCode>#,##0.00</c:formatCode>
                <c:ptCount val="13"/>
              </c:numCache>
            </c:numRef>
          </c:val>
        </c:ser>
        <c:ser>
          <c:idx val="3"/>
          <c:order val="4"/>
          <c:tx>
            <c:strRef>
              <c:f>'Data 1'!$C$149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0</c:v>
                </c:pt>
                <c:pt idx="1">
                  <c:v>988.1</c:v>
                </c:pt>
                <c:pt idx="2">
                  <c:v>5344.3</c:v>
                </c:pt>
                <c:pt idx="3">
                  <c:v>1844.3</c:v>
                </c:pt>
                <c:pt idx="4">
                  <c:v>2859</c:v>
                </c:pt>
                <c:pt idx="5">
                  <c:v>1652.9</c:v>
                </c:pt>
                <c:pt idx="6">
                  <c:v>19943.3</c:v>
                </c:pt>
                <c:pt idx="7">
                  <c:v>1278.3</c:v>
                </c:pt>
                <c:pt idx="8">
                  <c:v>9561.7000000000007</c:v>
                </c:pt>
                <c:pt idx="9">
                  <c:v>2732.2</c:v>
                </c:pt>
                <c:pt idx="10">
                  <c:v>568.29999999999995</c:v>
                </c:pt>
                <c:pt idx="11">
                  <c:v>1377.6</c:v>
                </c:pt>
                <c:pt idx="12">
                  <c:v>0</c:v>
                </c:pt>
              </c:numCache>
            </c:numRef>
          </c:val>
        </c:ser>
        <c:ser>
          <c:idx val="11"/>
          <c:order val="5"/>
          <c:tx>
            <c:strRef>
              <c:f>'Data 1'!$C$145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'Data 1'!$D$145:$P$145</c:f>
              <c:numCache>
                <c:formatCode>#,##0.00</c:formatCode>
                <c:ptCount val="13"/>
                <c:pt idx="0">
                  <c:v>0</c:v>
                </c:pt>
                <c:pt idx="1">
                  <c:v>1026.5</c:v>
                </c:pt>
                <c:pt idx="2">
                  <c:v>623</c:v>
                </c:pt>
                <c:pt idx="3">
                  <c:v>12</c:v>
                </c:pt>
                <c:pt idx="4">
                  <c:v>0</c:v>
                </c:pt>
                <c:pt idx="5">
                  <c:v>70</c:v>
                </c:pt>
                <c:pt idx="6">
                  <c:v>36</c:v>
                </c:pt>
                <c:pt idx="7">
                  <c:v>0</c:v>
                </c:pt>
                <c:pt idx="8">
                  <c:v>4762.5</c:v>
                </c:pt>
                <c:pt idx="9">
                  <c:v>54.3</c:v>
                </c:pt>
                <c:pt idx="10">
                  <c:v>428.4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0"/>
          <c:order val="7"/>
          <c:tx>
            <c:strRef>
              <c:f>'Data 1'!$C$153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288.39999999999998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'Data 1'!$C$150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0</c:v>
                </c:pt>
                <c:pt idx="1">
                  <c:v>57.8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1820.4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9"/>
          <c:tx>
            <c:strRef>
              <c:f>'Data 1'!$C$151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617.6</c:v>
                </c:pt>
                <c:pt idx="3">
                  <c:v>0</c:v>
                </c:pt>
                <c:pt idx="4">
                  <c:v>725.3</c:v>
                </c:pt>
                <c:pt idx="5">
                  <c:v>608.70000000000005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784</c:v>
                </c:pt>
                <c:pt idx="10">
                  <c:v>944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10"/>
          <c:tx>
            <c:strRef>
              <c:f>'Data 1'!$C$146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2763.2</c:v>
                </c:pt>
                <c:pt idx="1">
                  <c:v>6933.6</c:v>
                </c:pt>
                <c:pt idx="2">
                  <c:v>755.1</c:v>
                </c:pt>
                <c:pt idx="3">
                  <c:v>1460</c:v>
                </c:pt>
                <c:pt idx="4">
                  <c:v>0</c:v>
                </c:pt>
                <c:pt idx="5">
                  <c:v>0</c:v>
                </c:pt>
                <c:pt idx="6">
                  <c:v>2822.9</c:v>
                </c:pt>
                <c:pt idx="7">
                  <c:v>5090.1000000000004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791312"/>
        <c:axId val="279790920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87.216925897799996</c:v>
                </c:pt>
                <c:pt idx="1">
                  <c:v>59.043409800500001</c:v>
                </c:pt>
                <c:pt idx="2">
                  <c:v>45.244610503099999</c:v>
                </c:pt>
                <c:pt idx="3">
                  <c:v>42.666926641099998</c:v>
                </c:pt>
                <c:pt idx="4">
                  <c:v>47.541595385500003</c:v>
                </c:pt>
                <c:pt idx="5">
                  <c:v>55.270262020899999</c:v>
                </c:pt>
                <c:pt idx="6">
                  <c:v>48.6004134963</c:v>
                </c:pt>
                <c:pt idx="7">
                  <c:v>49.077318314899998</c:v>
                </c:pt>
                <c:pt idx="8">
                  <c:v>48.041428748900003</c:v>
                </c:pt>
                <c:pt idx="9">
                  <c:v>55.133704327899999</c:v>
                </c:pt>
                <c:pt idx="10">
                  <c:v>59.679777987800001</c:v>
                </c:pt>
                <c:pt idx="11">
                  <c:v>74.139002447199999</c:v>
                </c:pt>
                <c:pt idx="12">
                  <c:v>62.761666666700002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792096"/>
        <c:axId val="279791704"/>
      </c:lineChart>
      <c:valAx>
        <c:axId val="279790920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79791312"/>
        <c:crosses val="autoZero"/>
        <c:crossBetween val="between"/>
        <c:majorUnit val="30000"/>
        <c:dispUnits>
          <c:builtInUnit val="thousands"/>
        </c:dispUnits>
      </c:valAx>
      <c:catAx>
        <c:axId val="27979131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279790920"/>
        <c:crossesAt val="0"/>
        <c:auto val="1"/>
        <c:lblAlgn val="ctr"/>
        <c:lblOffset val="100"/>
        <c:noMultiLvlLbl val="0"/>
      </c:catAx>
      <c:valAx>
        <c:axId val="279791704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79792096"/>
        <c:crosses val="max"/>
        <c:crossBetween val="between"/>
      </c:valAx>
      <c:catAx>
        <c:axId val="2797920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79791704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16802145004724E-2"/>
          <c:y val="0.78434509708607614"/>
          <c:w val="0.80429471627784466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712.52016129030005</c:v>
                </c:pt>
                <c:pt idx="1">
                  <c:v>690.06696428570001</c:v>
                </c:pt>
                <c:pt idx="2">
                  <c:v>679.79004037690004</c:v>
                </c:pt>
                <c:pt idx="3">
                  <c:v>667.79305555559995</c:v>
                </c:pt>
                <c:pt idx="4">
                  <c:v>657.63440860219998</c:v>
                </c:pt>
                <c:pt idx="5">
                  <c:v>680.75416666670003</c:v>
                </c:pt>
                <c:pt idx="6">
                  <c:v>681.72177419349998</c:v>
                </c:pt>
                <c:pt idx="7">
                  <c:v>685.08333333329995</c:v>
                </c:pt>
                <c:pt idx="8">
                  <c:v>666.50138888890001</c:v>
                </c:pt>
                <c:pt idx="9">
                  <c:v>686.99597315439996</c:v>
                </c:pt>
                <c:pt idx="10">
                  <c:v>674.33472222219996</c:v>
                </c:pt>
                <c:pt idx="11">
                  <c:v>695.75403225809998</c:v>
                </c:pt>
                <c:pt idx="12">
                  <c:v>703.82795698919995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9792880"/>
        <c:axId val="279793272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19.8404244623</c:v>
                </c:pt>
                <c:pt idx="1">
                  <c:v>15.125065320299999</c:v>
                </c:pt>
                <c:pt idx="2">
                  <c:v>11.5469110496</c:v>
                </c:pt>
                <c:pt idx="3">
                  <c:v>14.6645191734</c:v>
                </c:pt>
                <c:pt idx="4">
                  <c:v>14.2514912811</c:v>
                </c:pt>
                <c:pt idx="5">
                  <c:v>11.9237809565</c:v>
                </c:pt>
                <c:pt idx="6">
                  <c:v>10.3340536748</c:v>
                </c:pt>
                <c:pt idx="7">
                  <c:v>10.640429382000001</c:v>
                </c:pt>
                <c:pt idx="8">
                  <c:v>10.716390382</c:v>
                </c:pt>
                <c:pt idx="9">
                  <c:v>17.145887023699999</c:v>
                </c:pt>
                <c:pt idx="10">
                  <c:v>13.6975213023</c:v>
                </c:pt>
                <c:pt idx="11">
                  <c:v>21.612955502799998</c:v>
                </c:pt>
                <c:pt idx="12">
                  <c:v>15.876601324499999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225680"/>
        <c:axId val="279225288"/>
      </c:lineChart>
      <c:catAx>
        <c:axId val="27979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93272"/>
        <c:crosses val="autoZero"/>
        <c:auto val="1"/>
        <c:lblAlgn val="ctr"/>
        <c:lblOffset val="100"/>
        <c:noMultiLvlLbl val="1"/>
      </c:catAx>
      <c:valAx>
        <c:axId val="27979327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792880"/>
        <c:crosses val="autoZero"/>
        <c:crossBetween val="between"/>
        <c:majorUnit val="200"/>
      </c:valAx>
      <c:valAx>
        <c:axId val="27922528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225680"/>
        <c:crosses val="max"/>
        <c:crossBetween val="between"/>
        <c:majorUnit val="10"/>
      </c:valAx>
      <c:catAx>
        <c:axId val="27922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9225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0.90048</cdr:x>
      <cdr:y>0.93906</cdr:y>
    </cdr:from>
    <cdr:to>
      <cdr:x>0.99091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6353492" y="2824687"/>
          <a:ext cx="638042" cy="183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0.45144</cdr:x>
      <cdr:y>0.93484</cdr:y>
    </cdr:from>
    <cdr:to>
      <cdr:x>0.53125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185221" y="2811994"/>
          <a:ext cx="563111" cy="196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0.88523</cdr:x>
      <cdr:y>0.12092</cdr:y>
    </cdr:from>
    <cdr:to>
      <cdr:x>0.8877</cdr:x>
      <cdr:y>0.81553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6775173" y="306457"/>
          <a:ext cx="18918" cy="1760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0.89649</cdr:x>
      <cdr:y>0.89913</cdr:y>
    </cdr:from>
    <cdr:to>
      <cdr:x>0.97012</cdr:x>
      <cdr:y>0.97258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861351" y="2278821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0.45142</cdr:x>
      <cdr:y>0.90494</cdr:y>
    </cdr:from>
    <cdr:to>
      <cdr:x>0.52504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454952" y="2293540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0.88867</cdr:x>
      <cdr:y>0.06253</cdr:y>
    </cdr:from>
    <cdr:to>
      <cdr:x>0.89114</cdr:x>
      <cdr:y>0.75715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801126" y="158474"/>
          <a:ext cx="18918" cy="17604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0.88676</cdr:x>
      <cdr:y>0.12937</cdr:y>
    </cdr:from>
    <cdr:to>
      <cdr:x>0.88766</cdr:x>
      <cdr:y>0.81708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80751" y="306458"/>
          <a:ext cx="6771" cy="162907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0.89458</cdr:x>
      <cdr:y>0.89166</cdr:y>
    </cdr:from>
    <cdr:to>
      <cdr:x>0.96938</cdr:x>
      <cdr:y>0.97025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40739" y="2065655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0.44116</cdr:x>
      <cdr:y>0.88553</cdr:y>
    </cdr:from>
    <cdr:to>
      <cdr:x>0.51596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24217" y="205146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0.88724</cdr:x>
      <cdr:y>0.03318</cdr:y>
    </cdr:from>
    <cdr:to>
      <cdr:x>0.88898</cdr:x>
      <cdr:y>0.8673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85170" y="57979"/>
          <a:ext cx="13085" cy="145773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0.88799</cdr:x>
      <cdr:y>0.12457</cdr:y>
    </cdr:from>
    <cdr:to>
      <cdr:x>0.88818</cdr:x>
      <cdr:y>0.82399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689973" y="298175"/>
          <a:ext cx="1436" cy="167419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0.89424</cdr:x>
      <cdr:y>0.88627</cdr:y>
    </cdr:from>
    <cdr:to>
      <cdr:x>0.96905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37112" y="212145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0.4421</cdr:x>
      <cdr:y>0.89242</cdr:y>
    </cdr:from>
    <cdr:to>
      <cdr:x>0.51689</cdr:x>
      <cdr:y>0.9702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30713" y="213617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0.88709</cdr:x>
      <cdr:y>0.03738</cdr:y>
    </cdr:from>
    <cdr:to>
      <cdr:x>0.88819</cdr:x>
      <cdr:y>0.86449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84066" y="66261"/>
          <a:ext cx="8282" cy="146602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0.89164</cdr:x>
      <cdr:y>0.09132</cdr:y>
    </cdr:from>
    <cdr:to>
      <cdr:x>0.89222</cdr:x>
      <cdr:y>0.80685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718699" y="235858"/>
          <a:ext cx="4405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0.89096</cdr:x>
      <cdr:y>0.17984</cdr:y>
    </cdr:from>
    <cdr:to>
      <cdr:x>0.89164</cdr:x>
      <cdr:y>0.86301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713579" y="481634"/>
          <a:ext cx="5121" cy="18296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0.89523</cdr:x>
      <cdr:y>0.92397</cdr:y>
    </cdr:from>
    <cdr:to>
      <cdr:x>0.97003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45395" y="244151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0.44314</cdr:x>
      <cdr:y>0.92955</cdr:y>
    </cdr:from>
    <cdr:to>
      <cdr:x>0.51793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38996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0.88834</cdr:x>
      <cdr:y>0.09077</cdr:y>
    </cdr:from>
    <cdr:to>
      <cdr:x>0.89008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93452" y="257866"/>
          <a:ext cx="13087" cy="194530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0.88662</cdr:x>
      <cdr:y>0.10086</cdr:y>
    </cdr:from>
    <cdr:to>
      <cdr:x>0.88717</cdr:x>
      <cdr:y>0.84886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80841" y="260492"/>
          <a:ext cx="4163" cy="193191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0.89633</cdr:x>
      <cdr:y>0.92397</cdr:y>
    </cdr:from>
    <cdr:to>
      <cdr:x>0.97113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53677" y="244151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0.44424</cdr:x>
      <cdr:y>0.92955</cdr:y>
    </cdr:from>
    <cdr:to>
      <cdr:x>0.51903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47278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0.617</cdr:x>
      <cdr:y>0.27514</cdr:y>
    </cdr:from>
    <cdr:to>
      <cdr:x>0.7465</cdr:x>
      <cdr:y>0.33614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1422" y="660412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0.63165</cdr:x>
      <cdr:y>0.74455</cdr:y>
    </cdr:from>
    <cdr:to>
      <cdr:x>0.76115</cdr:x>
      <cdr:y>0.80555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5990" y="1787144"/>
          <a:ext cx="747493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0.88478</cdr:x>
      <cdr:y>0.09392</cdr:y>
    </cdr:from>
    <cdr:to>
      <cdr:x>0.8876</cdr:x>
      <cdr:y>0.76231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582714" y="279954"/>
          <a:ext cx="20999" cy="19924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0.88606</cdr:x>
      <cdr:y>0.09524</cdr:y>
    </cdr:from>
    <cdr:to>
      <cdr:x>0.88734</cdr:x>
      <cdr:y>0.86233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592239" y="245994"/>
          <a:ext cx="9527" cy="198120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0.89405</cdr:x>
      <cdr:y>0.92397</cdr:y>
    </cdr:from>
    <cdr:to>
      <cdr:x>0.96977</cdr:x>
      <cdr:y>0.99443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654286" y="2441512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0.43638</cdr:x>
      <cdr:y>0.92955</cdr:y>
    </cdr:from>
    <cdr:to>
      <cdr:x>0.51209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7887" y="2456231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0.88549</cdr:x>
      <cdr:y>0.10041</cdr:y>
    </cdr:from>
    <cdr:to>
      <cdr:x>0.88722</cdr:x>
      <cdr:y>0.88197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670812" y="378931"/>
          <a:ext cx="13013" cy="29496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0.89689</cdr:x>
      <cdr:y>0.92518</cdr:y>
    </cdr:from>
    <cdr:to>
      <cdr:x>0.97173</cdr:x>
      <cdr:y>0.97341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53678" y="3570908"/>
          <a:ext cx="563577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0.44452</cdr:x>
      <cdr:y>0.92899</cdr:y>
    </cdr:from>
    <cdr:to>
      <cdr:x>0.51935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48767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0.89789</cdr:x>
      <cdr:y>0.93792</cdr:y>
    </cdr:from>
    <cdr:to>
      <cdr:x>0.9777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37326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0.46064</cdr:x>
      <cdr:y>0.93792</cdr:y>
    </cdr:from>
    <cdr:to>
      <cdr:x>0.54045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51203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0.89114</cdr:x>
      <cdr:y>0.20911</cdr:y>
    </cdr:from>
    <cdr:to>
      <cdr:x>0.89132</cdr:x>
      <cdr:y>0.87929</cdr:y>
    </cdr:to>
    <cdr:cxnSp macro="">
      <cdr:nvCxnSpPr>
        <cdr:cNvPr id="7" name="Conector recto 6"/>
        <cdr:cNvCxnSpPr/>
      </cdr:nvCxnSpPr>
      <cdr:spPr bwMode="auto">
        <a:xfrm xmlns:a="http://schemas.openxmlformats.org/drawingml/2006/main" flipH="1" flipV="1">
          <a:off x="6289675" y="641350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0.46667</cdr:x>
      <cdr:y>0.9365</cdr:y>
    </cdr:from>
    <cdr:to>
      <cdr:x>0.54648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293774" y="280806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0.89366</cdr:x>
      <cdr:y>0.16201</cdr:y>
    </cdr:from>
    <cdr:to>
      <cdr:x>0.89384</cdr:x>
      <cdr:y>0.84752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6307456" y="48578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0.89923</cdr:x>
      <cdr:y>0.9365</cdr:y>
    </cdr:from>
    <cdr:to>
      <cdr:x>0.97904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346794" y="280806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6246019</xdr:colOff>
      <xdr:row>9</xdr:row>
      <xdr:rowOff>164307</xdr:rowOff>
    </xdr:from>
    <xdr:to>
      <xdr:col>4</xdr:col>
      <xdr:colOff>6246019</xdr:colOff>
      <xdr:row>21</xdr:row>
      <xdr:rowOff>111919</xdr:rowOff>
    </xdr:to>
    <xdr:cxnSp macro="">
      <xdr:nvCxnSpPr>
        <xdr:cNvPr id="3" name="Conector recto 2"/>
        <xdr:cNvCxnSpPr/>
      </xdr:nvCxnSpPr>
      <xdr:spPr bwMode="auto">
        <a:xfrm flipV="1">
          <a:off x="8103394" y="1688307"/>
          <a:ext cx="0" cy="19478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E4" sqref="E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8"/>
      <c r="D2" s="148"/>
      <c r="E2" s="149" t="s">
        <v>37</v>
      </c>
    </row>
    <row r="3" spans="2:8" ht="15" customHeight="1">
      <c r="C3" s="148"/>
      <c r="D3" s="148"/>
      <c r="E3" s="145" t="str">
        <f>'M1'!L3</f>
        <v>Enero 2018</v>
      </c>
    </row>
    <row r="4" spans="2:8" s="2" customFormat="1" ht="20.25" customHeight="1">
      <c r="B4" s="3"/>
      <c r="C4" s="150" t="s">
        <v>36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1"/>
      <c r="D7" s="11"/>
      <c r="E7" s="11"/>
    </row>
    <row r="8" spans="2:8" s="2" customFormat="1" ht="12.6" customHeight="1">
      <c r="B8" s="3"/>
      <c r="C8" s="152"/>
      <c r="D8" s="153" t="s">
        <v>140</v>
      </c>
      <c r="E8" s="154" t="s">
        <v>49</v>
      </c>
      <c r="F8" s="155"/>
      <c r="G8" s="92"/>
    </row>
    <row r="9" spans="2:8" s="2" customFormat="1" ht="12.6" customHeight="1">
      <c r="B9" s="3"/>
      <c r="C9" s="152"/>
      <c r="D9" s="153" t="s">
        <v>140</v>
      </c>
      <c r="E9" s="154" t="s">
        <v>141</v>
      </c>
      <c r="F9" s="155"/>
      <c r="G9" s="92"/>
    </row>
    <row r="10" spans="2:8" s="2" customFormat="1" ht="12.6" customHeight="1">
      <c r="B10" s="3"/>
      <c r="C10" s="152"/>
      <c r="D10" s="153" t="s">
        <v>140</v>
      </c>
      <c r="E10" s="154" t="s">
        <v>142</v>
      </c>
      <c r="F10" s="155"/>
      <c r="H10" s="156"/>
    </row>
    <row r="11" spans="2:8" s="2" customFormat="1" ht="12.6" customHeight="1">
      <c r="B11" s="3"/>
      <c r="C11" s="152"/>
      <c r="D11" s="153" t="s">
        <v>140</v>
      </c>
      <c r="E11" s="154" t="s">
        <v>143</v>
      </c>
      <c r="F11" s="155"/>
      <c r="H11" s="156"/>
    </row>
    <row r="12" spans="2:8" s="2" customFormat="1" ht="12.6" customHeight="1">
      <c r="B12" s="3"/>
      <c r="C12" s="152"/>
      <c r="D12" s="153" t="s">
        <v>140</v>
      </c>
      <c r="E12" s="154" t="s">
        <v>33</v>
      </c>
      <c r="F12" s="155"/>
    </row>
    <row r="13" spans="2:8" s="2" customFormat="1" ht="12.6" customHeight="1">
      <c r="B13" s="3"/>
      <c r="C13" s="152"/>
      <c r="D13" s="153" t="s">
        <v>140</v>
      </c>
      <c r="E13" s="154" t="s">
        <v>144</v>
      </c>
      <c r="F13" s="155"/>
    </row>
    <row r="14" spans="2:8" s="2" customFormat="1" ht="12.6" customHeight="1">
      <c r="B14" s="3"/>
      <c r="C14" s="152"/>
      <c r="D14" s="153" t="s">
        <v>140</v>
      </c>
      <c r="E14" s="154" t="s">
        <v>61</v>
      </c>
      <c r="F14" s="155"/>
    </row>
    <row r="15" spans="2:8" s="2" customFormat="1" ht="12.6" customHeight="1">
      <c r="B15" s="3"/>
      <c r="C15" s="152"/>
      <c r="D15" s="153" t="s">
        <v>140</v>
      </c>
      <c r="E15" s="154" t="s">
        <v>44</v>
      </c>
      <c r="F15" s="155"/>
    </row>
    <row r="16" spans="2:8" s="2" customFormat="1" ht="12.6" customHeight="1">
      <c r="B16" s="3"/>
      <c r="C16" s="152"/>
      <c r="D16" s="153" t="s">
        <v>140</v>
      </c>
      <c r="E16" s="154" t="s">
        <v>14</v>
      </c>
      <c r="F16" s="155"/>
    </row>
    <row r="17" spans="2:6" s="2" customFormat="1" ht="12.6" customHeight="1">
      <c r="B17" s="3"/>
      <c r="C17" s="152"/>
      <c r="D17" s="153" t="s">
        <v>140</v>
      </c>
      <c r="E17" s="154" t="s">
        <v>87</v>
      </c>
      <c r="F17" s="155"/>
    </row>
    <row r="18" spans="2:6" s="2" customFormat="1" ht="12.6" customHeight="1">
      <c r="B18" s="3"/>
      <c r="C18" s="152"/>
      <c r="D18" s="153" t="s">
        <v>140</v>
      </c>
      <c r="E18" s="154" t="s">
        <v>3</v>
      </c>
      <c r="F18" s="155"/>
    </row>
    <row r="19" spans="2:6" s="2" customFormat="1" ht="12.6" customHeight="1">
      <c r="B19" s="3"/>
      <c r="C19" s="152"/>
      <c r="D19" s="153" t="s">
        <v>140</v>
      </c>
      <c r="E19" s="154" t="s">
        <v>88</v>
      </c>
      <c r="F19" s="155"/>
    </row>
    <row r="20" spans="2:6" s="2" customFormat="1" ht="12.6" customHeight="1">
      <c r="B20" s="3"/>
      <c r="C20" s="152"/>
      <c r="D20" s="153" t="s">
        <v>140</v>
      </c>
      <c r="E20" s="154" t="s">
        <v>28</v>
      </c>
      <c r="F20" s="155"/>
    </row>
    <row r="21" spans="2:6" s="2" customFormat="1" ht="12.6" customHeight="1">
      <c r="B21" s="3"/>
      <c r="C21" s="152"/>
      <c r="D21" s="157" t="s">
        <v>140</v>
      </c>
      <c r="E21" s="154" t="s">
        <v>27</v>
      </c>
      <c r="F21" s="155"/>
    </row>
    <row r="22" spans="2:6" s="2" customFormat="1" ht="8.25" customHeight="1">
      <c r="B22" s="3"/>
      <c r="C22" s="152"/>
      <c r="D22" s="157"/>
      <c r="E22" s="158"/>
      <c r="F22" s="155"/>
    </row>
    <row r="23" spans="2:6" ht="11.25" customHeight="1"/>
    <row r="24" spans="2:6">
      <c r="C24" s="159" t="s">
        <v>145</v>
      </c>
      <c r="E24" s="2"/>
    </row>
    <row r="27" spans="2:6">
      <c r="E27" s="160"/>
    </row>
    <row r="28" spans="2:6">
      <c r="E28" s="160"/>
    </row>
    <row r="29" spans="2:6">
      <c r="E29" s="160"/>
    </row>
    <row r="30" spans="2:6">
      <c r="E30" s="7"/>
    </row>
    <row r="31" spans="2:6">
      <c r="E31" s="161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R19" sqref="R19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37</v>
      </c>
    </row>
    <row r="2" spans="1:37">
      <c r="L2" s="20" t="s">
        <v>188</v>
      </c>
    </row>
    <row r="4" spans="1:37">
      <c r="A4" s="33"/>
      <c r="B4" s="21" t="s">
        <v>36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R20" sqref="R20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37</v>
      </c>
    </row>
    <row r="2" spans="1:37">
      <c r="L2" s="88" t="s">
        <v>188</v>
      </c>
    </row>
    <row r="4" spans="1:37">
      <c r="A4" s="33"/>
      <c r="B4" s="21" t="s">
        <v>36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6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P31" sqref="P31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37</v>
      </c>
    </row>
    <row r="2" spans="1:38">
      <c r="L2" s="88" t="s">
        <v>188</v>
      </c>
    </row>
    <row r="4" spans="1:38">
      <c r="A4" s="33"/>
      <c r="B4" s="21" t="s">
        <v>36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O26" sqref="O2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37</v>
      </c>
    </row>
    <row r="2" spans="1:38">
      <c r="L2" s="88" t="s">
        <v>188</v>
      </c>
    </row>
    <row r="4" spans="1:38">
      <c r="A4" s="33"/>
      <c r="B4" s="21" t="s">
        <v>36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P7" s="187" t="s">
        <v>5</v>
      </c>
      <c r="Q7" s="187" t="s">
        <v>6</v>
      </c>
      <c r="R7" s="187" t="s">
        <v>7</v>
      </c>
      <c r="S7" s="187" t="s">
        <v>8</v>
      </c>
      <c r="T7" s="187" t="s">
        <v>7</v>
      </c>
      <c r="U7" s="187" t="s">
        <v>9</v>
      </c>
      <c r="V7" s="187" t="s">
        <v>9</v>
      </c>
      <c r="W7" s="187" t="s">
        <v>8</v>
      </c>
      <c r="X7" s="187" t="s">
        <v>10</v>
      </c>
      <c r="Y7" s="187" t="s">
        <v>11</v>
      </c>
      <c r="Z7" s="187" t="s">
        <v>12</v>
      </c>
      <c r="AA7" s="187" t="s">
        <v>13</v>
      </c>
      <c r="AB7" s="187" t="s">
        <v>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O23" sqref="O23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37</v>
      </c>
    </row>
    <row r="2" spans="1:38">
      <c r="L2" s="88" t="s">
        <v>188</v>
      </c>
    </row>
    <row r="4" spans="1:38">
      <c r="A4" s="33"/>
      <c r="B4" s="21" t="s">
        <v>36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6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6"/>
      <c r="F10" s="35"/>
      <c r="G10" s="35"/>
    </row>
    <row r="11" spans="1:38" s="34" customFormat="1" ht="12.75" customHeight="1">
      <c r="B11" s="196"/>
      <c r="F11" s="35"/>
      <c r="G11" s="35"/>
    </row>
    <row r="12" spans="1:38" ht="12.75" customHeight="1">
      <c r="B12" s="19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Q16" sqref="Q16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37</v>
      </c>
    </row>
    <row r="2" spans="1:37">
      <c r="L2" s="88" t="s">
        <v>188</v>
      </c>
    </row>
    <row r="4" spans="1:37">
      <c r="A4" s="33"/>
      <c r="B4" s="21" t="s">
        <v>36</v>
      </c>
      <c r="C4" s="33"/>
      <c r="O4" s="77" t="s">
        <v>5</v>
      </c>
      <c r="P4" s="77" t="s">
        <v>6</v>
      </c>
      <c r="Q4" s="77" t="s">
        <v>7</v>
      </c>
      <c r="R4" s="77" t="s">
        <v>8</v>
      </c>
      <c r="S4" s="77" t="s">
        <v>7</v>
      </c>
      <c r="T4" s="77" t="s">
        <v>9</v>
      </c>
      <c r="U4" s="77" t="s">
        <v>9</v>
      </c>
      <c r="V4" s="77" t="s">
        <v>8</v>
      </c>
      <c r="W4" s="77" t="s">
        <v>10</v>
      </c>
      <c r="X4" s="77" t="s">
        <v>11</v>
      </c>
      <c r="Y4" s="77" t="s">
        <v>12</v>
      </c>
      <c r="Z4" s="77" t="s">
        <v>13</v>
      </c>
      <c r="AA4" s="77" t="s">
        <v>5</v>
      </c>
    </row>
    <row r="5" spans="1:37" s="34" customFormat="1"/>
    <row r="6" spans="1:37" s="34" customFormat="1"/>
    <row r="7" spans="1:37" ht="12.75" customHeight="1">
      <c r="B7" s="196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6"/>
      <c r="F10" s="35"/>
      <c r="G10" s="35"/>
    </row>
    <row r="11" spans="1:37" s="34" customFormat="1">
      <c r="B11" s="196"/>
      <c r="F11" s="35"/>
      <c r="G11" s="35"/>
    </row>
    <row r="12" spans="1:37">
      <c r="B12" s="19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zoomScale="115" zoomScaleNormal="115" workbookViewId="0">
      <selection activeCell="L26" sqref="L26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72" t="s">
        <v>132</v>
      </c>
      <c r="C2" s="173"/>
      <c r="D2" s="173"/>
      <c r="E2" s="173"/>
    </row>
    <row r="3" spans="1:5">
      <c r="B3" s="101" t="s">
        <v>43</v>
      </c>
      <c r="C3" s="101" t="s">
        <v>46</v>
      </c>
      <c r="D3" s="101"/>
      <c r="E3" s="101" t="s">
        <v>15</v>
      </c>
    </row>
    <row r="4" spans="1:5">
      <c r="A4" s="178"/>
      <c r="B4" s="101"/>
      <c r="C4" s="101" t="s">
        <v>47</v>
      </c>
      <c r="D4" s="101" t="s">
        <v>48</v>
      </c>
      <c r="E4" s="101"/>
    </row>
    <row r="5" spans="1:5">
      <c r="A5" s="178">
        <v>1</v>
      </c>
      <c r="B5" s="101" t="s">
        <v>155</v>
      </c>
      <c r="C5" s="101">
        <v>23.52</v>
      </c>
      <c r="D5" s="101">
        <v>2.06</v>
      </c>
      <c r="E5" s="164">
        <v>8.2680690040999991</v>
      </c>
    </row>
    <row r="6" spans="1:5">
      <c r="A6" s="178">
        <v>2</v>
      </c>
      <c r="B6" s="101" t="s">
        <v>156</v>
      </c>
      <c r="C6" s="101">
        <v>55.54</v>
      </c>
      <c r="D6" s="101">
        <v>4.24</v>
      </c>
      <c r="E6" s="164">
        <v>39.529423144399999</v>
      </c>
    </row>
    <row r="7" spans="1:5">
      <c r="A7" s="178">
        <v>3</v>
      </c>
      <c r="B7" s="101" t="s">
        <v>157</v>
      </c>
      <c r="C7" s="101">
        <v>54.45</v>
      </c>
      <c r="D7" s="101">
        <v>2.2999999999999998</v>
      </c>
      <c r="E7" s="164">
        <v>40.098146515099998</v>
      </c>
    </row>
    <row r="8" spans="1:5">
      <c r="A8" s="178">
        <v>4</v>
      </c>
      <c r="B8" s="101" t="s">
        <v>158</v>
      </c>
      <c r="C8" s="101">
        <v>50.08</v>
      </c>
      <c r="D8" s="101">
        <v>2.63</v>
      </c>
      <c r="E8" s="164">
        <v>37.9027821882</v>
      </c>
    </row>
    <row r="9" spans="1:5">
      <c r="A9" s="178">
        <v>5</v>
      </c>
      <c r="B9" s="101" t="s">
        <v>159</v>
      </c>
      <c r="C9" s="101">
        <v>61.01</v>
      </c>
      <c r="D9" s="101">
        <v>5</v>
      </c>
      <c r="E9" s="164">
        <v>43.2899716692</v>
      </c>
    </row>
    <row r="10" spans="1:5">
      <c r="A10" s="178">
        <v>6</v>
      </c>
      <c r="B10" s="101" t="s">
        <v>160</v>
      </c>
      <c r="C10" s="101">
        <v>57.56</v>
      </c>
      <c r="D10" s="101">
        <v>30.5</v>
      </c>
      <c r="E10" s="164">
        <v>46.391408312800003</v>
      </c>
    </row>
    <row r="11" spans="1:5">
      <c r="A11" s="178">
        <v>7</v>
      </c>
      <c r="B11" s="101" t="s">
        <v>161</v>
      </c>
      <c r="C11" s="101">
        <v>77.709999999999994</v>
      </c>
      <c r="D11" s="101">
        <v>15.51</v>
      </c>
      <c r="E11" s="164">
        <v>46.427541593900003</v>
      </c>
    </row>
    <row r="12" spans="1:5">
      <c r="A12" s="178">
        <v>8</v>
      </c>
      <c r="B12" s="101" t="s">
        <v>162</v>
      </c>
      <c r="C12" s="101">
        <v>70.88</v>
      </c>
      <c r="D12" s="101">
        <v>49.54</v>
      </c>
      <c r="E12" s="164">
        <v>66.398227368899995</v>
      </c>
    </row>
    <row r="13" spans="1:5">
      <c r="A13" s="178">
        <v>9</v>
      </c>
      <c r="B13" s="101" t="s">
        <v>163</v>
      </c>
      <c r="C13" s="101">
        <v>69.55</v>
      </c>
      <c r="D13" s="101">
        <v>45.6</v>
      </c>
      <c r="E13" s="164">
        <v>59.439389928700002</v>
      </c>
    </row>
    <row r="14" spans="1:5">
      <c r="A14" s="178">
        <v>10</v>
      </c>
      <c r="B14" s="101" t="s">
        <v>164</v>
      </c>
      <c r="C14" s="101">
        <v>67.45</v>
      </c>
      <c r="D14" s="101">
        <v>44.22</v>
      </c>
      <c r="E14" s="164">
        <v>54.362339147699998</v>
      </c>
    </row>
    <row r="15" spans="1:5">
      <c r="A15" s="178">
        <v>11</v>
      </c>
      <c r="B15" s="101" t="s">
        <v>165</v>
      </c>
      <c r="C15" s="101">
        <v>63.03</v>
      </c>
      <c r="D15" s="101">
        <v>33</v>
      </c>
      <c r="E15" s="164">
        <v>52.096866706999997</v>
      </c>
    </row>
    <row r="16" spans="1:5">
      <c r="A16" s="178">
        <v>12</v>
      </c>
      <c r="B16" s="101" t="s">
        <v>166</v>
      </c>
      <c r="C16" s="101">
        <v>67.19</v>
      </c>
      <c r="D16" s="101">
        <v>46.01</v>
      </c>
      <c r="E16" s="164">
        <v>61.056166646999998</v>
      </c>
    </row>
    <row r="17" spans="1:5">
      <c r="A17" s="178">
        <v>13</v>
      </c>
      <c r="B17" s="101" t="s">
        <v>167</v>
      </c>
      <c r="C17" s="101">
        <v>63.82</v>
      </c>
      <c r="D17" s="101">
        <v>46.1</v>
      </c>
      <c r="E17" s="164">
        <v>56.096476067099999</v>
      </c>
    </row>
    <row r="18" spans="1:5">
      <c r="A18" s="178">
        <v>14</v>
      </c>
      <c r="B18" s="101" t="s">
        <v>168</v>
      </c>
      <c r="C18" s="101">
        <v>67.92</v>
      </c>
      <c r="D18" s="101">
        <v>42.09</v>
      </c>
      <c r="E18" s="164">
        <v>54.182649080099999</v>
      </c>
    </row>
    <row r="19" spans="1:5">
      <c r="A19" s="178">
        <v>15</v>
      </c>
      <c r="B19" s="101" t="s">
        <v>169</v>
      </c>
      <c r="C19" s="101">
        <v>66.010000000000005</v>
      </c>
      <c r="D19" s="101">
        <v>45.69</v>
      </c>
      <c r="E19" s="164">
        <v>59.032060490500001</v>
      </c>
    </row>
    <row r="20" spans="1:5">
      <c r="A20" s="178">
        <v>16</v>
      </c>
      <c r="B20" s="101" t="s">
        <v>170</v>
      </c>
      <c r="C20" s="101">
        <v>63.45</v>
      </c>
      <c r="D20" s="101">
        <v>35.1</v>
      </c>
      <c r="E20" s="164">
        <v>52.712500235</v>
      </c>
    </row>
    <row r="21" spans="1:5">
      <c r="A21" s="178">
        <v>17</v>
      </c>
      <c r="B21" s="101" t="s">
        <v>171</v>
      </c>
      <c r="C21" s="101">
        <v>65.5</v>
      </c>
      <c r="D21" s="101">
        <v>35.450000000000003</v>
      </c>
      <c r="E21" s="164">
        <v>53.558162283999998</v>
      </c>
    </row>
    <row r="22" spans="1:5">
      <c r="A22" s="178">
        <v>18</v>
      </c>
      <c r="B22" s="101" t="s">
        <v>172</v>
      </c>
      <c r="C22" s="101">
        <v>62.39</v>
      </c>
      <c r="D22" s="101">
        <v>45.19</v>
      </c>
      <c r="E22" s="164">
        <v>58.428849469900001</v>
      </c>
    </row>
    <row r="23" spans="1:5">
      <c r="A23" s="178">
        <v>19</v>
      </c>
      <c r="B23" s="101" t="s">
        <v>173</v>
      </c>
      <c r="C23" s="101">
        <v>59.96</v>
      </c>
      <c r="D23" s="101">
        <v>45.09</v>
      </c>
      <c r="E23" s="164">
        <v>55.802278624300001</v>
      </c>
    </row>
    <row r="24" spans="1:5">
      <c r="A24" s="178">
        <v>20</v>
      </c>
      <c r="B24" s="101" t="s">
        <v>174</v>
      </c>
      <c r="C24" s="101">
        <v>58.49</v>
      </c>
      <c r="D24" s="101">
        <v>39.58</v>
      </c>
      <c r="E24" s="164">
        <v>48.095815968499998</v>
      </c>
    </row>
    <row r="25" spans="1:5">
      <c r="A25" s="178">
        <v>21</v>
      </c>
      <c r="B25" s="101" t="s">
        <v>175</v>
      </c>
      <c r="C25" s="101">
        <v>63.43</v>
      </c>
      <c r="D25" s="101">
        <v>19.989999999999998</v>
      </c>
      <c r="E25" s="164">
        <v>43.748209096399997</v>
      </c>
    </row>
    <row r="26" spans="1:5">
      <c r="A26" s="178">
        <v>22</v>
      </c>
      <c r="B26" s="101" t="s">
        <v>176</v>
      </c>
      <c r="C26" s="101">
        <v>61.01</v>
      </c>
      <c r="D26" s="101">
        <v>39.85</v>
      </c>
      <c r="E26" s="164">
        <v>54.754178394699998</v>
      </c>
    </row>
    <row r="27" spans="1:5">
      <c r="A27" s="178">
        <v>23</v>
      </c>
      <c r="B27" s="101" t="s">
        <v>177</v>
      </c>
      <c r="C27" s="101">
        <v>63.51</v>
      </c>
      <c r="D27" s="101">
        <v>47.43</v>
      </c>
      <c r="E27" s="164">
        <v>58.651661517299999</v>
      </c>
    </row>
    <row r="28" spans="1:5">
      <c r="A28" s="178">
        <v>24</v>
      </c>
      <c r="B28" s="101" t="s">
        <v>178</v>
      </c>
      <c r="C28" s="101">
        <v>61.59</v>
      </c>
      <c r="D28" s="101">
        <v>49.57</v>
      </c>
      <c r="E28" s="164">
        <v>56.667625285900002</v>
      </c>
    </row>
    <row r="29" spans="1:5">
      <c r="A29" s="178">
        <v>25</v>
      </c>
      <c r="B29" s="101" t="s">
        <v>179</v>
      </c>
      <c r="C29" s="101">
        <v>59.11</v>
      </c>
      <c r="D29" s="101">
        <v>43.09</v>
      </c>
      <c r="E29" s="164">
        <v>53.895940274200001</v>
      </c>
    </row>
    <row r="30" spans="1:5">
      <c r="A30" s="178">
        <v>26</v>
      </c>
      <c r="B30" s="101" t="s">
        <v>180</v>
      </c>
      <c r="C30" s="101">
        <v>58.44</v>
      </c>
      <c r="D30" s="101">
        <v>32.799999999999997</v>
      </c>
      <c r="E30" s="164">
        <v>49.613199357500001</v>
      </c>
    </row>
    <row r="31" spans="1:5">
      <c r="A31" s="178">
        <v>27</v>
      </c>
      <c r="B31" s="101" t="s">
        <v>181</v>
      </c>
      <c r="C31" s="101">
        <v>60.61</v>
      </c>
      <c r="D31" s="101">
        <v>37.92</v>
      </c>
      <c r="E31" s="164">
        <v>49.131503355699998</v>
      </c>
    </row>
    <row r="32" spans="1:5">
      <c r="A32" s="178">
        <v>28</v>
      </c>
      <c r="B32" s="101" t="s">
        <v>182</v>
      </c>
      <c r="C32" s="101">
        <v>61.99</v>
      </c>
      <c r="D32" s="101">
        <v>39.659999999999997</v>
      </c>
      <c r="E32" s="164">
        <v>49.756145405600002</v>
      </c>
    </row>
    <row r="33" spans="1:10">
      <c r="A33" s="178">
        <v>29</v>
      </c>
      <c r="B33" s="101" t="s">
        <v>183</v>
      </c>
      <c r="C33" s="101">
        <v>59.8</v>
      </c>
      <c r="D33" s="101">
        <v>45.09</v>
      </c>
      <c r="E33" s="164">
        <v>55.502269501299999</v>
      </c>
    </row>
    <row r="34" spans="1:10">
      <c r="A34" s="178">
        <v>30</v>
      </c>
      <c r="B34" s="101" t="s">
        <v>184</v>
      </c>
      <c r="C34" s="101">
        <v>60.19</v>
      </c>
      <c r="D34" s="101">
        <v>41.06</v>
      </c>
      <c r="E34" s="164">
        <v>55.105769321300002</v>
      </c>
    </row>
    <row r="35" spans="1:10">
      <c r="A35" s="178">
        <v>31</v>
      </c>
      <c r="B35" s="101" t="s">
        <v>185</v>
      </c>
      <c r="C35" s="101">
        <v>60.61</v>
      </c>
      <c r="D35" s="101">
        <v>48.46</v>
      </c>
      <c r="E35" s="164">
        <v>57.597825041999997</v>
      </c>
    </row>
    <row r="36" spans="1:10">
      <c r="A36" s="178"/>
      <c r="B36" s="101" t="s">
        <v>186</v>
      </c>
      <c r="C36" s="101" t="s">
        <v>187</v>
      </c>
      <c r="D36" s="101" t="s">
        <v>187</v>
      </c>
      <c r="E36" s="164">
        <v>51.525510306299999</v>
      </c>
    </row>
    <row r="37" spans="1:10">
      <c r="A37" s="178"/>
      <c r="B37" s="101"/>
      <c r="C37" s="101"/>
      <c r="D37" s="101"/>
      <c r="E37" s="164"/>
    </row>
    <row r="38" spans="1:10">
      <c r="A38" s="178"/>
      <c r="B38" s="101"/>
      <c r="C38" s="101"/>
      <c r="D38" s="101"/>
      <c r="E38" s="164"/>
    </row>
    <row r="39" spans="1:10">
      <c r="A39" s="178"/>
      <c r="B39" s="101"/>
      <c r="C39" s="101"/>
      <c r="D39" s="101" t="s">
        <v>146</v>
      </c>
      <c r="E39" s="192">
        <v>49.98</v>
      </c>
      <c r="F39" s="193">
        <v>71.489999999999995</v>
      </c>
      <c r="G39" s="194">
        <f>(E39/F39-1)</f>
        <v>-0.3008812421317667</v>
      </c>
    </row>
    <row r="40" spans="1:10">
      <c r="B40" s="101"/>
      <c r="C40" s="101"/>
      <c r="D40" s="101"/>
      <c r="E40" s="101"/>
    </row>
    <row r="41" spans="1:10">
      <c r="B41" s="125"/>
    </row>
    <row r="42" spans="1:10">
      <c r="A42" s="178"/>
      <c r="B42" s="167" t="s">
        <v>133</v>
      </c>
    </row>
    <row r="43" spans="1:10">
      <c r="A43" s="178"/>
      <c r="B43" s="16"/>
      <c r="C43" s="199" t="s">
        <v>22</v>
      </c>
      <c r="D43" s="199" t="s">
        <v>234</v>
      </c>
      <c r="E43" s="199" t="s">
        <v>50</v>
      </c>
      <c r="F43" s="199" t="s">
        <v>51</v>
      </c>
      <c r="G43" s="199" t="s">
        <v>26</v>
      </c>
      <c r="H43" s="199" t="s">
        <v>52</v>
      </c>
      <c r="I43" s="199" t="s">
        <v>53</v>
      </c>
      <c r="J43" s="199" t="s">
        <v>54</v>
      </c>
    </row>
    <row r="44" spans="1:10">
      <c r="A44" s="178"/>
      <c r="B44" s="17"/>
      <c r="C44" s="200"/>
      <c r="D44" s="200"/>
      <c r="E44" s="200"/>
      <c r="F44" s="200"/>
      <c r="G44" s="200"/>
      <c r="H44" s="200"/>
      <c r="I44" s="200"/>
      <c r="J44" s="200"/>
    </row>
    <row r="45" spans="1:10">
      <c r="A45" s="178" t="s">
        <v>5</v>
      </c>
      <c r="B45" s="18" t="s">
        <v>189</v>
      </c>
      <c r="C45" s="54">
        <v>43.929211469534053</v>
      </c>
      <c r="D45" s="54">
        <v>7.3028673835125444</v>
      </c>
      <c r="E45" s="54">
        <v>0</v>
      </c>
      <c r="F45" s="54">
        <v>0</v>
      </c>
      <c r="G45" s="54">
        <v>12.253584229390679</v>
      </c>
      <c r="H45" s="54">
        <v>16.50985663082437</v>
      </c>
      <c r="I45" s="55">
        <v>0</v>
      </c>
      <c r="J45" s="59">
        <v>20.004480286738353</v>
      </c>
    </row>
    <row r="46" spans="1:10">
      <c r="A46" s="178" t="s">
        <v>6</v>
      </c>
      <c r="B46" s="18" t="s">
        <v>190</v>
      </c>
      <c r="C46" s="54">
        <v>33.382936507936506</v>
      </c>
      <c r="D46" s="54">
        <v>13.640873015873014</v>
      </c>
      <c r="E46" s="54">
        <v>0</v>
      </c>
      <c r="F46" s="54">
        <v>0.29761904761904762</v>
      </c>
      <c r="G46" s="54">
        <v>6.820436507936507</v>
      </c>
      <c r="H46" s="54">
        <v>23.883928571428573</v>
      </c>
      <c r="I46" s="55">
        <v>0</v>
      </c>
      <c r="J46" s="59">
        <v>21.974206349206348</v>
      </c>
    </row>
    <row r="47" spans="1:10">
      <c r="A47" s="178" t="s">
        <v>7</v>
      </c>
      <c r="B47" s="18" t="s">
        <v>191</v>
      </c>
      <c r="C47" s="54">
        <v>43.965903992821893</v>
      </c>
      <c r="D47" s="54">
        <v>14.984297891431133</v>
      </c>
      <c r="E47" s="54">
        <v>0</v>
      </c>
      <c r="F47" s="54">
        <v>0.13458950201884254</v>
      </c>
      <c r="G47" s="54">
        <v>6.303275011215792</v>
      </c>
      <c r="H47" s="54">
        <v>12.943023777478688</v>
      </c>
      <c r="I47" s="55">
        <v>0</v>
      </c>
      <c r="J47" s="59">
        <v>21.668909825033648</v>
      </c>
    </row>
    <row r="48" spans="1:10">
      <c r="A48" s="178" t="s">
        <v>8</v>
      </c>
      <c r="B48" s="18" t="s">
        <v>192</v>
      </c>
      <c r="C48" s="54">
        <v>40.798611111111114</v>
      </c>
      <c r="D48" s="54">
        <v>13.738425925925924</v>
      </c>
      <c r="E48" s="54">
        <v>0</v>
      </c>
      <c r="F48" s="54">
        <v>0</v>
      </c>
      <c r="G48" s="54">
        <v>4.583333333333333</v>
      </c>
      <c r="H48" s="54">
        <v>16.93287037037037</v>
      </c>
      <c r="I48" s="55">
        <v>0</v>
      </c>
      <c r="J48" s="59">
        <v>23.94675925925926</v>
      </c>
    </row>
    <row r="49" spans="1:13">
      <c r="A49" s="178" t="s">
        <v>7</v>
      </c>
      <c r="B49" s="18" t="s">
        <v>193</v>
      </c>
      <c r="C49" s="54">
        <v>40.143369175627242</v>
      </c>
      <c r="D49" s="54">
        <v>11.559139784946236</v>
      </c>
      <c r="E49" s="54">
        <v>0</v>
      </c>
      <c r="F49" s="54">
        <v>0</v>
      </c>
      <c r="G49" s="54">
        <v>12.186379928315411</v>
      </c>
      <c r="H49" s="54">
        <v>20.228494623655912</v>
      </c>
      <c r="I49" s="55">
        <v>0</v>
      </c>
      <c r="J49" s="59">
        <v>15.882616487455195</v>
      </c>
    </row>
    <row r="50" spans="1:13">
      <c r="A50" s="178" t="s">
        <v>9</v>
      </c>
      <c r="B50" s="18" t="s">
        <v>194</v>
      </c>
      <c r="C50" s="54">
        <v>46.087962962962969</v>
      </c>
      <c r="D50" s="54">
        <v>3.981481481481481</v>
      </c>
      <c r="E50" s="54">
        <v>0</v>
      </c>
      <c r="F50" s="54">
        <v>0</v>
      </c>
      <c r="G50" s="54">
        <v>13.032407407407407</v>
      </c>
      <c r="H50" s="54">
        <v>25.462962962962965</v>
      </c>
      <c r="I50" s="55">
        <v>0</v>
      </c>
      <c r="J50" s="59">
        <v>11.435185185185185</v>
      </c>
    </row>
    <row r="51" spans="1:13">
      <c r="A51" s="178" t="s">
        <v>9</v>
      </c>
      <c r="B51" s="18" t="s">
        <v>195</v>
      </c>
      <c r="C51" s="54">
        <v>37.298387096774199</v>
      </c>
      <c r="D51" s="54">
        <v>4.7827060931899634</v>
      </c>
      <c r="E51" s="54">
        <v>0</v>
      </c>
      <c r="F51" s="54">
        <v>0.13440860215053765</v>
      </c>
      <c r="G51" s="54">
        <v>17.6747311827957</v>
      </c>
      <c r="H51" s="54">
        <v>28.59543010752688</v>
      </c>
      <c r="I51" s="55">
        <v>0</v>
      </c>
      <c r="J51" s="59">
        <v>11.514336917562725</v>
      </c>
    </row>
    <row r="52" spans="1:13">
      <c r="A52" s="178" t="s">
        <v>8</v>
      </c>
      <c r="B52" s="18" t="s">
        <v>196</v>
      </c>
      <c r="C52" s="54">
        <v>36.04390681003585</v>
      </c>
      <c r="D52" s="54">
        <v>10.360663082437277</v>
      </c>
      <c r="E52" s="54">
        <v>0</v>
      </c>
      <c r="F52" s="54">
        <v>0</v>
      </c>
      <c r="G52" s="54">
        <v>17.517921146953402</v>
      </c>
      <c r="H52" s="54">
        <v>17.708333333333336</v>
      </c>
      <c r="I52" s="55">
        <v>0</v>
      </c>
      <c r="J52" s="59">
        <v>18.369175627240143</v>
      </c>
    </row>
    <row r="53" spans="1:13">
      <c r="A53" s="178" t="s">
        <v>10</v>
      </c>
      <c r="B53" s="18" t="s">
        <v>197</v>
      </c>
      <c r="C53" s="54">
        <v>38.946759259259267</v>
      </c>
      <c r="D53" s="54">
        <v>7.4074074074074066</v>
      </c>
      <c r="E53" s="54">
        <v>0</v>
      </c>
      <c r="F53" s="54">
        <v>0</v>
      </c>
      <c r="G53" s="54">
        <v>19.201388888888893</v>
      </c>
      <c r="H53" s="54">
        <v>17.187499999999996</v>
      </c>
      <c r="I53" s="55">
        <v>0</v>
      </c>
      <c r="J53" s="59">
        <v>17.256944444444443</v>
      </c>
    </row>
    <row r="54" spans="1:13">
      <c r="A54" s="178" t="s">
        <v>11</v>
      </c>
      <c r="B54" s="18" t="s">
        <v>198</v>
      </c>
      <c r="C54" s="54">
        <v>39.807347670250891</v>
      </c>
      <c r="D54" s="54">
        <v>6.25</v>
      </c>
      <c r="E54" s="54">
        <v>0</v>
      </c>
      <c r="F54" s="54">
        <v>0</v>
      </c>
      <c r="G54" s="54">
        <v>10.483870967741936</v>
      </c>
      <c r="H54" s="54">
        <v>25.963261648745522</v>
      </c>
      <c r="I54" s="55">
        <v>0</v>
      </c>
      <c r="J54" s="59">
        <v>17.495519713261647</v>
      </c>
    </row>
    <row r="55" spans="1:13">
      <c r="A55" s="178" t="s">
        <v>12</v>
      </c>
      <c r="B55" s="18" t="s">
        <v>199</v>
      </c>
      <c r="C55" s="54">
        <v>33.518518518518519</v>
      </c>
      <c r="D55" s="54">
        <v>10.11574074074074</v>
      </c>
      <c r="E55" s="54">
        <v>0</v>
      </c>
      <c r="F55" s="54">
        <v>0</v>
      </c>
      <c r="G55" s="54">
        <v>17.546296296296298</v>
      </c>
      <c r="H55" s="54">
        <v>26.087962962962962</v>
      </c>
      <c r="I55" s="55">
        <v>0</v>
      </c>
      <c r="J55" s="59">
        <v>12.731481481481485</v>
      </c>
    </row>
    <row r="56" spans="1:13">
      <c r="A56" s="178" t="s">
        <v>13</v>
      </c>
      <c r="B56" s="18" t="s">
        <v>200</v>
      </c>
      <c r="C56" s="54">
        <v>37.141577060931901</v>
      </c>
      <c r="D56" s="54">
        <v>8.736559139784946</v>
      </c>
      <c r="E56" s="54">
        <v>0</v>
      </c>
      <c r="F56" s="54">
        <v>0</v>
      </c>
      <c r="G56" s="54">
        <v>15.770609318996415</v>
      </c>
      <c r="H56" s="54">
        <v>19.153225806451612</v>
      </c>
      <c r="I56" s="55">
        <v>0</v>
      </c>
      <c r="J56" s="59">
        <v>19.198028673835125</v>
      </c>
    </row>
    <row r="57" spans="1:13">
      <c r="A57" s="178" t="s">
        <v>5</v>
      </c>
      <c r="B57" s="56" t="s">
        <v>201</v>
      </c>
      <c r="C57" s="57">
        <v>34.65501792114695</v>
      </c>
      <c r="D57" s="57">
        <v>14.448924731182796</v>
      </c>
      <c r="E57" s="57">
        <v>0</v>
      </c>
      <c r="F57" s="57">
        <v>0</v>
      </c>
      <c r="G57" s="57">
        <v>11.312724014336919</v>
      </c>
      <c r="H57" s="57">
        <v>18.637992831541222</v>
      </c>
      <c r="I57" s="58">
        <v>0</v>
      </c>
      <c r="J57" s="60">
        <v>20.945340501792113</v>
      </c>
    </row>
    <row r="59" spans="1:13">
      <c r="B59" s="167" t="s">
        <v>134</v>
      </c>
    </row>
    <row r="60" spans="1:13">
      <c r="B60" s="16"/>
      <c r="C60" s="201" t="s">
        <v>1</v>
      </c>
      <c r="D60" s="201" t="s">
        <v>2</v>
      </c>
      <c r="E60" s="201" t="s">
        <v>30</v>
      </c>
      <c r="F60" s="201" t="s">
        <v>19</v>
      </c>
      <c r="G60" s="201" t="s">
        <v>20</v>
      </c>
      <c r="H60" s="201" t="s">
        <v>29</v>
      </c>
      <c r="I60" s="201" t="s">
        <v>31</v>
      </c>
      <c r="J60" s="201" t="s">
        <v>35</v>
      </c>
      <c r="K60" s="126"/>
      <c r="L60" s="126"/>
    </row>
    <row r="61" spans="1:13">
      <c r="B61" s="17"/>
      <c r="C61" s="202"/>
      <c r="D61" s="202"/>
      <c r="E61" s="202"/>
      <c r="F61" s="202"/>
      <c r="G61" s="202"/>
      <c r="H61" s="202"/>
      <c r="I61" s="202"/>
      <c r="J61" s="202"/>
      <c r="K61" s="126"/>
      <c r="L61" s="126"/>
    </row>
    <row r="62" spans="1:13">
      <c r="B62" s="18" t="str">
        <f>MID('Data 1'!R83,6,3)&amp; "-" &amp;MID('Data 1'!R83,3,2)</f>
        <v>Ene-17</v>
      </c>
      <c r="C62" s="165">
        <f>VLOOKUP("Mercado Diario",'Data 1'!Q86:AE102,2,FALSE)</f>
        <v>73.56</v>
      </c>
      <c r="D62" s="165">
        <f>VLOOKUP("Mercado Intradiario",'Data 1'!Q86:AE102,2,FALSE)</f>
        <v>0.03</v>
      </c>
      <c r="E62" s="165">
        <f t="shared" ref="E62:E74" si="0">SUM(C62:D62)</f>
        <v>73.59</v>
      </c>
      <c r="F62" s="165">
        <f>'Data 1'!C89</f>
        <v>2.89</v>
      </c>
      <c r="G62" s="165">
        <f>VLOOKUP("Pago capacidad",'Data 1'!Q86:AE102,2,FALSE)</f>
        <v>3.26</v>
      </c>
      <c r="H62" s="165">
        <f>VLOOKUP("Servicio interrumpibilidad",'Data 1'!Q86:AE102,2,FALSE)</f>
        <v>1.88</v>
      </c>
      <c r="I62" s="165">
        <f t="shared" ref="I62:I74" si="1">SUM(E62:H62)</f>
        <v>81.62</v>
      </c>
      <c r="J62" s="85">
        <f>VLOOKUP("Energía final MWh",'Data 1'!Q84:AE102,2,FALSE)/1000</f>
        <v>23054.073153999998</v>
      </c>
      <c r="K62" s="188">
        <f>E62+F62+G62+H62-VLOOKUP("Coste medio final (€/MWh)",'Data 1'!Q86:AE102,2,FALSE)</f>
        <v>0</v>
      </c>
      <c r="L62" s="189"/>
      <c r="M62" s="190"/>
    </row>
    <row r="63" spans="1:13">
      <c r="B63" s="18" t="str">
        <f>MID('Data 1'!S83,6,3)&amp; "-" &amp;MID('Data 1'!S83,3,2)</f>
        <v>Feb-17</v>
      </c>
      <c r="C63" s="165">
        <f>VLOOKUP("Mercado Diario",'Data 1'!Q86:AE102,3,FALSE)</f>
        <v>53.04</v>
      </c>
      <c r="D63" s="165">
        <f>VLOOKUP("Mercado Intradiario",'Data 1'!Q86:AE102,3,FALSE)</f>
        <v>0.01</v>
      </c>
      <c r="E63" s="165">
        <f t="shared" si="0"/>
        <v>53.05</v>
      </c>
      <c r="F63" s="165">
        <f>'Data 1'!D89</f>
        <v>2.8400000000000003</v>
      </c>
      <c r="G63" s="165">
        <f>VLOOKUP("Pago capacidad",'Data 1'!Q86:AE102,3,FALSE)</f>
        <v>3.17</v>
      </c>
      <c r="H63" s="165">
        <f>VLOOKUP("Servicio interrumpibilidad",'Data 1'!Q86:AE102,3,FALSE)</f>
        <v>2.17</v>
      </c>
      <c r="I63" s="165">
        <f t="shared" si="1"/>
        <v>61.230000000000004</v>
      </c>
      <c r="J63" s="85">
        <f>VLOOKUP("Energía final MWh",'Data 1'!Q84:AE102,3,FALSE)/1000</f>
        <v>19942.324665</v>
      </c>
      <c r="K63" s="188">
        <f>E63+F63+G63+H63-VLOOKUP("Coste medio final (€/MWh)",'Data 1'!Q86:AE102,3,FALSE)</f>
        <v>0</v>
      </c>
      <c r="L63" s="189" t="str">
        <f>MID('Data 1'!S83,6,LEN('Data 1'!S83))&amp; " " &amp;MID('Data 1'!S83,1,4)</f>
        <v>Febrero 2017</v>
      </c>
      <c r="M63" s="190"/>
    </row>
    <row r="64" spans="1:13">
      <c r="B64" s="18" t="str">
        <f>MID('Data 1'!T83,6,3)&amp; "-" &amp;MID('Data 1'!T83,3,2)</f>
        <v>Mar-17</v>
      </c>
      <c r="C64" s="165">
        <f>VLOOKUP("Mercado Diario",'Data 1'!Q86:AE102,4,FALSE)</f>
        <v>43.93</v>
      </c>
      <c r="D64" s="165">
        <f>VLOOKUP("Mercado Intradiario",'Data 1'!Q86:AE102,4,FALSE)</f>
        <v>0.01</v>
      </c>
      <c r="E64" s="165">
        <f t="shared" si="0"/>
        <v>43.94</v>
      </c>
      <c r="F64" s="165">
        <f>'Data 1'!E89</f>
        <v>3.13</v>
      </c>
      <c r="G64" s="165">
        <f>VLOOKUP("Pago capacidad",'Data 1'!Q86:AE102,4,FALSE)</f>
        <v>2.52</v>
      </c>
      <c r="H64" s="165">
        <f>VLOOKUP("Servicio interrumpibilidad",'Data 1'!Q86:AE102,4,FALSE)</f>
        <v>2.06</v>
      </c>
      <c r="I64" s="165">
        <f t="shared" si="1"/>
        <v>51.650000000000006</v>
      </c>
      <c r="J64" s="85">
        <f>VLOOKUP("Energía final MWh",'Data 1'!Q84:AE102,4,FALSE)/1000</f>
        <v>21063.017844000002</v>
      </c>
      <c r="K64" s="188">
        <f>E64+F64+G64+H64-VLOOKUP("Coste medio final (€/MWh)",'Data 1'!Q86:AE102,4,FALSE)</f>
        <v>0</v>
      </c>
      <c r="L64" s="189"/>
      <c r="M64" s="190"/>
    </row>
    <row r="65" spans="2:32">
      <c r="B65" s="18" t="str">
        <f>MID('Data 1'!U83,6,3)&amp; "-" &amp;MID('Data 1'!U83,3,2)</f>
        <v>Abr-17</v>
      </c>
      <c r="C65" s="165">
        <f>VLOOKUP("Mercado Diario",'Data 1'!Q86:AE102,5,FALSE)</f>
        <v>44.2</v>
      </c>
      <c r="D65" s="165">
        <f>VLOOKUP("Mercado Intradiario",'Data 1'!Q86:AE102,5,FALSE)</f>
        <v>0</v>
      </c>
      <c r="E65" s="165">
        <f t="shared" si="0"/>
        <v>44.2</v>
      </c>
      <c r="F65" s="165">
        <f>'Data 1'!F89</f>
        <v>3.2699999999999996</v>
      </c>
      <c r="G65" s="165">
        <f>VLOOKUP("Pago capacidad",'Data 1'!Q86:AE102,5,FALSE)</f>
        <v>2.38</v>
      </c>
      <c r="H65" s="165">
        <f>VLOOKUP("Servicio interrumpibilidad",'Data 1'!Q86:AE102,5,FALSE)</f>
        <v>2.2799999999999998</v>
      </c>
      <c r="I65" s="165">
        <f t="shared" si="1"/>
        <v>52.13</v>
      </c>
      <c r="J65" s="85">
        <f>VLOOKUP("Energía final MWh",'Data 1'!Q84:AE102,5,FALSE)/1000</f>
        <v>18914.128116</v>
      </c>
      <c r="K65" s="188">
        <f>E65+F65+G65+H65-VLOOKUP("Coste medio final (€/MWh)",'Data 1'!Q86:AE102,5,FALSE)</f>
        <v>0</v>
      </c>
      <c r="L65" s="189"/>
      <c r="M65" s="190"/>
    </row>
    <row r="66" spans="2:32">
      <c r="B66" s="18" t="str">
        <f>MID('Data 1'!V83,6,3)&amp; "-" &amp;MID('Data 1'!V83,3,2)</f>
        <v>May-17</v>
      </c>
      <c r="C66" s="165">
        <f>VLOOKUP("Mercado Diario",'Data 1'!Q86:AE102,6,FALSE)</f>
        <v>47.6</v>
      </c>
      <c r="D66" s="165">
        <f>VLOOKUP("Mercado Intradiario",'Data 1'!Q86:AE102,6,FALSE)</f>
        <v>0</v>
      </c>
      <c r="E66" s="165">
        <f t="shared" si="0"/>
        <v>47.6</v>
      </c>
      <c r="F66" s="165">
        <f>'Data 1'!G89</f>
        <v>2.13</v>
      </c>
      <c r="G66" s="165">
        <f>VLOOKUP("Pago capacidad",'Data 1'!Q86:AE102,6,FALSE)</f>
        <v>2.37</v>
      </c>
      <c r="H66" s="165">
        <f>VLOOKUP("Servicio interrumpibilidad",'Data 1'!Q86:AE102,6,FALSE)</f>
        <v>2.15</v>
      </c>
      <c r="I66" s="165">
        <f t="shared" si="1"/>
        <v>54.25</v>
      </c>
      <c r="J66" s="85">
        <f>VLOOKUP("Energía final MWh",'Data 1'!Q84:AE102,6,FALSE)/1000</f>
        <v>20167.80575</v>
      </c>
      <c r="K66" s="188">
        <f>E66+F66+G66+H66-VLOOKUP("Coste medio final (€/MWh)",'Data 1'!Q86:AE102,6,FALSE)</f>
        <v>0</v>
      </c>
      <c r="L66" s="189"/>
      <c r="M66" s="190"/>
    </row>
    <row r="67" spans="2:32">
      <c r="B67" s="18" t="str">
        <f>MID('Data 1'!W83,6,3)&amp; "-" &amp;MID('Data 1'!W83,3,2)</f>
        <v>Jun-17</v>
      </c>
      <c r="C67" s="165">
        <f>VLOOKUP("Mercado Diario",'Data 1'!Q86:AE102,7,FALSE)</f>
        <v>50.77</v>
      </c>
      <c r="D67" s="165">
        <f>VLOOKUP("Mercado Intradiario",'Data 1'!Q86:AE102,7,FALSE)</f>
        <v>0</v>
      </c>
      <c r="E67" s="165">
        <f t="shared" si="0"/>
        <v>50.77</v>
      </c>
      <c r="F67" s="165">
        <f>'Data 1'!H89</f>
        <v>1.2399999999999998</v>
      </c>
      <c r="G67" s="165">
        <f>VLOOKUP("Pago capacidad",'Data 1'!Q86:AE102,7,FALSE)</f>
        <v>2.9</v>
      </c>
      <c r="H67" s="165">
        <f>VLOOKUP("Servicio interrumpibilidad",'Data 1'!Q86:AE102,7,FALSE)</f>
        <v>2</v>
      </c>
      <c r="I67" s="165">
        <f t="shared" si="1"/>
        <v>56.910000000000004</v>
      </c>
      <c r="J67" s="85">
        <f>VLOOKUP("Energía final MWh",'Data 1'!Q84:AE102,7,FALSE)/1000</f>
        <v>21659.422431000003</v>
      </c>
      <c r="K67" s="188">
        <f>E67+F67+G67+H67-VLOOKUP("Coste medio final (€/MWh)",'Data 1'!Q86:AE102,7,FALSE)</f>
        <v>0</v>
      </c>
      <c r="L67" s="189"/>
      <c r="M67" s="190"/>
    </row>
    <row r="68" spans="2:32">
      <c r="B68" s="18" t="str">
        <f>MID('Data 1'!X83,6,3)&amp; "-" &amp;MID('Data 1'!X83,3,2)</f>
        <v>Jul-17</v>
      </c>
      <c r="C68" s="165">
        <f>VLOOKUP("Mercado Diario",'Data 1'!Q86:AE102,8,FALSE)</f>
        <v>49.14</v>
      </c>
      <c r="D68" s="165">
        <f>VLOOKUP("Mercado Intradiario",'Data 1'!Q86:AE102,8,FALSE)</f>
        <v>-0.01</v>
      </c>
      <c r="E68" s="165">
        <f t="shared" si="0"/>
        <v>49.13</v>
      </c>
      <c r="F68" s="165">
        <f>'Data 1'!I89</f>
        <v>1.6499999999999997</v>
      </c>
      <c r="G68" s="165">
        <f>VLOOKUP("Pago capacidad",'Data 1'!Q86:AE102,8,FALSE)</f>
        <v>3.22</v>
      </c>
      <c r="H68" s="165">
        <f>VLOOKUP("Servicio interrumpibilidad",'Data 1'!Q86:AE102,8,FALSE)</f>
        <v>1.93</v>
      </c>
      <c r="I68" s="165">
        <f t="shared" si="1"/>
        <v>55.93</v>
      </c>
      <c r="J68" s="85">
        <f>VLOOKUP("Energía final MWh",'Data 1'!Q84:AE102,8,FALSE)/1000</f>
        <v>22392.858405999999</v>
      </c>
      <c r="K68" s="188">
        <f>E68+F68+G68+H68-VLOOKUP("Coste medio final (€/MWh)",'Data 1'!Q86:AE102,8,FALSE)</f>
        <v>0</v>
      </c>
      <c r="L68" s="189"/>
      <c r="M68" s="190"/>
    </row>
    <row r="69" spans="2:32">
      <c r="B69" s="18" t="str">
        <f>MID('Data 1'!Y83,6,3)&amp; "-" &amp;MID('Data 1'!Y83,3,2)</f>
        <v>Ago-17</v>
      </c>
      <c r="C69" s="165">
        <f>VLOOKUP("Mercado Diario",'Data 1'!Q86:AE102,9,FALSE)</f>
        <v>48.04</v>
      </c>
      <c r="D69" s="165">
        <f>VLOOKUP("Mercado Intradiario",'Data 1'!Q86:AE102,9,FALSE)</f>
        <v>-0.01</v>
      </c>
      <c r="E69" s="165">
        <f t="shared" si="0"/>
        <v>48.03</v>
      </c>
      <c r="F69" s="165">
        <f>'Data 1'!J89</f>
        <v>2.4900000000000007</v>
      </c>
      <c r="G69" s="165">
        <f>VLOOKUP("Pago capacidad",'Data 1'!Q86:AE102,9,FALSE)</f>
        <v>2.16</v>
      </c>
      <c r="H69" s="165">
        <f>VLOOKUP("Servicio interrumpibilidad",'Data 1'!Q86:AE102,9,FALSE)</f>
        <v>1.99</v>
      </c>
      <c r="I69" s="165">
        <f t="shared" si="1"/>
        <v>54.670000000000009</v>
      </c>
      <c r="J69" s="85">
        <f>VLOOKUP("Energía final MWh",'Data 1'!Q84:AE102,9,FALSE)/1000</f>
        <v>21750.224324999999</v>
      </c>
      <c r="K69" s="188">
        <f>E69+F69+G69+H69-VLOOKUP("Coste medio final (€/MWh)",'Data 1'!Q86:AE102,9,FALSE)</f>
        <v>0</v>
      </c>
      <c r="L69" s="189"/>
      <c r="M69" s="190"/>
    </row>
    <row r="70" spans="2:32">
      <c r="B70" s="18" t="str">
        <f>MID('Data 1'!Z83,6,3)&amp; "-" &amp;MID('Data 1'!Z83,3,2)</f>
        <v>Sep-17</v>
      </c>
      <c r="C70" s="165">
        <f>VLOOKUP("Mercado Diario",'Data 1'!Q86:AE102,10,FALSE)</f>
        <v>49.55</v>
      </c>
      <c r="D70" s="165">
        <f>VLOOKUP("Mercado Intradiario",'Data 1'!Q86:AE102,10,FALSE)</f>
        <v>-0.03</v>
      </c>
      <c r="E70" s="165">
        <f t="shared" si="0"/>
        <v>49.519999999999996</v>
      </c>
      <c r="F70" s="165">
        <f>'Data 1'!K89</f>
        <v>2.2000000000000006</v>
      </c>
      <c r="G70" s="165">
        <f>VLOOKUP("Pago capacidad",'Data 1'!Q86:AE102,10,FALSE)</f>
        <v>2.41</v>
      </c>
      <c r="H70" s="165">
        <f>VLOOKUP("Servicio interrumpibilidad",'Data 1'!Q86:AE102,10,FALSE)</f>
        <v>2.14</v>
      </c>
      <c r="I70" s="165">
        <f t="shared" si="1"/>
        <v>56.269999999999996</v>
      </c>
      <c r="J70" s="85">
        <f>VLOOKUP("Energía final MWh",'Data 1'!Q84:AE102,10,FALSE)/1000</f>
        <v>20122.245394000001</v>
      </c>
      <c r="K70" s="188">
        <f>E70+F70+G70+H70-VLOOKUP("Coste medio final (€/MWh)",'Data 1'!Q86:AE102,10,FALSE)</f>
        <v>0</v>
      </c>
      <c r="L70" s="189"/>
      <c r="M70" s="190"/>
    </row>
    <row r="71" spans="2:32">
      <c r="B71" s="18" t="str">
        <f>MID('Data 1'!AA83,6,3)&amp; "-" &amp;MID('Data 1'!AA83,3,2)</f>
        <v>Oct-17</v>
      </c>
      <c r="C71" s="165">
        <f>VLOOKUP("Mercado Diario",'Data 1'!Q86:AE102,11,FALSE)</f>
        <v>57.63</v>
      </c>
      <c r="D71" s="165">
        <f>VLOOKUP("Mercado Intradiario",'Data 1'!Q86:AE102,11,FALSE)</f>
        <v>-0.03</v>
      </c>
      <c r="E71" s="165">
        <f t="shared" si="0"/>
        <v>57.6</v>
      </c>
      <c r="F71" s="165">
        <f>'Data 1'!L89</f>
        <v>2.79</v>
      </c>
      <c r="G71" s="165">
        <f>VLOOKUP("Pago capacidad",'Data 1'!Q86:AE102,11,FALSE)</f>
        <v>2.41</v>
      </c>
      <c r="H71" s="165">
        <f>VLOOKUP("Servicio interrumpibilidad",'Data 1'!Q86:AE102,11,FALSE)</f>
        <v>2.16</v>
      </c>
      <c r="I71" s="165">
        <f t="shared" si="1"/>
        <v>64.959999999999994</v>
      </c>
      <c r="J71" s="85">
        <f>VLOOKUP("Energía final MWh",'Data 1'!Q84:AE102,11,FALSE)/1000</f>
        <v>20038.949547</v>
      </c>
      <c r="K71" s="188">
        <f>E71+F71+G71+H71-VLOOKUP("Coste medio final (€/MWh)",'Data 1'!Q86:AE102,11,FALSE)</f>
        <v>0</v>
      </c>
      <c r="L71" s="189"/>
      <c r="M71" s="190"/>
    </row>
    <row r="72" spans="2:32">
      <c r="B72" s="18" t="str">
        <f>MID('Data 1'!AB83,6,3)&amp; "-" &amp;MID('Data 1'!AB83,3,2)</f>
        <v>Nov-17</v>
      </c>
      <c r="C72" s="165">
        <f>VLOOKUP("Mercado Diario",'Data 1'!Q86:AE102,12,FALSE)</f>
        <v>60.52</v>
      </c>
      <c r="D72" s="165">
        <f>VLOOKUP("Mercado Intradiario",'Data 1'!Q86:AE102,12,FALSE)</f>
        <v>0.02</v>
      </c>
      <c r="E72" s="165">
        <f t="shared" si="0"/>
        <v>60.540000000000006</v>
      </c>
      <c r="F72" s="165">
        <f>'Data 1'!M89</f>
        <v>1.66</v>
      </c>
      <c r="G72" s="165">
        <f>VLOOKUP("Pago capacidad",'Data 1'!Q86:AE102,12,FALSE)</f>
        <v>2.58</v>
      </c>
      <c r="H72" s="165">
        <f>VLOOKUP("Servicio interrumpibilidad",'Data 1'!Q86:AE102,12,FALSE)</f>
        <v>2.08</v>
      </c>
      <c r="I72" s="165">
        <f t="shared" si="1"/>
        <v>66.86</v>
      </c>
      <c r="J72" s="85">
        <f>VLOOKUP("Energía final MWh",'Data 1'!Q84:AE102,12,FALSE)/1000</f>
        <v>20810.624578999999</v>
      </c>
      <c r="K72" s="188">
        <f>E72+F72+G72+H72-VLOOKUP("Coste medio final (€/MWh)",'Data 1'!Q86:AE102,12,FALSE)</f>
        <v>0</v>
      </c>
      <c r="L72" s="189"/>
      <c r="M72" s="190"/>
    </row>
    <row r="73" spans="2:32">
      <c r="B73" s="18" t="str">
        <f>MID('Data 1'!AC83,6,3)&amp; "-" &amp;MID('Data 1'!AC83,3,2)</f>
        <v>Dic-17</v>
      </c>
      <c r="C73" s="165">
        <f>VLOOKUP("Mercado Diario",'Data 1'!Q86:AE102,13,FALSE)</f>
        <v>60.16</v>
      </c>
      <c r="D73" s="165">
        <f>VLOOKUP("Mercado Intradiario",'Data 1'!Q86:AE102,13,FALSE)</f>
        <v>0</v>
      </c>
      <c r="E73" s="165">
        <f t="shared" si="0"/>
        <v>60.16</v>
      </c>
      <c r="F73" s="165">
        <f>'Data 1'!N89</f>
        <v>2.2399999999999998</v>
      </c>
      <c r="G73" s="165">
        <f>VLOOKUP("Pago capacidad",'Data 1'!Q86:AE102,13,FALSE)</f>
        <v>3.15</v>
      </c>
      <c r="H73" s="165">
        <f>VLOOKUP("Servicio interrumpibilidad",'Data 1'!Q86:AE102,13,FALSE)</f>
        <v>1.96</v>
      </c>
      <c r="I73" s="165">
        <f t="shared" si="1"/>
        <v>67.509999999999991</v>
      </c>
      <c r="J73" s="85">
        <f>VLOOKUP("Energía final MWh",'Data 1'!Q84:AE102,13,FALSE)/1000</f>
        <v>22106.317327000001</v>
      </c>
      <c r="K73" s="188">
        <f>E73+F73+G73+H73-VLOOKUP("Coste medio final (€/MWh)",'Data 1'!Q86:AE102,13,FALSE)</f>
        <v>0</v>
      </c>
      <c r="L73" s="190"/>
      <c r="M73" s="190"/>
    </row>
    <row r="74" spans="2:32">
      <c r="B74" s="56" t="str">
        <f>MID('Data 1'!AD83,6,3)&amp; "-" &amp;MID('Data 1'!AD83,3,2)</f>
        <v>Ene-18</v>
      </c>
      <c r="C74" s="181">
        <f>VLOOKUP("Mercado Diario",'Data 1'!Q86:AE102,14,FALSE)</f>
        <v>51.78</v>
      </c>
      <c r="D74" s="181">
        <f>VLOOKUP("Mercado Intradiario",'Data 1'!Q86:AE102,14,FALSE)</f>
        <v>-0.01</v>
      </c>
      <c r="E74" s="181">
        <f t="shared" si="0"/>
        <v>51.77</v>
      </c>
      <c r="F74" s="181">
        <f>'Data 1'!O89</f>
        <v>1.9500000000000004</v>
      </c>
      <c r="G74" s="181">
        <f>VLOOKUP("Pago capacidad",'Data 1'!Q86:AE102,14,FALSE)</f>
        <v>3.3</v>
      </c>
      <c r="H74" s="181">
        <f>VLOOKUP("Servicio interrumpibilidad",'Data 1'!Q86:AE102,14,FALSE)</f>
        <v>1.38</v>
      </c>
      <c r="I74" s="181">
        <f t="shared" si="1"/>
        <v>58.400000000000006</v>
      </c>
      <c r="J74" s="182">
        <f>VLOOKUP("Energía final MWh",'Data 1'!Q84:AE102,14,FALSE)/1000</f>
        <v>22520.789851000001</v>
      </c>
      <c r="K74" s="188">
        <f>E74+F74+G74+H74-VLOOKUP("Coste medio final (€/MWh)",'Data 1'!Q86:AE102,14,FALSE)</f>
        <v>0</v>
      </c>
      <c r="L74" s="191">
        <f>(I74/I73-1)*100</f>
        <v>-13.494297141164246</v>
      </c>
      <c r="M74" s="191">
        <f>(I74/I62-1)*100</f>
        <v>-28.448909580985049</v>
      </c>
    </row>
    <row r="75" spans="2:32">
      <c r="B75" s="126"/>
      <c r="C75" s="126"/>
      <c r="L75" s="126"/>
    </row>
    <row r="76" spans="2:32">
      <c r="B76" s="167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39</v>
      </c>
      <c r="G77" s="105" t="s">
        <v>40</v>
      </c>
      <c r="H77" s="105" t="s">
        <v>19</v>
      </c>
      <c r="I77" s="105" t="s">
        <v>38</v>
      </c>
      <c r="J77" s="105" t="s">
        <v>24</v>
      </c>
      <c r="K77" s="105" t="s">
        <v>45</v>
      </c>
      <c r="L77" s="105" t="s">
        <v>0</v>
      </c>
    </row>
    <row r="78" spans="2:32">
      <c r="B78" s="102" t="s">
        <v>41</v>
      </c>
      <c r="C78" s="163">
        <f>VLOOKUP("Mercado Diario",'Data 1'!Q86:AE102,14,FALSE)</f>
        <v>51.78</v>
      </c>
      <c r="D78" s="163">
        <f>VLOOKUP("Mercado Intradiario",'Data 1'!Q86:AE102,14,FALSE)</f>
        <v>-0.01</v>
      </c>
      <c r="E78" s="163">
        <f>SUM(C78:D78)</f>
        <v>51.77</v>
      </c>
      <c r="F78" s="163">
        <f>VLOOKUP("Pago capacidad",'Data 1'!Q86:AE102,14,FALSE)</f>
        <v>3.3</v>
      </c>
      <c r="G78" s="163">
        <f>VLOOKUP("Servicio interrumpibilidad",'Data 1'!Q86:AE102,14,FALSE)</f>
        <v>1.38</v>
      </c>
      <c r="H78" s="163">
        <f>SUM(I78,J78:K78)</f>
        <v>1.95</v>
      </c>
      <c r="I78" s="163">
        <f>VLOOKUP("Restricciones PBF",'Data 1'!Q86:AE102,14,FALSE)</f>
        <v>1.07</v>
      </c>
      <c r="J78" s="163">
        <f>VLOOKUP("Banda secundaria",'Data 1'!Q86:AE102,14,FALSE)</f>
        <v>0.7</v>
      </c>
      <c r="K78" s="163">
        <f>'Data 1'!O83+'Data 1'!O86+'Data 1'!O87+'Data 1'!O88+O84</f>
        <v>0.18</v>
      </c>
      <c r="L78" s="163">
        <f>'Data 1'!AD102</f>
        <v>58.4</v>
      </c>
      <c r="M78" s="166">
        <f>L78-SUM(E78:H78)</f>
        <v>0</v>
      </c>
    </row>
    <row r="80" spans="2:32">
      <c r="B80" s="106" t="s">
        <v>21</v>
      </c>
      <c r="C80" s="127"/>
      <c r="D80" s="127"/>
      <c r="E80" s="127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6"/>
      <c r="Q80" s="126"/>
      <c r="R80" s="126" t="s">
        <v>5</v>
      </c>
      <c r="S80" s="126" t="s">
        <v>6</v>
      </c>
      <c r="T80" s="126" t="s">
        <v>7</v>
      </c>
      <c r="U80" s="126" t="s">
        <v>8</v>
      </c>
      <c r="V80" s="126" t="s">
        <v>7</v>
      </c>
      <c r="W80" s="126" t="s">
        <v>9</v>
      </c>
      <c r="X80" s="126" t="s">
        <v>9</v>
      </c>
      <c r="Y80" s="126" t="s">
        <v>8</v>
      </c>
      <c r="Z80" s="126" t="s">
        <v>10</v>
      </c>
      <c r="AA80" s="126" t="s">
        <v>11</v>
      </c>
      <c r="AB80" s="126" t="s">
        <v>12</v>
      </c>
      <c r="AC80" s="126" t="s">
        <v>13</v>
      </c>
      <c r="AD80" s="126" t="s">
        <v>5</v>
      </c>
      <c r="AE80" s="126"/>
      <c r="AF80" s="126"/>
    </row>
    <row r="81" spans="2:32">
      <c r="B81" s="108"/>
      <c r="C81" s="129" t="str">
        <f t="shared" ref="C81:O81" si="2">MID(R83,6,1)</f>
        <v>E</v>
      </c>
      <c r="D81" s="129" t="str">
        <f t="shared" si="2"/>
        <v>F</v>
      </c>
      <c r="E81" s="129" t="str">
        <f t="shared" si="2"/>
        <v>M</v>
      </c>
      <c r="F81" s="129" t="str">
        <f t="shared" si="2"/>
        <v>A</v>
      </c>
      <c r="G81" s="129" t="str">
        <f t="shared" si="2"/>
        <v>M</v>
      </c>
      <c r="H81" s="129" t="str">
        <f t="shared" si="2"/>
        <v>J</v>
      </c>
      <c r="I81" s="129" t="str">
        <f t="shared" si="2"/>
        <v>J</v>
      </c>
      <c r="J81" s="129" t="str">
        <f t="shared" si="2"/>
        <v>A</v>
      </c>
      <c r="K81" s="129" t="str">
        <f t="shared" si="2"/>
        <v>S</v>
      </c>
      <c r="L81" s="129" t="str">
        <f t="shared" si="2"/>
        <v>O</v>
      </c>
      <c r="M81" s="129" t="str">
        <f t="shared" si="2"/>
        <v>N</v>
      </c>
      <c r="N81" s="129" t="str">
        <f t="shared" si="2"/>
        <v>D</v>
      </c>
      <c r="O81" s="129" t="str">
        <f t="shared" si="2"/>
        <v>E</v>
      </c>
      <c r="P81" s="126"/>
      <c r="Q81" s="109" t="s">
        <v>32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30"/>
      <c r="AF81" s="126"/>
    </row>
    <row r="82" spans="2:32">
      <c r="B82" s="109" t="s">
        <v>23</v>
      </c>
      <c r="C82" s="131">
        <f>VLOOKUP("Restricciones PBF",$Q$86:$AE$102,2,FALSE)</f>
        <v>1.48</v>
      </c>
      <c r="D82" s="131">
        <f>VLOOKUP("Restricciones PBF",$Q$86:$AE$102,3,FALSE)</f>
        <v>1.82</v>
      </c>
      <c r="E82" s="131">
        <f>VLOOKUP("Restricciones PBF",$Q$86:$AE$102,4,FALSE)</f>
        <v>2.2200000000000002</v>
      </c>
      <c r="F82" s="131">
        <f>VLOOKUP("Restricciones PBF",$Q$86:$AE$102,5,FALSE)</f>
        <v>2.4</v>
      </c>
      <c r="G82" s="131">
        <f>VLOOKUP("Restricciones PBF",$Q$86:$AE$102,6,FALSE)</f>
        <v>1.45</v>
      </c>
      <c r="H82" s="131">
        <f>VLOOKUP("Restricciones PBF",$Q$86:$AE$102,7,FALSE)</f>
        <v>0.69</v>
      </c>
      <c r="I82" s="131">
        <f>VLOOKUP("Restricciones PBF",$Q$86:$AE$102,8,FALSE)</f>
        <v>1.1399999999999999</v>
      </c>
      <c r="J82" s="131">
        <f>VLOOKUP("Restricciones PBF",$Q$86:$AE$102,9,FALSE)</f>
        <v>1.86</v>
      </c>
      <c r="K82" s="131">
        <f>VLOOKUP("Restricciones PBF",$Q$86:$AE$102,10,FALSE)</f>
        <v>1.55</v>
      </c>
      <c r="L82" s="131">
        <f>VLOOKUP("Restricciones PBF",$Q$86:$AE$102,11,FALSE)</f>
        <v>1.1399999999999999</v>
      </c>
      <c r="M82" s="131">
        <f>VLOOKUP("Restricciones PBF",$Q$86:$AE$102,12,FALSE)</f>
        <v>0.76</v>
      </c>
      <c r="N82" s="131">
        <f>VLOOKUP("Restricciones PBF",$Q$86:$AE$102,13,FALSE)</f>
        <v>1.06</v>
      </c>
      <c r="O82" s="131">
        <f>VLOOKUP("Restricciones PBF",$Q$86:$AE$102,14,FALSE)</f>
        <v>1.07</v>
      </c>
      <c r="P82" s="126"/>
      <c r="Q82" s="109" t="s">
        <v>100</v>
      </c>
      <c r="R82" s="109">
        <v>201701</v>
      </c>
      <c r="S82" s="109">
        <v>201702</v>
      </c>
      <c r="T82" s="109">
        <v>201703</v>
      </c>
      <c r="U82" s="109">
        <v>201704</v>
      </c>
      <c r="V82" s="109">
        <v>201705</v>
      </c>
      <c r="W82" s="109">
        <v>201706</v>
      </c>
      <c r="X82" s="109">
        <v>201707</v>
      </c>
      <c r="Y82" s="109">
        <v>201708</v>
      </c>
      <c r="Z82" s="109">
        <v>201709</v>
      </c>
      <c r="AA82" s="109">
        <v>201710</v>
      </c>
      <c r="AB82" s="109">
        <v>201711</v>
      </c>
      <c r="AC82" s="109">
        <v>201712</v>
      </c>
      <c r="AD82" s="109">
        <v>201801</v>
      </c>
      <c r="AE82" s="130"/>
      <c r="AF82" s="126"/>
    </row>
    <row r="83" spans="2:32">
      <c r="B83" s="109" t="s">
        <v>28</v>
      </c>
      <c r="C83" s="131">
        <f>VLOOKUP("Restricciones TR",$Q$86:$AE$102,2,FALSE)</f>
        <v>0.17</v>
      </c>
      <c r="D83" s="131">
        <f>VLOOKUP("Restricciones TR",$Q$86:$AE$102,3,FALSE)</f>
        <v>0.24</v>
      </c>
      <c r="E83" s="131">
        <f>VLOOKUP("Restricciones TR",$Q$86:$AE$102,4,FALSE)</f>
        <v>0.14000000000000001</v>
      </c>
      <c r="F83" s="131">
        <f>VLOOKUP("Restricciones TR",$Q$86:$AE$102,5,FALSE)</f>
        <v>0.09</v>
      </c>
      <c r="G83" s="131">
        <f>VLOOKUP("Restricciones TR",$Q$86:$AE$102,6,FALSE)</f>
        <v>0.03</v>
      </c>
      <c r="H83" s="131">
        <f>VLOOKUP("Restricciones TR",$Q$86:$AE$102,7,FALSE)</f>
        <v>0.02</v>
      </c>
      <c r="I83" s="131">
        <f>VLOOKUP("Restricciones TR",$Q$86:$AE$102,8,FALSE)</f>
        <v>0.05</v>
      </c>
      <c r="J83" s="131">
        <f>VLOOKUP("Restricciones TR",$Q$86:$AE$102,9,FALSE)</f>
        <v>0.05</v>
      </c>
      <c r="K83" s="131">
        <f>VLOOKUP("Restricciones TR",$Q$86:$AE$102,10,FALSE)</f>
        <v>0.05</v>
      </c>
      <c r="L83" s="131">
        <f>VLOOKUP("Restricciones TR",$Q$86:$AE$102,11,FALSE)</f>
        <v>0.12</v>
      </c>
      <c r="M83" s="131">
        <f>VLOOKUP("Restricciones TR",$Q$86:$AE$102,12,FALSE)</f>
        <v>0.08</v>
      </c>
      <c r="N83" s="131">
        <f>VLOOKUP("Restricciones TR",$Q$86:$AE$102,13,FALSE)</f>
        <v>0.05</v>
      </c>
      <c r="O83" s="131">
        <f>VLOOKUP("Restricciones TR",$Q$86:$AE$102,14,FALSE)</f>
        <v>0.05</v>
      </c>
      <c r="P83" s="126"/>
      <c r="Q83" s="109" t="s">
        <v>101</v>
      </c>
      <c r="R83" s="109" t="s">
        <v>202</v>
      </c>
      <c r="S83" s="109" t="s">
        <v>203</v>
      </c>
      <c r="T83" s="109" t="s">
        <v>204</v>
      </c>
      <c r="U83" s="109" t="s">
        <v>205</v>
      </c>
      <c r="V83" s="109" t="s">
        <v>206</v>
      </c>
      <c r="W83" s="109" t="s">
        <v>207</v>
      </c>
      <c r="X83" s="109" t="s">
        <v>208</v>
      </c>
      <c r="Y83" s="109" t="s">
        <v>209</v>
      </c>
      <c r="Z83" s="109" t="s">
        <v>210</v>
      </c>
      <c r="AA83" s="109" t="s">
        <v>211</v>
      </c>
      <c r="AB83" s="109" t="s">
        <v>212</v>
      </c>
      <c r="AC83" s="109" t="s">
        <v>213</v>
      </c>
      <c r="AD83" s="109" t="s">
        <v>214</v>
      </c>
      <c r="AE83" s="130"/>
      <c r="AF83" s="126"/>
    </row>
    <row r="84" spans="2:32">
      <c r="B84" s="109" t="s">
        <v>27</v>
      </c>
      <c r="C84" s="131">
        <f>VLOOKUP("Reserva subir",$Q$86:$AE$102,2,FALSE)</f>
        <v>0.27</v>
      </c>
      <c r="D84" s="131">
        <f>VLOOKUP("Reserva subir",$Q$86:$AE$102,3,FALSE)</f>
        <v>0.02</v>
      </c>
      <c r="E84" s="131">
        <f>VLOOKUP("Reserva subir",$Q$86:$AE$102,4,FALSE)</f>
        <v>7.0000000000000007E-2</v>
      </c>
      <c r="F84" s="131">
        <f>VLOOKUP("Reserva subir",$Q$86:$AE$102,5,FALSE)</f>
        <v>0.01</v>
      </c>
      <c r="G84" s="131">
        <f>VLOOKUP("Reserva subir",$Q$86:$AE$102,6,FALSE)</f>
        <v>0</v>
      </c>
      <c r="H84" s="131">
        <f>VLOOKUP("Reserva subir",$Q$86:$AE$102,7,FALSE)</f>
        <v>0.01</v>
      </c>
      <c r="I84" s="131">
        <f>VLOOKUP("Reserva subir",$Q$86:$AE$102,8,FALSE)</f>
        <v>0</v>
      </c>
      <c r="J84" s="131">
        <f>VLOOKUP("Reserva subir",$Q$86:$AE$102,9,FALSE)</f>
        <v>0.02</v>
      </c>
      <c r="K84" s="131">
        <f>VLOOKUP("Reserva subir",$Q$86:$AE$102,10,FALSE)</f>
        <v>0.03</v>
      </c>
      <c r="L84" s="131">
        <f>VLOOKUP("Reserva subir",$Q$86:$AE$102,11,FALSE)</f>
        <v>0.66</v>
      </c>
      <c r="M84" s="131">
        <f>VLOOKUP("Reserva subir",$Q$86:$AE$102,12,FALSE)</f>
        <v>0.17</v>
      </c>
      <c r="N84" s="131">
        <f>VLOOKUP("Reserva subir",$Q$86:$AE$102,13,FALSE)</f>
        <v>0.03</v>
      </c>
      <c r="O84" s="131">
        <f>VLOOKUP("Reserva subir",$Q$86:$AE$102,14,FALSE)</f>
        <v>0.02</v>
      </c>
      <c r="P84" s="126"/>
      <c r="Q84" s="109" t="s">
        <v>102</v>
      </c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2"/>
      <c r="AF84" s="126"/>
    </row>
    <row r="85" spans="2:32">
      <c r="B85" s="109" t="s">
        <v>14</v>
      </c>
      <c r="C85" s="131">
        <f>VLOOKUP("Banda Secundaria",$Q$86:$AE$102,2,FALSE)</f>
        <v>0.87</v>
      </c>
      <c r="D85" s="131">
        <f>VLOOKUP("Banda Secundaria",$Q$86:$AE$102,3,FALSE)</f>
        <v>0.65</v>
      </c>
      <c r="E85" s="131">
        <f>VLOOKUP("Banda Secundaria",$Q$86:$AE$102,4,FALSE)</f>
        <v>0.52</v>
      </c>
      <c r="F85" s="131">
        <f>VLOOKUP("Banda Secundaria",$Q$86:$AE$102,5,FALSE)</f>
        <v>0.69</v>
      </c>
      <c r="G85" s="131">
        <f>VLOOKUP("Banda Secundaria",$Q$86:$AE$102,6,FALSE)</f>
        <v>0.65</v>
      </c>
      <c r="H85" s="131">
        <f>VLOOKUP("Banda Secundaria",$Q$86:$AE$102,7,FALSE)</f>
        <v>0.5</v>
      </c>
      <c r="I85" s="131">
        <f>VLOOKUP("Banda Secundaria",$Q$86:$AE$102,8,FALSE)</f>
        <v>0.43</v>
      </c>
      <c r="J85" s="131">
        <f>VLOOKUP("Banda Secundaria",$Q$86:$AE$102,9,FALSE)</f>
        <v>0.46</v>
      </c>
      <c r="K85" s="131">
        <f>VLOOKUP("Banda Secundaria",$Q$86:$AE$102,10,FALSE)</f>
        <v>0.47</v>
      </c>
      <c r="L85" s="131">
        <f>VLOOKUP("Banda Secundaria",$Q$86:$AE$102,11,FALSE)</f>
        <v>0.82</v>
      </c>
      <c r="M85" s="131">
        <f>VLOOKUP("Banda Secundaria",$Q$86:$AE$102,12,FALSE)</f>
        <v>0.61</v>
      </c>
      <c r="N85" s="131">
        <f>VLOOKUP("Banda Secundaria",$Q$86:$AE$102,13,FALSE)</f>
        <v>0.95</v>
      </c>
      <c r="O85" s="131">
        <f>VLOOKUP("Banda Secundaria",$Q$86:$AE$102,14,FALSE)</f>
        <v>0.7</v>
      </c>
      <c r="P85" s="126"/>
      <c r="Q85" s="109" t="s">
        <v>103</v>
      </c>
      <c r="R85" s="131">
        <v>23054073.153999999</v>
      </c>
      <c r="S85" s="131">
        <v>19942324.664999999</v>
      </c>
      <c r="T85" s="131">
        <v>21063017.844000001</v>
      </c>
      <c r="U85" s="131">
        <v>18914128.116</v>
      </c>
      <c r="V85" s="131">
        <v>20167805.75</v>
      </c>
      <c r="W85" s="131">
        <v>21659422.431000002</v>
      </c>
      <c r="X85" s="131">
        <v>22392858.405999999</v>
      </c>
      <c r="Y85" s="131">
        <v>21750224.324999999</v>
      </c>
      <c r="Z85" s="131">
        <v>20122245.394000001</v>
      </c>
      <c r="AA85" s="131">
        <v>20038949.546999998</v>
      </c>
      <c r="AB85" s="131">
        <v>20810624.579</v>
      </c>
      <c r="AC85" s="131">
        <v>22106317.327</v>
      </c>
      <c r="AD85" s="131">
        <v>22520789.851</v>
      </c>
      <c r="AE85" s="133"/>
      <c r="AF85" s="126"/>
    </row>
    <row r="86" spans="2:32">
      <c r="B86" s="109" t="s">
        <v>57</v>
      </c>
      <c r="C86" s="131">
        <f>VLOOKUP("Coste desvíos",$Q$86:$AE$102,2,FALSE)+VLOOKUP("Saldo PO 14.6",$Q$86:$AE$102,2,FALSE)</f>
        <v>0.32999999999999996</v>
      </c>
      <c r="D86" s="131">
        <f>VLOOKUP("Coste desvíos",$Q$86:$AE$102,3,FALSE)+VLOOKUP("Saldo PO 14.6",$Q$86:$AE$102,3,FALSE)</f>
        <v>0.37</v>
      </c>
      <c r="E86" s="131">
        <f>VLOOKUP("Coste desvíos",$Q$86:$AE$102,4,FALSE)+VLOOKUP("Saldo PO 14.6",$Q$86:$AE$102,4,FALSE)</f>
        <v>0.34</v>
      </c>
      <c r="F86" s="131">
        <f>VLOOKUP("Coste desvíos",$Q$86:$AE$102,5,FALSE)+VLOOKUP("Saldo PO 14.6",$Q$86:$AE$102,5,FALSE)</f>
        <v>0.27</v>
      </c>
      <c r="G86" s="131">
        <f>VLOOKUP("Coste desvíos",$Q$86:$AE$102,6,FALSE)+VLOOKUP("Saldo PO 14.6",$Q$86:$AE$102,6,FALSE)</f>
        <v>0.15000000000000002</v>
      </c>
      <c r="H86" s="131">
        <f>VLOOKUP("Coste desvíos",$Q$86:$AE$102,7,FALSE)+VLOOKUP("Saldo PO 14.6",$Q$86:$AE$102,7,FALSE)</f>
        <v>0.18000000000000002</v>
      </c>
      <c r="I86" s="131">
        <f>VLOOKUP("Coste desvíos",$Q$86:$AE$102,8,FALSE)+VLOOKUP("Saldo PO 14.6",$Q$86:$AE$102,8,FALSE)</f>
        <v>0.17</v>
      </c>
      <c r="J86" s="131">
        <f>VLOOKUP("Coste desvíos",$Q$86:$AE$102,9,FALSE)+VLOOKUP("Saldo PO 14.6",$Q$86:$AE$102,9,FALSE)</f>
        <v>0.24000000000000002</v>
      </c>
      <c r="K86" s="131">
        <f>VLOOKUP("Coste desvíos",$Q$86:$AE$102,10,FALSE)+VLOOKUP("Saldo PO 14.6",$Q$86:$AE$102,10,FALSE)</f>
        <v>0.24000000000000002</v>
      </c>
      <c r="L86" s="131">
        <f>VLOOKUP("Coste desvíos",$Q$86:$AE$102,11,FALSE)+VLOOKUP("Saldo PO 14.6",$Q$86:$AE$102,11,FALSE)</f>
        <v>0.26</v>
      </c>
      <c r="M86" s="131">
        <f>VLOOKUP("Coste desvíos",$Q$86:$AE$102,12,FALSE)+VLOOKUP("Saldo PO 14.6",$Q$86:$AE$102,12,FALSE)</f>
        <v>0.16</v>
      </c>
      <c r="N86" s="131">
        <f>VLOOKUP("Coste desvíos",$Q$86:$AE$102,13,FALSE)+VLOOKUP("Saldo PO 14.6",$Q$86:$AE$102,13,FALSE)</f>
        <v>0.3</v>
      </c>
      <c r="O86" s="131">
        <f>VLOOKUP("Coste desvíos",$Q$86:$AE$102,14,FALSE)+VLOOKUP("Saldo PO 14.6",$Q$86:$AE$102,14,FALSE)</f>
        <v>0.27</v>
      </c>
      <c r="P86" s="126"/>
      <c r="Q86" s="109" t="s">
        <v>104</v>
      </c>
      <c r="R86" s="131">
        <v>100</v>
      </c>
      <c r="S86" s="131">
        <v>100</v>
      </c>
      <c r="T86" s="131">
        <v>100</v>
      </c>
      <c r="U86" s="131">
        <v>100</v>
      </c>
      <c r="V86" s="131">
        <v>100</v>
      </c>
      <c r="W86" s="131">
        <v>100</v>
      </c>
      <c r="X86" s="131">
        <v>100</v>
      </c>
      <c r="Y86" s="131">
        <v>100</v>
      </c>
      <c r="Z86" s="131">
        <v>100</v>
      </c>
      <c r="AA86" s="131">
        <v>100</v>
      </c>
      <c r="AB86" s="131">
        <v>100</v>
      </c>
      <c r="AC86" s="131">
        <v>100</v>
      </c>
      <c r="AD86" s="131">
        <v>100</v>
      </c>
      <c r="AE86" s="134"/>
      <c r="AF86" s="126"/>
    </row>
    <row r="87" spans="2:32">
      <c r="B87" s="109" t="s">
        <v>18</v>
      </c>
      <c r="C87" s="131">
        <f>VLOOKUP("Saldo desvíos",$Q$86:$AE$102,2,FALSE)+VLOOKUP("Incumplimiento energía balance",$Q$86:$AE$102,2,FALSE)</f>
        <v>-0.16</v>
      </c>
      <c r="D87" s="131">
        <f>VLOOKUP("Saldo desvíos",$Q$86:$AE$102,3,FALSE)+VLOOKUP("Incumplimiento energía balance",$Q$86:$AE$102,3,FALSE)</f>
        <v>-0.19</v>
      </c>
      <c r="E87" s="131">
        <f>VLOOKUP("Saldo desvíos",$Q$86:$AE$102,4,FALSE)+VLOOKUP("Incumplimiento energía balance",$Q$86:$AE$102,4,FALSE)</f>
        <v>-0.1</v>
      </c>
      <c r="F87" s="131">
        <f>VLOOKUP("Saldo desvíos",$Q$86:$AE$102,5,FALSE)+VLOOKUP("Incumplimiento energía balance",$Q$86:$AE$102,5,FALSE)</f>
        <v>-0.13</v>
      </c>
      <c r="G87" s="131">
        <f>VLOOKUP("Saldo desvíos",$Q$86:$AE$102,6,FALSE)+VLOOKUP("Incumplimiento energía balance",$Q$86:$AE$102,6,FALSE)</f>
        <v>-0.1</v>
      </c>
      <c r="H87" s="131">
        <f>VLOOKUP("Saldo desvíos",$Q$86:$AE$102,7,FALSE)+VLOOKUP("Incumplimiento energía balance",$Q$86:$AE$102,7,FALSE)</f>
        <v>-0.11</v>
      </c>
      <c r="I87" s="131">
        <f>VLOOKUP("Saldo desvíos",$Q$86:$AE$102,8,FALSE)+VLOOKUP("Incumplimiento energía balance",$Q$86:$AE$102,8,FALSE)</f>
        <v>-0.09</v>
      </c>
      <c r="J87" s="131">
        <f>VLOOKUP("Saldo desvíos",$Q$86:$AE$102,9,FALSE)+VLOOKUP("Incumplimiento energía balance",$Q$86:$AE$102,9,FALSE)</f>
        <v>-9.0000000000000011E-2</v>
      </c>
      <c r="K87" s="131">
        <f>VLOOKUP("Saldo desvíos",$Q$86:$AE$102,10,FALSE)+VLOOKUP("Incumplimiento energía balance",$Q$86:$AE$102,10,FALSE)</f>
        <v>-9.0000000000000011E-2</v>
      </c>
      <c r="L87" s="131">
        <f>VLOOKUP("Saldo desvíos",$Q$86:$AE$102,11,FALSE)+VLOOKUP("Incumplimiento energía balance",$Q$86:$AE$102,11,FALSE)</f>
        <v>-0.15</v>
      </c>
      <c r="M87" s="131">
        <f>VLOOKUP("Saldo desvíos",$Q$86:$AE$102,12,FALSE)+VLOOKUP("Incumplimiento energía balance",$Q$86:$AE$102,12,FALSE)</f>
        <v>-6.0000000000000005E-2</v>
      </c>
      <c r="N87" s="131">
        <f>VLOOKUP("Saldo desvíos",$Q$86:$AE$102,13,FALSE)+VLOOKUP("Incumplimiento energía balance",$Q$86:$AE$102,13,FALSE)</f>
        <v>-7.0000000000000007E-2</v>
      </c>
      <c r="O87" s="131">
        <f>VLOOKUP("Saldo desvíos",$Q$86:$AE$102,14,FALSE)+VLOOKUP("Incumplimiento energía balance",$Q$86:$AE$102,14,FALSE)</f>
        <v>-0.09</v>
      </c>
      <c r="P87" s="126"/>
      <c r="Q87" s="109" t="s">
        <v>105</v>
      </c>
      <c r="R87" s="131">
        <v>73.56</v>
      </c>
      <c r="S87" s="131">
        <v>53.04</v>
      </c>
      <c r="T87" s="131">
        <v>43.93</v>
      </c>
      <c r="U87" s="131">
        <v>44.2</v>
      </c>
      <c r="V87" s="131">
        <v>47.6</v>
      </c>
      <c r="W87" s="131">
        <v>50.77</v>
      </c>
      <c r="X87" s="131">
        <v>49.14</v>
      </c>
      <c r="Y87" s="131">
        <v>48.04</v>
      </c>
      <c r="Z87" s="131">
        <v>49.55</v>
      </c>
      <c r="AA87" s="131">
        <v>57.63</v>
      </c>
      <c r="AB87" s="131">
        <v>60.52</v>
      </c>
      <c r="AC87" s="131">
        <v>60.16</v>
      </c>
      <c r="AD87" s="131">
        <v>51.78</v>
      </c>
      <c r="AE87" s="134"/>
      <c r="AF87" s="126"/>
    </row>
    <row r="88" spans="2:32">
      <c r="B88" s="111" t="s">
        <v>25</v>
      </c>
      <c r="C88" s="135">
        <f>VLOOKUP("Control del factor de potencia",$Q$86:$AE$102,2,FALSE)</f>
        <v>-7.0000000000000007E-2</v>
      </c>
      <c r="D88" s="135">
        <f>VLOOKUP("Control del factor de potencia",$Q$86:$AE$102,3,FALSE)</f>
        <v>-7.0000000000000007E-2</v>
      </c>
      <c r="E88" s="135">
        <f>VLOOKUP("Control del factor de potencia",$Q$86:$AE$102,4,FALSE)</f>
        <v>-0.06</v>
      </c>
      <c r="F88" s="135">
        <f>VLOOKUP("Control del factor de potencia",$Q$86:$AE$102,5,FALSE)</f>
        <v>-0.06</v>
      </c>
      <c r="G88" s="135">
        <f>VLOOKUP("Control del factor de potencia",$Q$86:$AE$102,6,FALSE)</f>
        <v>-0.05</v>
      </c>
      <c r="H88" s="135">
        <f>VLOOKUP("Control del factor de potencia",$Q$86:$AE$102,7,FALSE)</f>
        <v>-0.05</v>
      </c>
      <c r="I88" s="135">
        <f>VLOOKUP("Control del factor de potencia",$Q$86:$AE$102,8,FALSE)</f>
        <v>-0.05</v>
      </c>
      <c r="J88" s="135">
        <f>VLOOKUP("Control del factor de potencia",$Q$86:$AE$102,9,FALSE)</f>
        <v>-0.05</v>
      </c>
      <c r="K88" s="135">
        <f>VLOOKUP("Control del factor de potencia",$Q$86:$AE$102,10,FALSE)</f>
        <v>-0.05</v>
      </c>
      <c r="L88" s="135">
        <f>VLOOKUP("Control del factor de potencia",$Q$86:$AE$102,11,FALSE)</f>
        <v>-0.06</v>
      </c>
      <c r="M88" s="135">
        <f>VLOOKUP("Control del factor de potencia",$Q$86:$AE$102,12,FALSE)</f>
        <v>-0.06</v>
      </c>
      <c r="N88" s="135">
        <f>VLOOKUP("Control del factor de potencia",$Q$86:$AE$102,13,FALSE)</f>
        <v>-0.08</v>
      </c>
      <c r="O88" s="135">
        <f>VLOOKUP("Control del factor de potencia",$Q$86:$AE$102,14,FALSE)</f>
        <v>-7.0000000000000007E-2</v>
      </c>
      <c r="P88" s="126"/>
      <c r="Q88" s="109" t="s">
        <v>106</v>
      </c>
      <c r="R88" s="131">
        <v>1.48</v>
      </c>
      <c r="S88" s="131">
        <v>1.82</v>
      </c>
      <c r="T88" s="131">
        <v>2.2200000000000002</v>
      </c>
      <c r="U88" s="131">
        <v>2.4</v>
      </c>
      <c r="V88" s="131">
        <v>1.45</v>
      </c>
      <c r="W88" s="131">
        <v>0.69</v>
      </c>
      <c r="X88" s="131">
        <v>1.1399999999999999</v>
      </c>
      <c r="Y88" s="131">
        <v>1.86</v>
      </c>
      <c r="Z88" s="131">
        <v>1.55</v>
      </c>
      <c r="AA88" s="131">
        <v>1.1399999999999999</v>
      </c>
      <c r="AB88" s="131">
        <v>0.76</v>
      </c>
      <c r="AC88" s="131">
        <v>1.06</v>
      </c>
      <c r="AD88" s="131">
        <v>1.07</v>
      </c>
      <c r="AE88" s="134"/>
      <c r="AF88" s="126"/>
    </row>
    <row r="89" spans="2:32">
      <c r="B89" s="126"/>
      <c r="C89" s="183">
        <f t="shared" ref="C89:O89" si="3">SUM(C82:C88)</f>
        <v>2.89</v>
      </c>
      <c r="D89" s="183">
        <f t="shared" si="3"/>
        <v>2.8400000000000003</v>
      </c>
      <c r="E89" s="183">
        <f t="shared" si="3"/>
        <v>3.13</v>
      </c>
      <c r="F89" s="183">
        <f t="shared" si="3"/>
        <v>3.2699999999999996</v>
      </c>
      <c r="G89" s="183">
        <f t="shared" si="3"/>
        <v>2.13</v>
      </c>
      <c r="H89" s="183">
        <f t="shared" si="3"/>
        <v>1.2399999999999998</v>
      </c>
      <c r="I89" s="183">
        <f t="shared" si="3"/>
        <v>1.6499999999999997</v>
      </c>
      <c r="J89" s="183">
        <f t="shared" si="3"/>
        <v>2.4900000000000007</v>
      </c>
      <c r="K89" s="183">
        <f t="shared" si="3"/>
        <v>2.2000000000000006</v>
      </c>
      <c r="L89" s="183">
        <f t="shared" si="3"/>
        <v>2.79</v>
      </c>
      <c r="M89" s="183">
        <f t="shared" si="3"/>
        <v>1.66</v>
      </c>
      <c r="N89" s="183">
        <f t="shared" si="3"/>
        <v>2.2399999999999998</v>
      </c>
      <c r="O89" s="183">
        <f t="shared" si="3"/>
        <v>1.9500000000000004</v>
      </c>
      <c r="P89" s="126"/>
      <c r="Q89" s="109" t="s">
        <v>107</v>
      </c>
      <c r="R89" s="131">
        <v>0.17</v>
      </c>
      <c r="S89" s="131">
        <v>0.24</v>
      </c>
      <c r="T89" s="131">
        <v>0.14000000000000001</v>
      </c>
      <c r="U89" s="131">
        <v>0.09</v>
      </c>
      <c r="V89" s="131">
        <v>0.03</v>
      </c>
      <c r="W89" s="131">
        <v>0.02</v>
      </c>
      <c r="X89" s="131">
        <v>0.05</v>
      </c>
      <c r="Y89" s="131">
        <v>0.05</v>
      </c>
      <c r="Z89" s="131">
        <v>0.05</v>
      </c>
      <c r="AA89" s="131">
        <v>0.12</v>
      </c>
      <c r="AB89" s="131">
        <v>0.08</v>
      </c>
      <c r="AC89" s="131">
        <v>0.05</v>
      </c>
      <c r="AD89" s="131">
        <v>0.05</v>
      </c>
      <c r="AE89" s="134"/>
      <c r="AF89" s="126"/>
    </row>
    <row r="90" spans="2:32"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09" t="s">
        <v>108</v>
      </c>
      <c r="R90" s="131">
        <v>0.03</v>
      </c>
      <c r="S90" s="131">
        <v>0.01</v>
      </c>
      <c r="T90" s="131">
        <v>0.01</v>
      </c>
      <c r="U90" s="131">
        <v>0</v>
      </c>
      <c r="V90" s="131">
        <v>0</v>
      </c>
      <c r="W90" s="131">
        <v>0</v>
      </c>
      <c r="X90" s="131">
        <v>-0.01</v>
      </c>
      <c r="Y90" s="131">
        <v>-0.01</v>
      </c>
      <c r="Z90" s="131">
        <v>-0.03</v>
      </c>
      <c r="AA90" s="131">
        <v>-0.03</v>
      </c>
      <c r="AB90" s="131">
        <v>0.02</v>
      </c>
      <c r="AC90" s="131">
        <v>0</v>
      </c>
      <c r="AD90" s="131">
        <v>-0.01</v>
      </c>
      <c r="AE90" s="134"/>
      <c r="AF90" s="126"/>
    </row>
    <row r="91" spans="2:32">
      <c r="B91" s="12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09" t="s">
        <v>82</v>
      </c>
      <c r="N91" s="109"/>
      <c r="O91" s="174">
        <f>(O89-C89)/C89</f>
        <v>-0.32525951557093413</v>
      </c>
      <c r="P91" s="126"/>
      <c r="Q91" s="109" t="s">
        <v>109</v>
      </c>
      <c r="R91" s="131">
        <v>0</v>
      </c>
      <c r="S91" s="131">
        <v>0</v>
      </c>
      <c r="T91" s="131">
        <v>0</v>
      </c>
      <c r="U91" s="131">
        <v>0</v>
      </c>
      <c r="V91" s="131">
        <v>0</v>
      </c>
      <c r="W91" s="131">
        <v>0</v>
      </c>
      <c r="X91" s="131">
        <v>0</v>
      </c>
      <c r="Y91" s="131">
        <v>0</v>
      </c>
      <c r="Z91" s="131">
        <v>0</v>
      </c>
      <c r="AA91" s="131">
        <v>0</v>
      </c>
      <c r="AB91" s="131">
        <v>0</v>
      </c>
      <c r="AC91" s="131">
        <v>0</v>
      </c>
      <c r="AD91" s="131">
        <v>0</v>
      </c>
      <c r="AE91" s="134"/>
      <c r="AF91" s="126"/>
    </row>
    <row r="92" spans="2:32">
      <c r="B92" s="12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09" t="s">
        <v>83</v>
      </c>
      <c r="N92" s="109"/>
      <c r="O92" s="116"/>
      <c r="P92" s="126"/>
      <c r="Q92" s="109" t="s">
        <v>110</v>
      </c>
      <c r="R92" s="131">
        <v>0.27</v>
      </c>
      <c r="S92" s="131">
        <v>0.02</v>
      </c>
      <c r="T92" s="131">
        <v>7.0000000000000007E-2</v>
      </c>
      <c r="U92" s="131">
        <v>0.01</v>
      </c>
      <c r="V92" s="131">
        <v>0</v>
      </c>
      <c r="W92" s="131">
        <v>0.01</v>
      </c>
      <c r="X92" s="131">
        <v>0</v>
      </c>
      <c r="Y92" s="131">
        <v>0.02</v>
      </c>
      <c r="Z92" s="131">
        <v>0.03</v>
      </c>
      <c r="AA92" s="131">
        <v>0.66</v>
      </c>
      <c r="AB92" s="131">
        <v>0.17</v>
      </c>
      <c r="AC92" s="131">
        <v>0.03</v>
      </c>
      <c r="AD92" s="131">
        <v>0.02</v>
      </c>
      <c r="AE92" s="134"/>
      <c r="AF92" s="126"/>
    </row>
    <row r="93" spans="2:32">
      <c r="B93" s="126"/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26"/>
      <c r="Q93" s="109" t="s">
        <v>111</v>
      </c>
      <c r="R93" s="131">
        <v>0.87</v>
      </c>
      <c r="S93" s="131">
        <v>0.65</v>
      </c>
      <c r="T93" s="131">
        <v>0.52</v>
      </c>
      <c r="U93" s="131">
        <v>0.69</v>
      </c>
      <c r="V93" s="131">
        <v>0.65</v>
      </c>
      <c r="W93" s="131">
        <v>0.5</v>
      </c>
      <c r="X93" s="131">
        <v>0.43</v>
      </c>
      <c r="Y93" s="131">
        <v>0.46</v>
      </c>
      <c r="Z93" s="131">
        <v>0.47</v>
      </c>
      <c r="AA93" s="131">
        <v>0.82</v>
      </c>
      <c r="AB93" s="131">
        <v>0.61</v>
      </c>
      <c r="AC93" s="131">
        <v>0.95</v>
      </c>
      <c r="AD93" s="131">
        <v>0.7</v>
      </c>
      <c r="AE93" s="134"/>
      <c r="AF93" s="126"/>
    </row>
    <row r="94" spans="2:32">
      <c r="B94" s="12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26"/>
      <c r="Q94" s="109" t="s">
        <v>112</v>
      </c>
      <c r="R94" s="131">
        <v>-0.05</v>
      </c>
      <c r="S94" s="131">
        <v>-0.04</v>
      </c>
      <c r="T94" s="131">
        <v>-0.03</v>
      </c>
      <c r="U94" s="131">
        <v>-0.02</v>
      </c>
      <c r="V94" s="131">
        <v>-0.02</v>
      </c>
      <c r="W94" s="131">
        <v>-0.03</v>
      </c>
      <c r="X94" s="131">
        <v>-0.03</v>
      </c>
      <c r="Y94" s="131">
        <v>-0.02</v>
      </c>
      <c r="Z94" s="131">
        <v>-0.02</v>
      </c>
      <c r="AA94" s="131">
        <v>-0.04</v>
      </c>
      <c r="AB94" s="131">
        <v>-0.05</v>
      </c>
      <c r="AC94" s="131">
        <v>-0.05</v>
      </c>
      <c r="AD94" s="131">
        <v>-0.04</v>
      </c>
      <c r="AE94" s="134"/>
      <c r="AF94" s="126"/>
    </row>
    <row r="95" spans="2:32"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8"/>
      <c r="Q95" s="109" t="s">
        <v>113</v>
      </c>
      <c r="R95" s="131">
        <v>0.3</v>
      </c>
      <c r="S95" s="131">
        <v>0.37</v>
      </c>
      <c r="T95" s="131">
        <v>0.34</v>
      </c>
      <c r="U95" s="131">
        <v>0.25</v>
      </c>
      <c r="V95" s="131">
        <v>0.14000000000000001</v>
      </c>
      <c r="W95" s="131">
        <v>0.17</v>
      </c>
      <c r="X95" s="131">
        <v>0.17</v>
      </c>
      <c r="Y95" s="131">
        <v>0.23</v>
      </c>
      <c r="Z95" s="131">
        <v>0.23</v>
      </c>
      <c r="AA95" s="131">
        <v>0.25</v>
      </c>
      <c r="AB95" s="131">
        <v>0.13</v>
      </c>
      <c r="AC95" s="131">
        <v>0.3</v>
      </c>
      <c r="AD95" s="131">
        <v>0.24</v>
      </c>
      <c r="AE95" s="134"/>
      <c r="AF95" s="126"/>
    </row>
    <row r="96" spans="2:32"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09" t="s">
        <v>114</v>
      </c>
      <c r="R96" s="131">
        <v>-0.11</v>
      </c>
      <c r="S96" s="131">
        <v>-0.15</v>
      </c>
      <c r="T96" s="131">
        <v>-7.0000000000000007E-2</v>
      </c>
      <c r="U96" s="131">
        <v>-0.11</v>
      </c>
      <c r="V96" s="131">
        <v>-0.08</v>
      </c>
      <c r="W96" s="131">
        <v>-0.08</v>
      </c>
      <c r="X96" s="131">
        <v>-0.06</v>
      </c>
      <c r="Y96" s="131">
        <v>-7.0000000000000007E-2</v>
      </c>
      <c r="Z96" s="131">
        <v>-7.0000000000000007E-2</v>
      </c>
      <c r="AA96" s="131">
        <v>-0.11</v>
      </c>
      <c r="AB96" s="131">
        <v>-0.01</v>
      </c>
      <c r="AC96" s="131">
        <v>-0.02</v>
      </c>
      <c r="AD96" s="131">
        <v>-0.05</v>
      </c>
      <c r="AE96" s="134"/>
      <c r="AF96" s="126"/>
    </row>
    <row r="97" spans="2:32"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09" t="s">
        <v>25</v>
      </c>
      <c r="R97" s="131">
        <v>-7.0000000000000007E-2</v>
      </c>
      <c r="S97" s="131">
        <v>-7.0000000000000007E-2</v>
      </c>
      <c r="T97" s="131">
        <v>-0.06</v>
      </c>
      <c r="U97" s="131">
        <v>-0.06</v>
      </c>
      <c r="V97" s="131">
        <v>-0.05</v>
      </c>
      <c r="W97" s="131">
        <v>-0.05</v>
      </c>
      <c r="X97" s="131">
        <v>-0.05</v>
      </c>
      <c r="Y97" s="131">
        <v>-0.05</v>
      </c>
      <c r="Z97" s="131">
        <v>-0.05</v>
      </c>
      <c r="AA97" s="131">
        <v>-0.06</v>
      </c>
      <c r="AB97" s="131">
        <v>-0.06</v>
      </c>
      <c r="AC97" s="131">
        <v>-0.08</v>
      </c>
      <c r="AD97" s="131">
        <v>-7.0000000000000007E-2</v>
      </c>
      <c r="AE97" s="134"/>
      <c r="AF97" s="126"/>
    </row>
    <row r="98" spans="2:32">
      <c r="Q98" s="109" t="s">
        <v>115</v>
      </c>
      <c r="R98" s="131">
        <v>3.26</v>
      </c>
      <c r="S98" s="131">
        <v>3.17</v>
      </c>
      <c r="T98" s="131">
        <v>2.52</v>
      </c>
      <c r="U98" s="131">
        <v>2.38</v>
      </c>
      <c r="V98" s="131">
        <v>2.37</v>
      </c>
      <c r="W98" s="131">
        <v>2.9</v>
      </c>
      <c r="X98" s="131">
        <v>3.22</v>
      </c>
      <c r="Y98" s="131">
        <v>2.16</v>
      </c>
      <c r="Z98" s="131">
        <v>2.41</v>
      </c>
      <c r="AA98" s="131">
        <v>2.41</v>
      </c>
      <c r="AB98" s="131">
        <v>2.58</v>
      </c>
      <c r="AC98" s="131">
        <v>3.15</v>
      </c>
      <c r="AD98" s="131">
        <v>3.3</v>
      </c>
      <c r="AE98" s="134"/>
    </row>
    <row r="99" spans="2:32">
      <c r="Q99" s="109" t="s">
        <v>40</v>
      </c>
      <c r="R99" s="131">
        <v>1.88</v>
      </c>
      <c r="S99" s="131">
        <v>2.17</v>
      </c>
      <c r="T99" s="131">
        <v>2.06</v>
      </c>
      <c r="U99" s="131">
        <v>2.2799999999999998</v>
      </c>
      <c r="V99" s="131">
        <v>2.15</v>
      </c>
      <c r="W99" s="131">
        <v>2</v>
      </c>
      <c r="X99" s="131">
        <v>1.93</v>
      </c>
      <c r="Y99" s="131">
        <v>1.99</v>
      </c>
      <c r="Z99" s="131">
        <v>2.14</v>
      </c>
      <c r="AA99" s="131">
        <v>2.16</v>
      </c>
      <c r="AB99" s="131">
        <v>2.08</v>
      </c>
      <c r="AC99" s="131">
        <v>1.96</v>
      </c>
      <c r="AD99" s="131">
        <v>1.38</v>
      </c>
      <c r="AE99" s="134"/>
    </row>
    <row r="100" spans="2:32">
      <c r="Q100" s="109" t="s">
        <v>116</v>
      </c>
      <c r="R100" s="131">
        <v>0.03</v>
      </c>
      <c r="S100" s="131">
        <v>0</v>
      </c>
      <c r="T100" s="131">
        <v>0</v>
      </c>
      <c r="U100" s="131">
        <v>0.02</v>
      </c>
      <c r="V100" s="131">
        <v>0.01</v>
      </c>
      <c r="W100" s="131">
        <v>0.01</v>
      </c>
      <c r="X100" s="131">
        <v>0</v>
      </c>
      <c r="Y100" s="131">
        <v>0.01</v>
      </c>
      <c r="Z100" s="131">
        <v>0.01</v>
      </c>
      <c r="AA100" s="131">
        <v>0.01</v>
      </c>
      <c r="AB100" s="131">
        <v>0.03</v>
      </c>
      <c r="AC100" s="131">
        <v>0</v>
      </c>
      <c r="AD100" s="131">
        <v>0.03</v>
      </c>
      <c r="AE100" s="134"/>
    </row>
    <row r="101" spans="2:32">
      <c r="Q101" s="109" t="s">
        <v>117</v>
      </c>
      <c r="R101" s="131">
        <v>0</v>
      </c>
      <c r="S101" s="131">
        <v>0</v>
      </c>
      <c r="T101" s="131">
        <v>0</v>
      </c>
      <c r="U101" s="131">
        <v>0</v>
      </c>
      <c r="V101" s="131">
        <v>0</v>
      </c>
      <c r="W101" s="131">
        <v>0</v>
      </c>
      <c r="X101" s="131">
        <v>0</v>
      </c>
      <c r="Y101" s="131">
        <v>0</v>
      </c>
      <c r="Z101" s="131">
        <v>0</v>
      </c>
      <c r="AA101" s="131">
        <v>0</v>
      </c>
      <c r="AB101" s="131">
        <v>0</v>
      </c>
      <c r="AC101" s="131">
        <v>0</v>
      </c>
      <c r="AD101" s="131">
        <v>0</v>
      </c>
      <c r="AE101" s="134"/>
    </row>
    <row r="102" spans="2:32">
      <c r="Q102" s="109" t="s">
        <v>118</v>
      </c>
      <c r="R102" s="131">
        <v>81.62</v>
      </c>
      <c r="S102" s="131">
        <v>61.23</v>
      </c>
      <c r="T102" s="131">
        <v>51.65</v>
      </c>
      <c r="U102" s="131">
        <v>52.13</v>
      </c>
      <c r="V102" s="131">
        <v>54.25</v>
      </c>
      <c r="W102" s="131">
        <v>56.91</v>
      </c>
      <c r="X102" s="131">
        <v>55.93</v>
      </c>
      <c r="Y102" s="131">
        <v>54.67</v>
      </c>
      <c r="Z102" s="131">
        <v>56.27</v>
      </c>
      <c r="AA102" s="131">
        <v>64.959999999999994</v>
      </c>
      <c r="AB102" s="131">
        <v>66.86</v>
      </c>
      <c r="AC102" s="131">
        <v>67.510000000000005</v>
      </c>
      <c r="AD102" s="131">
        <v>58.4</v>
      </c>
    </row>
    <row r="104" spans="2:32">
      <c r="B104" s="106" t="s">
        <v>154</v>
      </c>
      <c r="C104" s="106"/>
      <c r="D104" s="106"/>
      <c r="E104" s="106"/>
      <c r="F104" s="106"/>
      <c r="G104" s="106"/>
      <c r="H104" s="106"/>
      <c r="I104" s="128"/>
    </row>
    <row r="105" spans="2:32">
      <c r="B105" s="108" t="s">
        <v>119</v>
      </c>
      <c r="C105" s="108" t="s">
        <v>214</v>
      </c>
      <c r="D105" s="108" t="s">
        <v>214</v>
      </c>
      <c r="E105" s="108"/>
      <c r="F105" s="108" t="s">
        <v>119</v>
      </c>
      <c r="G105" s="108" t="s">
        <v>202</v>
      </c>
      <c r="H105" s="108" t="s">
        <v>202</v>
      </c>
      <c r="I105" s="109"/>
    </row>
    <row r="106" spans="2:32">
      <c r="B106" s="108" t="s">
        <v>32</v>
      </c>
      <c r="C106" s="108" t="s">
        <v>120</v>
      </c>
      <c r="D106" s="108" t="s">
        <v>121</v>
      </c>
      <c r="E106" s="108"/>
      <c r="F106" s="108" t="s">
        <v>32</v>
      </c>
      <c r="G106" s="108" t="s">
        <v>120</v>
      </c>
      <c r="H106" s="108" t="s">
        <v>121</v>
      </c>
      <c r="I106" s="109"/>
    </row>
    <row r="107" spans="2:32">
      <c r="B107" s="109" t="s">
        <v>215</v>
      </c>
      <c r="C107" s="131"/>
      <c r="D107" s="131"/>
      <c r="E107" s="131"/>
      <c r="F107" s="109" t="s">
        <v>215</v>
      </c>
      <c r="G107" s="109"/>
      <c r="H107" s="109"/>
      <c r="I107" s="109"/>
    </row>
    <row r="108" spans="2:32">
      <c r="B108" s="109" t="s">
        <v>216</v>
      </c>
      <c r="C108" s="131">
        <v>24181095.84</v>
      </c>
      <c r="D108" s="131">
        <v>-24176632.920000002</v>
      </c>
      <c r="E108" s="131"/>
      <c r="F108" s="109" t="s">
        <v>216</v>
      </c>
      <c r="G108" s="131">
        <v>34120596.759999998</v>
      </c>
      <c r="H108" s="131">
        <v>-34120343.869999997</v>
      </c>
      <c r="I108" s="131"/>
    </row>
    <row r="109" spans="2:32">
      <c r="B109" s="109" t="s">
        <v>217</v>
      </c>
      <c r="C109" s="131">
        <v>440078.33</v>
      </c>
      <c r="D109" s="131">
        <v>-440078.33</v>
      </c>
      <c r="E109" s="131"/>
      <c r="F109" s="109" t="s">
        <v>217</v>
      </c>
      <c r="G109" s="131">
        <v>6359772.6200000001</v>
      </c>
      <c r="H109" s="131">
        <v>-6359772.6200000001</v>
      </c>
      <c r="I109" s="131"/>
    </row>
    <row r="110" spans="2:32">
      <c r="B110" s="109" t="s">
        <v>218</v>
      </c>
      <c r="C110" s="131">
        <v>15769397.050000001</v>
      </c>
      <c r="D110" s="131">
        <v>-15769397.050000001</v>
      </c>
      <c r="E110" s="131"/>
      <c r="F110" s="109" t="s">
        <v>218</v>
      </c>
      <c r="G110" s="131">
        <v>19948422.27</v>
      </c>
      <c r="H110" s="131">
        <v>-19948422.27</v>
      </c>
      <c r="I110" s="131"/>
    </row>
    <row r="111" spans="2:32">
      <c r="B111" s="109" t="s">
        <v>219</v>
      </c>
      <c r="C111" s="131">
        <v>1259425.3799999999</v>
      </c>
      <c r="D111" s="131">
        <v>-1221928.6100000001</v>
      </c>
      <c r="E111" s="131"/>
      <c r="F111" s="109" t="s">
        <v>219</v>
      </c>
      <c r="G111" s="131">
        <v>3824367.68</v>
      </c>
      <c r="H111" s="131">
        <v>-3808784.16</v>
      </c>
      <c r="I111" s="131"/>
    </row>
    <row r="112" spans="2:32">
      <c r="B112" s="109" t="s">
        <v>220</v>
      </c>
      <c r="C112" s="131" t="s">
        <v>187</v>
      </c>
      <c r="D112" s="131">
        <v>127031.88</v>
      </c>
      <c r="E112" s="131"/>
      <c r="F112" s="109" t="s">
        <v>220</v>
      </c>
      <c r="G112" s="131" t="s">
        <v>187</v>
      </c>
      <c r="H112" s="131">
        <v>197362.38</v>
      </c>
      <c r="I112" s="131"/>
    </row>
    <row r="113" spans="2:9">
      <c r="B113" s="109" t="s">
        <v>88</v>
      </c>
      <c r="C113" s="131">
        <v>2865339.55</v>
      </c>
      <c r="D113" s="131">
        <v>1569467.15</v>
      </c>
      <c r="E113" s="131"/>
      <c r="F113" s="109" t="s">
        <v>88</v>
      </c>
      <c r="G113" s="131">
        <v>2661134.5699999998</v>
      </c>
      <c r="H113" s="131">
        <v>10205829.09</v>
      </c>
      <c r="I113" s="131"/>
    </row>
    <row r="114" spans="2:9">
      <c r="B114" s="109" t="s">
        <v>3</v>
      </c>
      <c r="C114" s="131">
        <v>5149709.3099999996</v>
      </c>
      <c r="D114" s="131">
        <v>6536862.4699999997</v>
      </c>
      <c r="E114" s="131"/>
      <c r="F114" s="109" t="s">
        <v>3</v>
      </c>
      <c r="G114" s="131">
        <v>7471688.0199999996</v>
      </c>
      <c r="H114" s="131">
        <v>17442204.07</v>
      </c>
      <c r="I114" s="131"/>
    </row>
    <row r="115" spans="2:9">
      <c r="B115" s="109" t="s">
        <v>221</v>
      </c>
      <c r="C115" s="131">
        <v>805228.01</v>
      </c>
      <c r="D115" s="131" t="s">
        <v>187</v>
      </c>
      <c r="E115" s="131"/>
      <c r="F115" s="109" t="s">
        <v>221</v>
      </c>
      <c r="G115" s="131">
        <v>1180650.8400000001</v>
      </c>
      <c r="H115" s="131" t="s">
        <v>187</v>
      </c>
      <c r="I115" s="131"/>
    </row>
    <row r="116" spans="2:9">
      <c r="B116" s="109" t="s">
        <v>136</v>
      </c>
      <c r="C116" s="131">
        <v>4836187.45</v>
      </c>
      <c r="D116" s="131">
        <v>688612.89</v>
      </c>
      <c r="E116" s="131"/>
      <c r="F116" s="109" t="s">
        <v>136</v>
      </c>
      <c r="G116" s="131">
        <v>7109127.7999999998</v>
      </c>
      <c r="H116" s="131">
        <v>1483315.59</v>
      </c>
      <c r="I116" s="131"/>
    </row>
    <row r="117" spans="2:9">
      <c r="B117" s="109" t="s">
        <v>222</v>
      </c>
      <c r="C117" s="131">
        <v>1318364.5</v>
      </c>
      <c r="D117" s="131">
        <v>-1039990</v>
      </c>
      <c r="E117" s="131"/>
      <c r="F117" s="109" t="s">
        <v>222</v>
      </c>
      <c r="G117" s="131">
        <v>4304004.5</v>
      </c>
      <c r="H117" s="131">
        <v>-3751061.5</v>
      </c>
      <c r="I117" s="131"/>
    </row>
    <row r="118" spans="2:9">
      <c r="B118" s="109" t="s">
        <v>17</v>
      </c>
      <c r="C118" s="131">
        <v>45073219.469999999</v>
      </c>
      <c r="D118" s="131">
        <v>-4751069.32</v>
      </c>
      <c r="E118" s="131"/>
      <c r="F118" s="109" t="s">
        <v>17</v>
      </c>
      <c r="G118" s="131">
        <v>124065617.17</v>
      </c>
      <c r="H118" s="131">
        <v>-26178260.350000001</v>
      </c>
      <c r="I118" s="131"/>
    </row>
    <row r="119" spans="2:9">
      <c r="B119" s="109" t="s">
        <v>223</v>
      </c>
      <c r="C119" s="131">
        <v>2726852.51</v>
      </c>
      <c r="D119" s="131">
        <v>-2726852.51</v>
      </c>
      <c r="E119" s="131"/>
      <c r="F119" s="109" t="s">
        <v>223</v>
      </c>
      <c r="G119" s="131">
        <v>254025.04</v>
      </c>
      <c r="H119" s="131">
        <v>-254025.04</v>
      </c>
      <c r="I119" s="131"/>
    </row>
    <row r="120" spans="2:9">
      <c r="B120" s="109" t="s">
        <v>224</v>
      </c>
      <c r="C120" s="131">
        <v>1275372.49</v>
      </c>
      <c r="D120" s="131">
        <v>-723767.35</v>
      </c>
      <c r="E120" s="131"/>
      <c r="F120" s="109" t="s">
        <v>224</v>
      </c>
      <c r="G120" s="131">
        <v>1710489.73</v>
      </c>
      <c r="H120" s="131">
        <v>-737010.95</v>
      </c>
      <c r="I120" s="131"/>
    </row>
    <row r="121" spans="2:9">
      <c r="B121" s="109" t="s">
        <v>114</v>
      </c>
      <c r="C121" s="131">
        <v>1041188.01</v>
      </c>
      <c r="D121" s="131">
        <v>1175548.42</v>
      </c>
      <c r="E121" s="131"/>
      <c r="F121" s="109" t="s">
        <v>114</v>
      </c>
      <c r="G121" s="131">
        <v>871851.47</v>
      </c>
      <c r="H121" s="131">
        <v>2431636.4700000002</v>
      </c>
      <c r="I121" s="131"/>
    </row>
    <row r="122" spans="2:9">
      <c r="B122" s="109" t="s">
        <v>25</v>
      </c>
      <c r="C122" s="131">
        <v>1485185.34</v>
      </c>
      <c r="D122" s="131" t="s">
        <v>187</v>
      </c>
      <c r="E122" s="131"/>
      <c r="F122" s="109" t="s">
        <v>25</v>
      </c>
      <c r="G122" s="131">
        <v>1591911.4</v>
      </c>
      <c r="H122" s="131" t="s">
        <v>187</v>
      </c>
      <c r="I122" s="131"/>
    </row>
    <row r="123" spans="2:9">
      <c r="B123" s="111"/>
      <c r="C123" s="139"/>
      <c r="D123" s="111"/>
      <c r="E123" s="111"/>
      <c r="F123" s="111"/>
      <c r="G123" s="111"/>
      <c r="H123" s="111"/>
      <c r="I123" s="131"/>
    </row>
    <row r="124" spans="2:9">
      <c r="B124" s="109"/>
      <c r="C124" s="131"/>
      <c r="D124" s="131"/>
      <c r="E124" s="131"/>
      <c r="F124" s="109"/>
      <c r="G124" s="131"/>
      <c r="H124" s="131"/>
      <c r="I124" s="131"/>
    </row>
    <row r="125" spans="2:9" ht="12.75" customHeight="1">
      <c r="B125" s="168"/>
      <c r="C125" s="169"/>
      <c r="D125" s="169"/>
      <c r="E125" s="169"/>
      <c r="F125" s="170"/>
      <c r="G125" s="169"/>
      <c r="H125" s="169"/>
      <c r="I125" s="169"/>
    </row>
    <row r="126" spans="2:9">
      <c r="B126" s="140"/>
      <c r="C126" s="140"/>
      <c r="D126" s="140"/>
    </row>
    <row r="127" spans="2:9">
      <c r="B127" s="108"/>
      <c r="C127" s="141">
        <v>2018</v>
      </c>
      <c r="D127" s="141">
        <v>2017</v>
      </c>
    </row>
    <row r="128" spans="2:9">
      <c r="B128" s="108"/>
      <c r="C128" s="108" t="s">
        <v>228</v>
      </c>
      <c r="D128" s="108" t="s">
        <v>228</v>
      </c>
    </row>
    <row r="129" spans="2:16">
      <c r="B129" s="142" t="s">
        <v>226</v>
      </c>
      <c r="C129" s="131">
        <v>860.56859999999995</v>
      </c>
      <c r="D129" s="131">
        <v>735.04840000000002</v>
      </c>
    </row>
    <row r="130" spans="2:16">
      <c r="B130" s="142" t="s">
        <v>136</v>
      </c>
      <c r="C130" s="131">
        <v>224.88881599999999</v>
      </c>
      <c r="D130" s="131">
        <v>222.14005800000001</v>
      </c>
    </row>
    <row r="131" spans="2:16">
      <c r="B131" s="142" t="s">
        <v>3</v>
      </c>
      <c r="C131" s="131">
        <v>394.83229999999998</v>
      </c>
      <c r="D131" s="131">
        <v>435.08519999999999</v>
      </c>
    </row>
    <row r="132" spans="2:16">
      <c r="B132" s="142" t="s">
        <v>137</v>
      </c>
      <c r="C132" s="131">
        <v>155.13290000000001</v>
      </c>
      <c r="D132" s="131">
        <v>198.60339999999999</v>
      </c>
    </row>
    <row r="133" spans="2:16">
      <c r="B133" s="143" t="s">
        <v>227</v>
      </c>
      <c r="C133" s="144">
        <v>48.012099999999997</v>
      </c>
      <c r="D133" s="144">
        <v>90.307900000000004</v>
      </c>
    </row>
    <row r="135" spans="2:16">
      <c r="B135" s="106" t="s">
        <v>147</v>
      </c>
    </row>
    <row r="136" spans="2:16">
      <c r="B136" s="141"/>
      <c r="C136" s="141" t="s">
        <v>32</v>
      </c>
      <c r="D136" s="141" t="s">
        <v>122</v>
      </c>
      <c r="E136" s="141" t="s">
        <v>122</v>
      </c>
      <c r="F136" s="141" t="s">
        <v>122</v>
      </c>
      <c r="G136" s="141" t="s">
        <v>122</v>
      </c>
      <c r="H136" s="141" t="s">
        <v>122</v>
      </c>
      <c r="I136" s="141" t="s">
        <v>122</v>
      </c>
      <c r="J136" s="141" t="s">
        <v>122</v>
      </c>
      <c r="K136" s="141" t="s">
        <v>122</v>
      </c>
      <c r="L136" s="141" t="s">
        <v>122</v>
      </c>
      <c r="M136" s="141" t="s">
        <v>122</v>
      </c>
      <c r="N136" s="141" t="s">
        <v>122</v>
      </c>
      <c r="O136" s="141" t="s">
        <v>122</v>
      </c>
      <c r="P136" s="106" t="s">
        <v>122</v>
      </c>
    </row>
    <row r="137" spans="2:16">
      <c r="B137" s="141"/>
      <c r="C137" s="141" t="s">
        <v>119</v>
      </c>
      <c r="D137" s="141" t="s">
        <v>202</v>
      </c>
      <c r="E137" s="141" t="s">
        <v>203</v>
      </c>
      <c r="F137" s="141" t="s">
        <v>204</v>
      </c>
      <c r="G137" s="141" t="s">
        <v>205</v>
      </c>
      <c r="H137" s="141" t="s">
        <v>206</v>
      </c>
      <c r="I137" s="141" t="s">
        <v>207</v>
      </c>
      <c r="J137" s="141" t="s">
        <v>208</v>
      </c>
      <c r="K137" s="141" t="s">
        <v>209</v>
      </c>
      <c r="L137" s="141" t="s">
        <v>210</v>
      </c>
      <c r="M137" s="141" t="s">
        <v>211</v>
      </c>
      <c r="N137" s="141" t="s">
        <v>212</v>
      </c>
      <c r="O137" s="141" t="s">
        <v>213</v>
      </c>
      <c r="P137" s="106" t="s">
        <v>214</v>
      </c>
    </row>
    <row r="138" spans="2:16">
      <c r="B138" s="141" t="s">
        <v>123</v>
      </c>
      <c r="C138" s="141" t="s">
        <v>124</v>
      </c>
      <c r="D138" s="141" t="s">
        <v>5</v>
      </c>
      <c r="E138" s="141" t="s">
        <v>6</v>
      </c>
      <c r="F138" s="141" t="s">
        <v>7</v>
      </c>
      <c r="G138" s="141" t="s">
        <v>8</v>
      </c>
      <c r="H138" s="141" t="s">
        <v>7</v>
      </c>
      <c r="I138" s="141" t="s">
        <v>9</v>
      </c>
      <c r="J138" s="141" t="s">
        <v>9</v>
      </c>
      <c r="K138" s="141" t="s">
        <v>8</v>
      </c>
      <c r="L138" s="141" t="s">
        <v>10</v>
      </c>
      <c r="M138" s="141" t="s">
        <v>11</v>
      </c>
      <c r="N138" s="141" t="s">
        <v>12</v>
      </c>
      <c r="O138" s="141" t="s">
        <v>13</v>
      </c>
      <c r="P138" s="106" t="s">
        <v>5</v>
      </c>
    </row>
    <row r="139" spans="2:16">
      <c r="B139" s="109" t="s">
        <v>229</v>
      </c>
      <c r="C139" s="109" t="s">
        <v>22</v>
      </c>
      <c r="D139" s="131">
        <v>0</v>
      </c>
      <c r="E139" s="131">
        <v>712.6</v>
      </c>
      <c r="F139" s="131">
        <v>1411.7</v>
      </c>
      <c r="G139" s="131">
        <v>1412</v>
      </c>
      <c r="H139" s="131">
        <v>538</v>
      </c>
      <c r="I139" s="131">
        <v>240</v>
      </c>
      <c r="J139" s="131">
        <v>245</v>
      </c>
      <c r="K139" s="131">
        <v>714.3</v>
      </c>
      <c r="L139" s="131">
        <v>1903.2</v>
      </c>
      <c r="M139" s="131">
        <v>1865.1</v>
      </c>
      <c r="N139" s="131">
        <v>1458.4</v>
      </c>
      <c r="O139" s="131">
        <v>237.7</v>
      </c>
      <c r="P139" s="131">
        <v>0</v>
      </c>
    </row>
    <row r="140" spans="2:16">
      <c r="B140" s="109" t="s">
        <v>229</v>
      </c>
      <c r="C140" s="109" t="s">
        <v>230</v>
      </c>
      <c r="D140" s="131">
        <v>0</v>
      </c>
      <c r="E140" s="131">
        <v>0</v>
      </c>
      <c r="F140" s="131">
        <v>0</v>
      </c>
      <c r="G140" s="131">
        <v>9600</v>
      </c>
      <c r="H140" s="131">
        <v>0</v>
      </c>
      <c r="I140" s="131">
        <v>0</v>
      </c>
      <c r="J140" s="131">
        <v>0</v>
      </c>
      <c r="K140" s="131">
        <v>0</v>
      </c>
      <c r="L140" s="131">
        <v>0</v>
      </c>
      <c r="M140" s="131">
        <v>0</v>
      </c>
      <c r="N140" s="131">
        <v>0</v>
      </c>
      <c r="O140" s="131">
        <v>0</v>
      </c>
      <c r="P140" s="131">
        <v>0</v>
      </c>
    </row>
    <row r="141" spans="2:16">
      <c r="B141" s="109" t="s">
        <v>229</v>
      </c>
      <c r="C141" s="109" t="s">
        <v>231</v>
      </c>
      <c r="D141" s="131">
        <v>35729</v>
      </c>
      <c r="E141" s="131">
        <v>198516.2</v>
      </c>
      <c r="F141" s="131">
        <v>631868</v>
      </c>
      <c r="G141" s="131">
        <v>454829.4</v>
      </c>
      <c r="H141" s="131">
        <v>384999.4</v>
      </c>
      <c r="I141" s="131">
        <v>176734.4</v>
      </c>
      <c r="J141" s="131">
        <v>221645.5</v>
      </c>
      <c r="K141" s="131">
        <v>424631</v>
      </c>
      <c r="L141" s="131">
        <v>419522.2</v>
      </c>
      <c r="M141" s="131">
        <v>195163.5</v>
      </c>
      <c r="N141" s="131">
        <v>99779.8</v>
      </c>
      <c r="O141" s="131">
        <v>195559</v>
      </c>
      <c r="P141" s="131">
        <v>323414.2</v>
      </c>
    </row>
    <row r="142" spans="2:16">
      <c r="B142" s="109" t="s">
        <v>229</v>
      </c>
      <c r="C142" s="109" t="s">
        <v>26</v>
      </c>
      <c r="D142" s="131">
        <v>696156.2</v>
      </c>
      <c r="E142" s="131">
        <v>665095.19999999995</v>
      </c>
      <c r="F142" s="131">
        <v>670791.6</v>
      </c>
      <c r="G142" s="131">
        <v>684899.6</v>
      </c>
      <c r="H142" s="131">
        <v>642959.4</v>
      </c>
      <c r="I142" s="131">
        <v>535700.19999999995</v>
      </c>
      <c r="J142" s="131">
        <v>612390.30000000005</v>
      </c>
      <c r="K142" s="131">
        <v>842008.2</v>
      </c>
      <c r="L142" s="131">
        <v>659557.1</v>
      </c>
      <c r="M142" s="131">
        <v>613794.4</v>
      </c>
      <c r="N142" s="131">
        <v>428275.6</v>
      </c>
      <c r="O142" s="131">
        <v>499810.1</v>
      </c>
      <c r="P142" s="131">
        <v>535924.4</v>
      </c>
    </row>
    <row r="143" spans="2:16">
      <c r="B143" s="109" t="s">
        <v>229</v>
      </c>
      <c r="C143" s="109" t="s">
        <v>232</v>
      </c>
      <c r="D143" s="131">
        <v>0</v>
      </c>
      <c r="E143" s="131">
        <v>139.6</v>
      </c>
      <c r="F143" s="131">
        <v>13667.9</v>
      </c>
      <c r="G143" s="131">
        <v>2812.1</v>
      </c>
      <c r="H143" s="131">
        <v>0</v>
      </c>
      <c r="I143" s="131">
        <v>0</v>
      </c>
      <c r="J143" s="131">
        <v>1709.9</v>
      </c>
      <c r="K143" s="131">
        <v>227.4</v>
      </c>
      <c r="L143" s="131">
        <v>2247.5</v>
      </c>
      <c r="M143" s="131">
        <v>2877.8</v>
      </c>
      <c r="N143" s="131">
        <v>370</v>
      </c>
      <c r="O143" s="131">
        <v>0</v>
      </c>
      <c r="P143" s="131">
        <v>0</v>
      </c>
    </row>
    <row r="144" spans="2:16">
      <c r="B144" s="109" t="s">
        <v>229</v>
      </c>
      <c r="C144" s="109" t="s">
        <v>0</v>
      </c>
      <c r="D144" s="131">
        <v>731885.2</v>
      </c>
      <c r="E144" s="131">
        <v>864463.6</v>
      </c>
      <c r="F144" s="131">
        <v>1317739.2</v>
      </c>
      <c r="G144" s="131">
        <v>1153553.1000000001</v>
      </c>
      <c r="H144" s="131">
        <v>1028496.8</v>
      </c>
      <c r="I144" s="131">
        <v>712674.6</v>
      </c>
      <c r="J144" s="131">
        <v>835990.7</v>
      </c>
      <c r="K144" s="131">
        <v>1267580.8999999999</v>
      </c>
      <c r="L144" s="131">
        <v>1083230</v>
      </c>
      <c r="M144" s="131">
        <v>813700.8</v>
      </c>
      <c r="N144" s="131">
        <v>529883.80000000005</v>
      </c>
      <c r="O144" s="131">
        <v>695606.8</v>
      </c>
      <c r="P144" s="131">
        <v>859338.6</v>
      </c>
    </row>
    <row r="145" spans="2:16">
      <c r="B145" s="109" t="s">
        <v>233</v>
      </c>
      <c r="C145" s="109" t="s">
        <v>22</v>
      </c>
      <c r="D145" s="131">
        <v>0</v>
      </c>
      <c r="E145" s="131">
        <v>1026.5</v>
      </c>
      <c r="F145" s="131">
        <v>623</v>
      </c>
      <c r="G145" s="131">
        <v>12</v>
      </c>
      <c r="H145" s="131">
        <v>0</v>
      </c>
      <c r="I145" s="131">
        <v>70</v>
      </c>
      <c r="J145" s="131">
        <v>36</v>
      </c>
      <c r="K145" s="131">
        <v>0</v>
      </c>
      <c r="L145" s="131">
        <v>4762.5</v>
      </c>
      <c r="M145" s="131">
        <v>54.3</v>
      </c>
      <c r="N145" s="131">
        <v>428.4</v>
      </c>
      <c r="O145" s="131">
        <v>0</v>
      </c>
      <c r="P145" s="131">
        <v>0</v>
      </c>
    </row>
    <row r="146" spans="2:16">
      <c r="B146" s="109" t="s">
        <v>233</v>
      </c>
      <c r="C146" s="109" t="s">
        <v>234</v>
      </c>
      <c r="D146" s="131">
        <v>2763.2</v>
      </c>
      <c r="E146" s="131">
        <v>6933.6</v>
      </c>
      <c r="F146" s="131">
        <v>755.1</v>
      </c>
      <c r="G146" s="131">
        <v>1460</v>
      </c>
      <c r="H146" s="131">
        <v>0</v>
      </c>
      <c r="I146" s="131">
        <v>0</v>
      </c>
      <c r="J146" s="131">
        <v>2822.9</v>
      </c>
      <c r="K146" s="131">
        <v>5090.1000000000004</v>
      </c>
      <c r="L146" s="131">
        <v>0</v>
      </c>
      <c r="M146" s="131">
        <v>0</v>
      </c>
      <c r="N146" s="131">
        <v>0</v>
      </c>
      <c r="O146" s="131">
        <v>0</v>
      </c>
      <c r="P146" s="131">
        <v>0</v>
      </c>
    </row>
    <row r="147" spans="2:16">
      <c r="B147" s="109" t="s">
        <v>233</v>
      </c>
      <c r="C147" s="109" t="s">
        <v>231</v>
      </c>
      <c r="D147" s="131">
        <v>0</v>
      </c>
      <c r="E147" s="131">
        <v>58033.7</v>
      </c>
      <c r="F147" s="131">
        <v>20255.7</v>
      </c>
      <c r="G147" s="131">
        <v>158.4</v>
      </c>
      <c r="H147" s="131">
        <v>6575</v>
      </c>
      <c r="I147" s="131">
        <v>8771</v>
      </c>
      <c r="J147" s="131">
        <v>66423</v>
      </c>
      <c r="K147" s="131">
        <v>75870.399999999994</v>
      </c>
      <c r="L147" s="131">
        <v>802.5</v>
      </c>
      <c r="M147" s="131">
        <v>7913</v>
      </c>
      <c r="N147" s="131">
        <v>9798</v>
      </c>
      <c r="O147" s="131">
        <v>40570</v>
      </c>
      <c r="P147" s="131">
        <v>0</v>
      </c>
    </row>
    <row r="148" spans="2:16">
      <c r="B148" s="109" t="s">
        <v>233</v>
      </c>
      <c r="C148" s="109" t="s">
        <v>26</v>
      </c>
      <c r="D148" s="131">
        <v>400</v>
      </c>
      <c r="E148" s="131">
        <v>0</v>
      </c>
      <c r="F148" s="131">
        <v>17094</v>
      </c>
      <c r="G148" s="131">
        <v>0</v>
      </c>
      <c r="H148" s="131">
        <v>0</v>
      </c>
      <c r="I148" s="131">
        <v>12552</v>
      </c>
      <c r="J148" s="131">
        <v>75034.899999999994</v>
      </c>
      <c r="K148" s="131">
        <v>123130.8</v>
      </c>
      <c r="L148" s="131">
        <v>67762.600000000006</v>
      </c>
      <c r="M148" s="131">
        <v>45184</v>
      </c>
      <c r="N148" s="131">
        <v>18106.5</v>
      </c>
      <c r="O148" s="131">
        <v>3247</v>
      </c>
      <c r="P148" s="131">
        <v>1230</v>
      </c>
    </row>
    <row r="149" spans="2:16">
      <c r="B149" s="109" t="s">
        <v>233</v>
      </c>
      <c r="C149" s="109" t="s">
        <v>235</v>
      </c>
      <c r="D149" s="131">
        <v>0</v>
      </c>
      <c r="E149" s="131">
        <v>988.1</v>
      </c>
      <c r="F149" s="131">
        <v>5344.3</v>
      </c>
      <c r="G149" s="131">
        <v>1844.3</v>
      </c>
      <c r="H149" s="131">
        <v>2859</v>
      </c>
      <c r="I149" s="131">
        <v>1652.9</v>
      </c>
      <c r="J149" s="131">
        <v>19943.3</v>
      </c>
      <c r="K149" s="131">
        <v>1278.3</v>
      </c>
      <c r="L149" s="131">
        <v>9561.7000000000007</v>
      </c>
      <c r="M149" s="131">
        <v>2732.2</v>
      </c>
      <c r="N149" s="131">
        <v>568.29999999999995</v>
      </c>
      <c r="O149" s="131">
        <v>1377.6</v>
      </c>
      <c r="P149" s="131">
        <v>0</v>
      </c>
    </row>
    <row r="150" spans="2:16">
      <c r="B150" s="109" t="s">
        <v>233</v>
      </c>
      <c r="C150" s="109" t="s">
        <v>236</v>
      </c>
      <c r="D150" s="131">
        <v>0</v>
      </c>
      <c r="E150" s="131">
        <v>57.8</v>
      </c>
      <c r="F150" s="131">
        <v>0</v>
      </c>
      <c r="G150" s="131">
        <v>0</v>
      </c>
      <c r="H150" s="131">
        <v>0</v>
      </c>
      <c r="I150" s="131">
        <v>0</v>
      </c>
      <c r="J150" s="131">
        <v>1820.4</v>
      </c>
      <c r="K150" s="131">
        <v>0</v>
      </c>
      <c r="L150" s="131">
        <v>0</v>
      </c>
      <c r="M150" s="131">
        <v>0</v>
      </c>
      <c r="N150" s="131">
        <v>0</v>
      </c>
      <c r="O150" s="131">
        <v>0</v>
      </c>
      <c r="P150" s="131">
        <v>0</v>
      </c>
    </row>
    <row r="151" spans="2:16">
      <c r="B151" s="109" t="s">
        <v>233</v>
      </c>
      <c r="C151" s="109" t="s">
        <v>237</v>
      </c>
      <c r="D151" s="131">
        <v>0</v>
      </c>
      <c r="E151" s="131">
        <v>0</v>
      </c>
      <c r="F151" s="131">
        <v>617.6</v>
      </c>
      <c r="G151" s="131">
        <v>0</v>
      </c>
      <c r="H151" s="131">
        <v>725.3</v>
      </c>
      <c r="I151" s="131">
        <v>608.70000000000005</v>
      </c>
      <c r="J151" s="131">
        <v>0</v>
      </c>
      <c r="K151" s="131">
        <v>0</v>
      </c>
      <c r="L151" s="131">
        <v>0</v>
      </c>
      <c r="M151" s="131">
        <v>784</v>
      </c>
      <c r="N151" s="131">
        <v>944</v>
      </c>
      <c r="O151" s="131">
        <v>0</v>
      </c>
      <c r="P151" s="131">
        <v>0</v>
      </c>
    </row>
    <row r="152" spans="2:16">
      <c r="B152" s="109" t="s">
        <v>233</v>
      </c>
      <c r="C152" s="109" t="s">
        <v>238</v>
      </c>
      <c r="D152" s="131">
        <v>0</v>
      </c>
      <c r="E152" s="131">
        <v>0</v>
      </c>
      <c r="F152" s="131">
        <v>0</v>
      </c>
      <c r="G152" s="131">
        <v>0</v>
      </c>
      <c r="H152" s="131">
        <v>0</v>
      </c>
      <c r="I152" s="131">
        <v>0</v>
      </c>
      <c r="J152" s="131">
        <v>910.1</v>
      </c>
      <c r="K152" s="131">
        <v>0</v>
      </c>
      <c r="L152" s="131">
        <v>0</v>
      </c>
      <c r="M152" s="131">
        <v>0</v>
      </c>
      <c r="N152" s="131">
        <v>0</v>
      </c>
      <c r="O152" s="131">
        <v>0</v>
      </c>
      <c r="P152" s="131">
        <v>0</v>
      </c>
    </row>
    <row r="153" spans="2:16">
      <c r="B153" s="109" t="s">
        <v>233</v>
      </c>
      <c r="C153" s="109" t="s">
        <v>239</v>
      </c>
      <c r="D153" s="131">
        <v>0</v>
      </c>
      <c r="E153" s="131">
        <v>0</v>
      </c>
      <c r="F153" s="131">
        <v>0</v>
      </c>
      <c r="G153" s="131">
        <v>0</v>
      </c>
      <c r="H153" s="131">
        <v>0</v>
      </c>
      <c r="I153" s="131">
        <v>0</v>
      </c>
      <c r="J153" s="131">
        <v>0</v>
      </c>
      <c r="K153" s="131">
        <v>288.39999999999998</v>
      </c>
      <c r="L153" s="131">
        <v>0</v>
      </c>
      <c r="M153" s="131">
        <v>0</v>
      </c>
      <c r="N153" s="131">
        <v>0</v>
      </c>
      <c r="O153" s="131">
        <v>0</v>
      </c>
      <c r="P153" s="131">
        <v>0</v>
      </c>
    </row>
    <row r="154" spans="2:16">
      <c r="B154" s="109" t="s">
        <v>233</v>
      </c>
      <c r="C154" s="109" t="s">
        <v>0</v>
      </c>
      <c r="D154" s="131">
        <v>-3163.2</v>
      </c>
      <c r="E154" s="131">
        <v>-67039.7</v>
      </c>
      <c r="F154" s="131">
        <v>-44689.7</v>
      </c>
      <c r="G154" s="131">
        <v>-3474.7</v>
      </c>
      <c r="H154" s="131">
        <v>-10159.299999999999</v>
      </c>
      <c r="I154" s="131">
        <v>-23654.6</v>
      </c>
      <c r="J154" s="131">
        <v>-166990.6</v>
      </c>
      <c r="K154" s="131">
        <v>-205658</v>
      </c>
      <c r="L154" s="131">
        <v>-82889.3</v>
      </c>
      <c r="M154" s="131">
        <v>-56667.5</v>
      </c>
      <c r="N154" s="131">
        <v>-29845.200000000001</v>
      </c>
      <c r="O154" s="131">
        <v>-45194.6</v>
      </c>
      <c r="P154" s="131">
        <v>-1230</v>
      </c>
    </row>
    <row r="155" spans="2:16">
      <c r="B155" s="109"/>
      <c r="C155" s="109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</row>
    <row r="156" spans="2:16">
      <c r="B156" s="109"/>
      <c r="C156" s="109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</row>
    <row r="157" spans="2:16">
      <c r="B157" s="109"/>
      <c r="C157" s="109"/>
      <c r="D157" s="131">
        <v>114.12251594919999</v>
      </c>
      <c r="E157" s="131">
        <v>92.084451201899995</v>
      </c>
      <c r="F157" s="131">
        <v>76.422112971999994</v>
      </c>
      <c r="G157" s="131">
        <v>81.132726105100005</v>
      </c>
      <c r="H157" s="131">
        <v>73.815872961400004</v>
      </c>
      <c r="I157" s="131">
        <v>69.048564800799994</v>
      </c>
      <c r="J157" s="131">
        <v>78.254490438700003</v>
      </c>
      <c r="K157" s="131">
        <v>77.994650132399997</v>
      </c>
      <c r="L157" s="131">
        <v>76.517602623599998</v>
      </c>
      <c r="M157" s="131">
        <v>81.795735348899996</v>
      </c>
      <c r="N157" s="131">
        <v>84.018140656499995</v>
      </c>
      <c r="O157" s="131">
        <v>84.545507835699993</v>
      </c>
      <c r="P157" s="131">
        <v>74.456576685800002</v>
      </c>
    </row>
    <row r="158" spans="2:16">
      <c r="B158" s="111"/>
      <c r="C158" s="111"/>
      <c r="D158" s="144">
        <v>87.216925897799996</v>
      </c>
      <c r="E158" s="144">
        <v>59.043409800500001</v>
      </c>
      <c r="F158" s="144">
        <v>45.244610503099999</v>
      </c>
      <c r="G158" s="144">
        <v>42.666926641099998</v>
      </c>
      <c r="H158" s="144">
        <v>47.541595385500003</v>
      </c>
      <c r="I158" s="144">
        <v>55.270262020899999</v>
      </c>
      <c r="J158" s="144">
        <v>48.6004134963</v>
      </c>
      <c r="K158" s="144">
        <v>49.077318314899998</v>
      </c>
      <c r="L158" s="144">
        <v>48.041428748900003</v>
      </c>
      <c r="M158" s="144">
        <v>55.133704327899999</v>
      </c>
      <c r="N158" s="144">
        <v>59.679777987800001</v>
      </c>
      <c r="O158" s="144">
        <v>74.139002447199999</v>
      </c>
      <c r="P158" s="144">
        <v>62.761666666700002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4">
        <f>(P144-D144)/D144</f>
        <v>0.1741439777713773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4">
        <f>(P154-D154)/D154</f>
        <v>-0.61115326251896807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4">
        <f>((P144+ABS(P154))-(D144+ABS(D154)))/(D144+ABS(D154))</f>
        <v>0.17076453741005365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4">
        <f>(P157-D157)/D157</f>
        <v>-0.34757329816542704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4">
        <f>(P158-D158)/D158</f>
        <v>-0.28039579450159074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60:G61"/>
    <mergeCell ref="H60:H61"/>
    <mergeCell ref="I60:I61"/>
    <mergeCell ref="J60:J61"/>
    <mergeCell ref="C60:C61"/>
    <mergeCell ref="D60:D61"/>
    <mergeCell ref="E60:E61"/>
    <mergeCell ref="F60:F61"/>
    <mergeCell ref="G43:G44"/>
    <mergeCell ref="H43:H44"/>
    <mergeCell ref="I43:I44"/>
    <mergeCell ref="J43:J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7"/>
  <sheetViews>
    <sheetView showGridLines="0" showRowColHeaders="0" topLeftCell="A24" workbookViewId="0">
      <selection activeCell="C53" sqref="C53:P68"/>
    </sheetView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5</v>
      </c>
      <c r="C3" s="108" t="s">
        <v>6</v>
      </c>
      <c r="D3" s="108" t="s">
        <v>7</v>
      </c>
      <c r="E3" s="108" t="s">
        <v>8</v>
      </c>
      <c r="F3" s="108" t="s">
        <v>7</v>
      </c>
      <c r="G3" s="108" t="s">
        <v>9</v>
      </c>
      <c r="H3" s="108" t="s">
        <v>9</v>
      </c>
      <c r="I3" s="108" t="s">
        <v>8</v>
      </c>
      <c r="J3" s="108" t="s">
        <v>10</v>
      </c>
      <c r="K3" s="108" t="s">
        <v>11</v>
      </c>
      <c r="L3" s="108" t="s">
        <v>12</v>
      </c>
      <c r="M3" s="108" t="s">
        <v>13</v>
      </c>
      <c r="N3" s="108" t="s">
        <v>5</v>
      </c>
      <c r="O3" s="108"/>
    </row>
    <row r="4" spans="2:15">
      <c r="B4" s="106" t="s">
        <v>119</v>
      </c>
      <c r="C4" s="106" t="s">
        <v>202</v>
      </c>
      <c r="D4" s="106" t="s">
        <v>203</v>
      </c>
      <c r="E4" s="106" t="s">
        <v>204</v>
      </c>
      <c r="F4" s="106" t="s">
        <v>205</v>
      </c>
      <c r="G4" s="106" t="s">
        <v>206</v>
      </c>
      <c r="H4" s="106" t="s">
        <v>207</v>
      </c>
      <c r="I4" s="106" t="s">
        <v>208</v>
      </c>
      <c r="J4" s="106" t="s">
        <v>209</v>
      </c>
      <c r="K4" s="106" t="s">
        <v>210</v>
      </c>
      <c r="L4" s="106" t="s">
        <v>211</v>
      </c>
      <c r="M4" s="106" t="s">
        <v>212</v>
      </c>
      <c r="N4" s="106" t="s">
        <v>213</v>
      </c>
      <c r="O4" s="106" t="s">
        <v>214</v>
      </c>
    </row>
    <row r="5" spans="2:15">
      <c r="B5" s="108" t="s">
        <v>32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712.52016129030005</v>
      </c>
      <c r="D6" s="110">
        <v>690.06696428570001</v>
      </c>
      <c r="E6" s="110">
        <v>679.79004037690004</v>
      </c>
      <c r="F6" s="110">
        <v>667.79305555559995</v>
      </c>
      <c r="G6" s="110">
        <v>657.63440860219998</v>
      </c>
      <c r="H6" s="110">
        <v>680.75416666670003</v>
      </c>
      <c r="I6" s="110">
        <v>681.72177419349998</v>
      </c>
      <c r="J6" s="110">
        <v>685.08333333329995</v>
      </c>
      <c r="K6" s="110">
        <v>666.50138888890001</v>
      </c>
      <c r="L6" s="110">
        <v>686.99597315439996</v>
      </c>
      <c r="M6" s="110">
        <v>674.33472222219996</v>
      </c>
      <c r="N6" s="110">
        <v>695.75403225809998</v>
      </c>
      <c r="O6" s="110">
        <v>703.82795698919995</v>
      </c>
    </row>
    <row r="7" spans="2:15">
      <c r="B7" s="109" t="s">
        <v>126</v>
      </c>
      <c r="C7" s="110">
        <v>520.03225806449996</v>
      </c>
      <c r="D7" s="110">
        <v>516.89732142859998</v>
      </c>
      <c r="E7" s="110">
        <v>513.60969044410001</v>
      </c>
      <c r="F7" s="110">
        <v>504.98472222219999</v>
      </c>
      <c r="G7" s="110">
        <v>508.80510752689997</v>
      </c>
      <c r="H7" s="110">
        <v>519.46388888889999</v>
      </c>
      <c r="I7" s="110">
        <v>510.7446236559</v>
      </c>
      <c r="J7" s="110">
        <v>512.12365591399998</v>
      </c>
      <c r="K7" s="110">
        <v>507.34166666670001</v>
      </c>
      <c r="L7" s="110">
        <v>513.58791946309998</v>
      </c>
      <c r="M7" s="110">
        <v>515.54861111109994</v>
      </c>
      <c r="N7" s="110">
        <v>519.92069892469999</v>
      </c>
      <c r="O7" s="110">
        <v>531.33064516130003</v>
      </c>
    </row>
    <row r="8" spans="2:15">
      <c r="B8" s="111" t="s">
        <v>127</v>
      </c>
      <c r="C8" s="184">
        <v>19.8404244623</v>
      </c>
      <c r="D8" s="184">
        <v>15.125065320299999</v>
      </c>
      <c r="E8" s="184">
        <v>11.5469110496</v>
      </c>
      <c r="F8" s="184">
        <v>14.6645191734</v>
      </c>
      <c r="G8" s="184">
        <v>14.2514912811</v>
      </c>
      <c r="H8" s="184">
        <v>11.9237809565</v>
      </c>
      <c r="I8" s="184">
        <v>10.3340536748</v>
      </c>
      <c r="J8" s="184">
        <v>10.640429382000001</v>
      </c>
      <c r="K8" s="184">
        <v>10.716390382</v>
      </c>
      <c r="L8" s="184">
        <v>17.145887023699999</v>
      </c>
      <c r="M8" s="184">
        <v>13.6975213023</v>
      </c>
      <c r="N8" s="184">
        <v>21.612955502799998</v>
      </c>
      <c r="O8" s="184">
        <v>15.876601324499999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4">
        <f>(O6-C6)/C6</f>
        <v>-1.2199239787628501E-2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4">
        <f>(O8-C8)/C8</f>
        <v>-0.1997851984130633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2017</v>
      </c>
      <c r="K16" s="117">
        <v>2017</v>
      </c>
      <c r="L16" s="117">
        <v>2017</v>
      </c>
      <c r="M16" s="117">
        <v>2017</v>
      </c>
      <c r="N16" s="117">
        <v>2017</v>
      </c>
      <c r="O16" s="117">
        <v>2018</v>
      </c>
    </row>
    <row r="17" spans="2:20">
      <c r="B17" s="106" t="s">
        <v>119</v>
      </c>
      <c r="C17" s="106" t="s">
        <v>202</v>
      </c>
      <c r="D17" s="106" t="s">
        <v>203</v>
      </c>
      <c r="E17" s="106" t="s">
        <v>204</v>
      </c>
      <c r="F17" s="106" t="s">
        <v>205</v>
      </c>
      <c r="G17" s="106" t="s">
        <v>206</v>
      </c>
      <c r="H17" s="106" t="s">
        <v>207</v>
      </c>
      <c r="I17" s="106" t="s">
        <v>208</v>
      </c>
      <c r="J17" s="106" t="s">
        <v>209</v>
      </c>
      <c r="K17" s="106" t="s">
        <v>210</v>
      </c>
      <c r="L17" s="106" t="s">
        <v>211</v>
      </c>
      <c r="M17" s="106" t="s">
        <v>212</v>
      </c>
      <c r="N17" s="106" t="s">
        <v>213</v>
      </c>
      <c r="O17" s="106" t="s">
        <v>214</v>
      </c>
    </row>
    <row r="18" spans="2:20">
      <c r="B18" s="108" t="s">
        <v>32</v>
      </c>
      <c r="C18" s="108" t="s">
        <v>5</v>
      </c>
      <c r="D18" s="108" t="s">
        <v>6</v>
      </c>
      <c r="E18" s="108" t="s">
        <v>7</v>
      </c>
      <c r="F18" s="108" t="s">
        <v>8</v>
      </c>
      <c r="G18" s="108" t="s">
        <v>7</v>
      </c>
      <c r="H18" s="108" t="s">
        <v>9</v>
      </c>
      <c r="I18" s="108" t="s">
        <v>9</v>
      </c>
      <c r="J18" s="108" t="s">
        <v>8</v>
      </c>
      <c r="K18" s="108" t="s">
        <v>10</v>
      </c>
      <c r="L18" s="108" t="s">
        <v>11</v>
      </c>
      <c r="M18" s="108" t="s">
        <v>12</v>
      </c>
      <c r="N18" s="108" t="s">
        <v>13</v>
      </c>
      <c r="O18" s="108" t="s">
        <v>5</v>
      </c>
    </row>
    <row r="19" spans="2:20">
      <c r="B19" s="109" t="s">
        <v>240</v>
      </c>
      <c r="C19" s="110">
        <v>114098.605</v>
      </c>
      <c r="D19" s="110">
        <v>123063.594</v>
      </c>
      <c r="E19" s="110">
        <v>142874.97500000001</v>
      </c>
      <c r="F19" s="110">
        <v>143332.88099999999</v>
      </c>
      <c r="G19" s="110">
        <v>124663.514</v>
      </c>
      <c r="H19" s="110">
        <v>94559.540999999997</v>
      </c>
      <c r="I19" s="110">
        <v>85673.202000000005</v>
      </c>
      <c r="J19" s="110">
        <v>81536.076000000001</v>
      </c>
      <c r="K19" s="110">
        <v>75102.289000000004</v>
      </c>
      <c r="L19" s="110">
        <v>65089.595000000001</v>
      </c>
      <c r="M19" s="110">
        <v>72290.070000000007</v>
      </c>
      <c r="N19" s="110">
        <v>81049.796000000002</v>
      </c>
      <c r="O19" s="110">
        <v>106846.751</v>
      </c>
    </row>
    <row r="20" spans="2:20">
      <c r="B20" s="111" t="s">
        <v>241</v>
      </c>
      <c r="C20" s="185">
        <v>108041.45299999999</v>
      </c>
      <c r="D20" s="185">
        <v>65058.027000000002</v>
      </c>
      <c r="E20" s="185">
        <v>65080.661999999997</v>
      </c>
      <c r="F20" s="185">
        <v>56832.525000000001</v>
      </c>
      <c r="G20" s="185">
        <v>67245.510999999999</v>
      </c>
      <c r="H20" s="185">
        <v>87837.740999999995</v>
      </c>
      <c r="I20" s="185">
        <v>115472.265</v>
      </c>
      <c r="J20" s="185">
        <v>110945.08</v>
      </c>
      <c r="K20" s="185">
        <v>109933.033</v>
      </c>
      <c r="L20" s="185">
        <v>138127.981</v>
      </c>
      <c r="M20" s="185">
        <v>138345.883</v>
      </c>
      <c r="N20" s="185">
        <v>148810.416</v>
      </c>
      <c r="O20" s="185">
        <v>118042.065</v>
      </c>
    </row>
    <row r="21" spans="2:20">
      <c r="B21" s="112"/>
      <c r="C21" s="185">
        <f t="shared" ref="C21:O21" si="0">-C20</f>
        <v>-108041.45299999999</v>
      </c>
      <c r="D21" s="185">
        <f t="shared" si="0"/>
        <v>-65058.027000000002</v>
      </c>
      <c r="E21" s="185">
        <f t="shared" si="0"/>
        <v>-65080.661999999997</v>
      </c>
      <c r="F21" s="185">
        <f t="shared" si="0"/>
        <v>-56832.525000000001</v>
      </c>
      <c r="G21" s="185">
        <f t="shared" si="0"/>
        <v>-67245.510999999999</v>
      </c>
      <c r="H21" s="185">
        <f t="shared" si="0"/>
        <v>-87837.740999999995</v>
      </c>
      <c r="I21" s="185">
        <f t="shared" si="0"/>
        <v>-115472.265</v>
      </c>
      <c r="J21" s="185">
        <f t="shared" si="0"/>
        <v>-110945.08</v>
      </c>
      <c r="K21" s="185">
        <f t="shared" si="0"/>
        <v>-109933.033</v>
      </c>
      <c r="L21" s="185">
        <f t="shared" si="0"/>
        <v>-138127.981</v>
      </c>
      <c r="M21" s="185">
        <f t="shared" si="0"/>
        <v>-138345.883</v>
      </c>
      <c r="N21" s="185">
        <f t="shared" si="0"/>
        <v>-148810.416</v>
      </c>
      <c r="O21" s="185">
        <f t="shared" si="0"/>
        <v>-118042.065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6">
        <v>75.307173036899997</v>
      </c>
      <c r="D23" s="176">
        <v>56.121769286199999</v>
      </c>
      <c r="E23" s="176">
        <v>47.867154202499997</v>
      </c>
      <c r="F23" s="176">
        <v>48.851768841499997</v>
      </c>
      <c r="G23" s="176">
        <v>50.732693448699997</v>
      </c>
      <c r="H23" s="176">
        <v>52.547676812399999</v>
      </c>
      <c r="I23" s="176">
        <v>50.083044053800002</v>
      </c>
      <c r="J23" s="176">
        <v>47.756106266400003</v>
      </c>
      <c r="K23" s="176">
        <v>50.449034516099999</v>
      </c>
      <c r="L23" s="176">
        <v>58.357759792499998</v>
      </c>
      <c r="M23" s="176">
        <v>62.377222902100002</v>
      </c>
      <c r="N23" s="176">
        <v>61.842100256499997</v>
      </c>
      <c r="O23" s="176">
        <v>51.707705552999997</v>
      </c>
    </row>
    <row r="24" spans="2:20">
      <c r="B24" s="111" t="s">
        <v>71</v>
      </c>
      <c r="C24" s="177">
        <v>65.800001782600006</v>
      </c>
      <c r="D24" s="177">
        <v>39.8691003956</v>
      </c>
      <c r="E24" s="177">
        <v>31.858757214200001</v>
      </c>
      <c r="F24" s="177">
        <v>33.552731292499999</v>
      </c>
      <c r="G24" s="177">
        <v>39.81575127</v>
      </c>
      <c r="H24" s="177">
        <v>42.375364024900001</v>
      </c>
      <c r="I24" s="177">
        <v>40.013761746199997</v>
      </c>
      <c r="J24" s="177">
        <v>38.090010931499997</v>
      </c>
      <c r="K24" s="177">
        <v>39.002468893900001</v>
      </c>
      <c r="L24" s="177">
        <v>45.204191538899998</v>
      </c>
      <c r="M24" s="177">
        <v>53.3716975878</v>
      </c>
      <c r="N24" s="177">
        <v>51.5734303841</v>
      </c>
      <c r="O24" s="177">
        <v>40.970034284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5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4">
        <f>(O19-C19)/C19</f>
        <v>-6.3557779694151315E-2</v>
      </c>
      <c r="T26" s="170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4">
        <f>(O20-C20)/C20</f>
        <v>9.256273145456502E-2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4">
        <f>((O19+O20)-(C19+C20))/(C19+C20)</f>
        <v>1.2373986145263371E-2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4">
        <f>(O23-C23)/C23</f>
        <v>-0.31337609064592592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4">
        <f>(O24-C24)/C24</f>
        <v>-0.37735511893505724</v>
      </c>
    </row>
    <row r="32" spans="2:20">
      <c r="B32" s="106" t="s">
        <v>149</v>
      </c>
    </row>
    <row r="33" spans="2:16">
      <c r="B33" s="108"/>
      <c r="C33" s="108" t="s">
        <v>32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202</v>
      </c>
      <c r="E34" s="108" t="s">
        <v>203</v>
      </c>
      <c r="F34" s="108" t="s">
        <v>204</v>
      </c>
      <c r="G34" s="108" t="s">
        <v>205</v>
      </c>
      <c r="H34" s="108" t="s">
        <v>206</v>
      </c>
      <c r="I34" s="108" t="s">
        <v>207</v>
      </c>
      <c r="J34" s="108" t="s">
        <v>208</v>
      </c>
      <c r="K34" s="108" t="s">
        <v>209</v>
      </c>
      <c r="L34" s="108" t="s">
        <v>210</v>
      </c>
      <c r="M34" s="108" t="s">
        <v>211</v>
      </c>
      <c r="N34" s="108" t="s">
        <v>212</v>
      </c>
      <c r="O34" s="108" t="s">
        <v>213</v>
      </c>
      <c r="P34" s="108" t="s">
        <v>214</v>
      </c>
    </row>
    <row r="35" spans="2:16">
      <c r="B35" s="108" t="s">
        <v>123</v>
      </c>
      <c r="C35" s="108" t="s">
        <v>124</v>
      </c>
      <c r="D35" s="108" t="s">
        <v>5</v>
      </c>
      <c r="E35" s="108" t="s">
        <v>6</v>
      </c>
      <c r="F35" s="108" t="s">
        <v>7</v>
      </c>
      <c r="G35" s="108" t="s">
        <v>8</v>
      </c>
      <c r="H35" s="108" t="s">
        <v>7</v>
      </c>
      <c r="I35" s="108" t="s">
        <v>9</v>
      </c>
      <c r="J35" s="108" t="s">
        <v>9</v>
      </c>
      <c r="K35" s="108" t="s">
        <v>8</v>
      </c>
      <c r="L35" s="108" t="s">
        <v>10</v>
      </c>
      <c r="M35" s="108" t="s">
        <v>11</v>
      </c>
      <c r="N35" s="108" t="s">
        <v>12</v>
      </c>
      <c r="O35" s="108" t="s">
        <v>13</v>
      </c>
      <c r="P35" s="108" t="s">
        <v>5</v>
      </c>
    </row>
    <row r="36" spans="2:16">
      <c r="B36" s="109" t="s">
        <v>229</v>
      </c>
      <c r="C36" s="109" t="s">
        <v>242</v>
      </c>
      <c r="D36" s="179">
        <v>0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0</v>
      </c>
      <c r="K36" s="179">
        <v>0</v>
      </c>
      <c r="L36" s="179">
        <v>0</v>
      </c>
      <c r="M36" s="179">
        <v>0</v>
      </c>
      <c r="N36" s="179">
        <v>0</v>
      </c>
      <c r="O36" s="179">
        <v>0</v>
      </c>
      <c r="P36" s="179">
        <v>0</v>
      </c>
    </row>
    <row r="37" spans="2:16">
      <c r="B37" s="109" t="s">
        <v>229</v>
      </c>
      <c r="C37" s="109" t="s">
        <v>231</v>
      </c>
      <c r="D37" s="179">
        <v>33693.800000000003</v>
      </c>
      <c r="E37" s="179">
        <v>19518.400000000001</v>
      </c>
      <c r="F37" s="179">
        <v>27782.799999999999</v>
      </c>
      <c r="G37" s="179">
        <v>26944.799999999999</v>
      </c>
      <c r="H37" s="179">
        <v>49018.7</v>
      </c>
      <c r="I37" s="179">
        <v>39223.4</v>
      </c>
      <c r="J37" s="179">
        <v>28227.7</v>
      </c>
      <c r="K37" s="179">
        <v>23185.3</v>
      </c>
      <c r="L37" s="179">
        <v>23990.400000000001</v>
      </c>
      <c r="M37" s="179">
        <v>36235.599999999999</v>
      </c>
      <c r="N37" s="179">
        <v>35124.9</v>
      </c>
      <c r="O37" s="179">
        <v>25784.6</v>
      </c>
      <c r="P37" s="179">
        <v>35353.199999999997</v>
      </c>
    </row>
    <row r="38" spans="2:16">
      <c r="B38" s="109" t="s">
        <v>229</v>
      </c>
      <c r="C38" s="109" t="s">
        <v>26</v>
      </c>
      <c r="D38" s="179">
        <v>71645.3</v>
      </c>
      <c r="E38" s="179">
        <v>30319.3</v>
      </c>
      <c r="F38" s="179">
        <v>47861.9</v>
      </c>
      <c r="G38" s="179">
        <v>48899.3</v>
      </c>
      <c r="H38" s="179">
        <v>59814.3</v>
      </c>
      <c r="I38" s="179">
        <v>100710.5</v>
      </c>
      <c r="J38" s="179">
        <v>53992.1</v>
      </c>
      <c r="K38" s="179">
        <v>53888.3</v>
      </c>
      <c r="L38" s="179">
        <v>55429.2</v>
      </c>
      <c r="M38" s="179">
        <v>75955.399999999994</v>
      </c>
      <c r="N38" s="179">
        <v>83653.399999999994</v>
      </c>
      <c r="O38" s="179">
        <v>57877.3</v>
      </c>
      <c r="P38" s="179">
        <v>57056.1</v>
      </c>
    </row>
    <row r="39" spans="2:16">
      <c r="B39" s="109" t="s">
        <v>229</v>
      </c>
      <c r="C39" s="109" t="s">
        <v>238</v>
      </c>
      <c r="D39" s="179">
        <v>16.3</v>
      </c>
      <c r="E39" s="179">
        <v>9.6</v>
      </c>
      <c r="F39" s="179">
        <v>30.1</v>
      </c>
      <c r="G39" s="179">
        <v>13.6</v>
      </c>
      <c r="H39" s="179">
        <v>7.3</v>
      </c>
      <c r="I39" s="179">
        <v>17.3</v>
      </c>
      <c r="J39" s="179">
        <v>2.7</v>
      </c>
      <c r="K39" s="179">
        <v>1.1000000000000001</v>
      </c>
      <c r="L39" s="179">
        <v>0.8</v>
      </c>
      <c r="M39" s="179">
        <v>2</v>
      </c>
      <c r="N39" s="179">
        <v>0</v>
      </c>
      <c r="O39" s="179">
        <v>0</v>
      </c>
      <c r="P39" s="179">
        <v>10.8</v>
      </c>
    </row>
    <row r="40" spans="2:16">
      <c r="B40" s="109" t="s">
        <v>229</v>
      </c>
      <c r="C40" s="109" t="s">
        <v>232</v>
      </c>
      <c r="D40" s="179">
        <v>5899.1</v>
      </c>
      <c r="E40" s="179">
        <v>4595.7</v>
      </c>
      <c r="F40" s="179">
        <v>3279.6</v>
      </c>
      <c r="G40" s="179">
        <v>6553.1</v>
      </c>
      <c r="H40" s="179">
        <v>7845.9</v>
      </c>
      <c r="I40" s="179">
        <v>3498.8</v>
      </c>
      <c r="J40" s="179">
        <v>1736.9</v>
      </c>
      <c r="K40" s="179">
        <v>1823.4</v>
      </c>
      <c r="L40" s="179">
        <v>1551.4</v>
      </c>
      <c r="M40" s="179">
        <v>4285.8999999999996</v>
      </c>
      <c r="N40" s="179">
        <v>7774.4</v>
      </c>
      <c r="O40" s="179">
        <v>14602.9</v>
      </c>
      <c r="P40" s="179">
        <v>4781.6000000000004</v>
      </c>
    </row>
    <row r="41" spans="2:16">
      <c r="B41" s="109" t="s">
        <v>229</v>
      </c>
      <c r="C41" s="109" t="s">
        <v>243</v>
      </c>
      <c r="D41" s="179">
        <v>0</v>
      </c>
      <c r="E41" s="179">
        <v>0</v>
      </c>
      <c r="F41" s="179">
        <v>0</v>
      </c>
      <c r="G41" s="179">
        <v>0</v>
      </c>
      <c r="H41" s="179">
        <v>0</v>
      </c>
      <c r="I41" s="179">
        <v>0</v>
      </c>
      <c r="J41" s="179">
        <v>0</v>
      </c>
      <c r="K41" s="179">
        <v>0</v>
      </c>
      <c r="L41" s="179">
        <v>0</v>
      </c>
      <c r="M41" s="179">
        <v>0</v>
      </c>
      <c r="N41" s="179">
        <v>0</v>
      </c>
      <c r="O41" s="179">
        <v>0</v>
      </c>
      <c r="P41" s="179">
        <v>0</v>
      </c>
    </row>
    <row r="42" spans="2:16">
      <c r="B42" s="109" t="s">
        <v>229</v>
      </c>
      <c r="C42" s="109" t="s">
        <v>235</v>
      </c>
      <c r="D42" s="179">
        <v>4288.7</v>
      </c>
      <c r="E42" s="179">
        <v>2486.3000000000002</v>
      </c>
      <c r="F42" s="179">
        <v>3494.1</v>
      </c>
      <c r="G42" s="179">
        <v>2541.5</v>
      </c>
      <c r="H42" s="179">
        <v>7018.8</v>
      </c>
      <c r="I42" s="179">
        <v>11518.7</v>
      </c>
      <c r="J42" s="179">
        <v>5554.8</v>
      </c>
      <c r="K42" s="179">
        <v>5883.3</v>
      </c>
      <c r="L42" s="179">
        <v>5247.3</v>
      </c>
      <c r="M42" s="179">
        <v>7050.1</v>
      </c>
      <c r="N42" s="179">
        <v>7943.5</v>
      </c>
      <c r="O42" s="179">
        <v>8236.4</v>
      </c>
      <c r="P42" s="179">
        <v>5669.6</v>
      </c>
    </row>
    <row r="43" spans="2:16">
      <c r="B43" s="109" t="s">
        <v>229</v>
      </c>
      <c r="C43" s="109" t="s">
        <v>244</v>
      </c>
      <c r="D43" s="179">
        <v>0</v>
      </c>
      <c r="E43" s="179">
        <v>0</v>
      </c>
      <c r="F43" s="179">
        <v>0</v>
      </c>
      <c r="G43" s="179">
        <v>0</v>
      </c>
      <c r="H43" s="179">
        <v>0</v>
      </c>
      <c r="I43" s="179">
        <v>0</v>
      </c>
      <c r="J43" s="179">
        <v>0</v>
      </c>
      <c r="K43" s="179">
        <v>0</v>
      </c>
      <c r="L43" s="179">
        <v>0</v>
      </c>
      <c r="M43" s="179">
        <v>0</v>
      </c>
      <c r="N43" s="179">
        <v>0</v>
      </c>
      <c r="O43" s="179">
        <v>0</v>
      </c>
      <c r="P43" s="179">
        <v>0</v>
      </c>
    </row>
    <row r="44" spans="2:16">
      <c r="B44" s="109" t="s">
        <v>229</v>
      </c>
      <c r="C44" s="109" t="s">
        <v>22</v>
      </c>
      <c r="D44" s="179">
        <v>99664.7</v>
      </c>
      <c r="E44" s="179">
        <v>21689.9</v>
      </c>
      <c r="F44" s="179">
        <v>75296.7</v>
      </c>
      <c r="G44" s="179">
        <v>45882.6</v>
      </c>
      <c r="H44" s="179">
        <v>58284.6</v>
      </c>
      <c r="I44" s="179">
        <v>88256.3</v>
      </c>
      <c r="J44" s="179">
        <v>34688.699999999997</v>
      </c>
      <c r="K44" s="179">
        <v>29023.599999999999</v>
      </c>
      <c r="L44" s="179">
        <v>29358.5</v>
      </c>
      <c r="M44" s="179">
        <v>42190.9</v>
      </c>
      <c r="N44" s="179">
        <v>66112.3</v>
      </c>
      <c r="O44" s="179">
        <v>50297.7</v>
      </c>
      <c r="P44" s="179">
        <v>55012.6</v>
      </c>
    </row>
    <row r="45" spans="2:16">
      <c r="B45" s="109" t="s">
        <v>229</v>
      </c>
      <c r="C45" s="109" t="s">
        <v>245</v>
      </c>
      <c r="D45" s="179">
        <v>0</v>
      </c>
      <c r="E45" s="179">
        <v>0</v>
      </c>
      <c r="F45" s="179">
        <v>0</v>
      </c>
      <c r="G45" s="179">
        <v>0</v>
      </c>
      <c r="H45" s="179">
        <v>0</v>
      </c>
      <c r="I45" s="179">
        <v>0</v>
      </c>
      <c r="J45" s="179">
        <v>0</v>
      </c>
      <c r="K45" s="179">
        <v>0</v>
      </c>
      <c r="L45" s="179">
        <v>0</v>
      </c>
      <c r="M45" s="179">
        <v>0</v>
      </c>
      <c r="N45" s="179">
        <v>0</v>
      </c>
      <c r="O45" s="179">
        <v>0</v>
      </c>
      <c r="P45" s="179">
        <v>0</v>
      </c>
    </row>
    <row r="46" spans="2:16">
      <c r="B46" s="109" t="s">
        <v>229</v>
      </c>
      <c r="C46" s="109" t="s">
        <v>230</v>
      </c>
      <c r="D46" s="179">
        <v>0</v>
      </c>
      <c r="E46" s="179">
        <v>0</v>
      </c>
      <c r="F46" s="179">
        <v>0</v>
      </c>
      <c r="G46" s="179">
        <v>122</v>
      </c>
      <c r="H46" s="179">
        <v>169.5</v>
      </c>
      <c r="I46" s="179">
        <v>69.8</v>
      </c>
      <c r="J46" s="179">
        <v>310</v>
      </c>
      <c r="K46" s="179">
        <v>148</v>
      </c>
      <c r="L46" s="179">
        <v>3.1</v>
      </c>
      <c r="M46" s="179">
        <v>700</v>
      </c>
      <c r="N46" s="179">
        <v>0</v>
      </c>
      <c r="O46" s="179">
        <v>1085.4000000000001</v>
      </c>
      <c r="P46" s="179">
        <v>282.3</v>
      </c>
    </row>
    <row r="47" spans="2:16">
      <c r="B47" s="109" t="s">
        <v>229</v>
      </c>
      <c r="C47" s="109" t="s">
        <v>239</v>
      </c>
      <c r="D47" s="179">
        <v>0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0</v>
      </c>
      <c r="K47" s="179">
        <v>0</v>
      </c>
      <c r="L47" s="179">
        <v>0</v>
      </c>
      <c r="M47" s="179">
        <v>131.30000000000001</v>
      </c>
      <c r="N47" s="179">
        <v>299.10000000000002</v>
      </c>
      <c r="O47" s="179">
        <v>57.5</v>
      </c>
      <c r="P47" s="179">
        <v>69.8</v>
      </c>
    </row>
    <row r="48" spans="2:16">
      <c r="B48" s="109" t="s">
        <v>229</v>
      </c>
      <c r="C48" s="109" t="s">
        <v>246</v>
      </c>
      <c r="D48" s="179">
        <v>0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0</v>
      </c>
      <c r="K48" s="179">
        <v>0</v>
      </c>
      <c r="L48" s="179">
        <v>0</v>
      </c>
      <c r="M48" s="179">
        <v>0</v>
      </c>
      <c r="N48" s="179">
        <v>0</v>
      </c>
      <c r="O48" s="179">
        <v>0</v>
      </c>
      <c r="P48" s="179">
        <v>0</v>
      </c>
    </row>
    <row r="49" spans="2:16">
      <c r="B49" s="109" t="s">
        <v>229</v>
      </c>
      <c r="C49" s="109" t="s">
        <v>236</v>
      </c>
      <c r="D49" s="179">
        <v>0</v>
      </c>
      <c r="E49" s="179">
        <v>0</v>
      </c>
      <c r="F49" s="179">
        <v>0</v>
      </c>
      <c r="G49" s="179">
        <v>0</v>
      </c>
      <c r="H49" s="179">
        <v>0</v>
      </c>
      <c r="I49" s="179">
        <v>0</v>
      </c>
      <c r="J49" s="179">
        <v>0</v>
      </c>
      <c r="K49" s="179">
        <v>0</v>
      </c>
      <c r="L49" s="179">
        <v>0</v>
      </c>
      <c r="M49" s="179">
        <v>0</v>
      </c>
      <c r="N49" s="179">
        <v>0</v>
      </c>
      <c r="O49" s="179">
        <v>0</v>
      </c>
      <c r="P49" s="179">
        <v>0</v>
      </c>
    </row>
    <row r="50" spans="2:16">
      <c r="B50" s="109" t="s">
        <v>229</v>
      </c>
      <c r="C50" s="109" t="s">
        <v>237</v>
      </c>
      <c r="D50" s="179">
        <v>0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79">
        <v>0</v>
      </c>
      <c r="N50" s="179">
        <v>0</v>
      </c>
      <c r="O50" s="179">
        <v>0</v>
      </c>
      <c r="P50" s="179">
        <v>0</v>
      </c>
    </row>
    <row r="51" spans="2:16">
      <c r="B51" s="109" t="s">
        <v>229</v>
      </c>
      <c r="C51" s="109" t="s">
        <v>234</v>
      </c>
      <c r="D51" s="179">
        <v>74414.2</v>
      </c>
      <c r="E51" s="179">
        <v>32220.5</v>
      </c>
      <c r="F51" s="179">
        <v>32248</v>
      </c>
      <c r="G51" s="179">
        <v>24942.1</v>
      </c>
      <c r="H51" s="179">
        <v>36979</v>
      </c>
      <c r="I51" s="179">
        <v>27501.3</v>
      </c>
      <c r="J51" s="179">
        <v>32397.1</v>
      </c>
      <c r="K51" s="179">
        <v>29140</v>
      </c>
      <c r="L51" s="179">
        <v>44532.5</v>
      </c>
      <c r="M51" s="179">
        <v>30549.8</v>
      </c>
      <c r="N51" s="179">
        <v>41077.1</v>
      </c>
      <c r="O51" s="179">
        <v>54906.6</v>
      </c>
      <c r="P51" s="179">
        <v>28937.8</v>
      </c>
    </row>
    <row r="52" spans="2:16">
      <c r="B52" s="109" t="s">
        <v>229</v>
      </c>
      <c r="C52" s="120" t="s">
        <v>0</v>
      </c>
      <c r="D52" s="121">
        <v>289622.09999999998</v>
      </c>
      <c r="E52" s="121">
        <v>110839.7</v>
      </c>
      <c r="F52" s="121">
        <v>189993.2</v>
      </c>
      <c r="G52" s="121">
        <v>155899</v>
      </c>
      <c r="H52" s="121">
        <v>219138.1</v>
      </c>
      <c r="I52" s="121">
        <v>270796.09999999998</v>
      </c>
      <c r="J52" s="121">
        <v>156910</v>
      </c>
      <c r="K52" s="121">
        <v>143093</v>
      </c>
      <c r="L52" s="121">
        <v>160113.20000000001</v>
      </c>
      <c r="M52" s="121">
        <v>197101</v>
      </c>
      <c r="N52" s="121">
        <v>241984.7</v>
      </c>
      <c r="O52" s="121">
        <v>212848.4</v>
      </c>
      <c r="P52" s="121">
        <v>187173.8</v>
      </c>
    </row>
    <row r="53" spans="2:16">
      <c r="B53" s="109" t="s">
        <v>233</v>
      </c>
      <c r="C53" s="109" t="s">
        <v>242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233</v>
      </c>
      <c r="C54" s="109" t="s">
        <v>231</v>
      </c>
      <c r="D54" s="119">
        <v>29873.4</v>
      </c>
      <c r="E54" s="119">
        <v>92635.5</v>
      </c>
      <c r="F54" s="119">
        <v>60556.800000000003</v>
      </c>
      <c r="G54" s="119">
        <v>39185.699999999997</v>
      </c>
      <c r="H54" s="119">
        <v>36573.1</v>
      </c>
      <c r="I54" s="119">
        <v>31856.5</v>
      </c>
      <c r="J54" s="119">
        <v>64224.4</v>
      </c>
      <c r="K54" s="119">
        <v>71875.8</v>
      </c>
      <c r="L54" s="119">
        <v>46377.5</v>
      </c>
      <c r="M54" s="119">
        <v>28352.7</v>
      </c>
      <c r="N54" s="119">
        <v>20637.7</v>
      </c>
      <c r="O54" s="119">
        <v>30371.3</v>
      </c>
      <c r="P54" s="119">
        <v>49749</v>
      </c>
    </row>
    <row r="55" spans="2:16">
      <c r="B55" s="109" t="s">
        <v>233</v>
      </c>
      <c r="C55" s="109" t="s">
        <v>26</v>
      </c>
      <c r="D55" s="119">
        <v>31257.5</v>
      </c>
      <c r="E55" s="119">
        <v>28594.2</v>
      </c>
      <c r="F55" s="119">
        <v>29853.7</v>
      </c>
      <c r="G55" s="119">
        <v>20218.599999999999</v>
      </c>
      <c r="H55" s="119">
        <v>14965.8</v>
      </c>
      <c r="I55" s="119">
        <v>21784.2</v>
      </c>
      <c r="J55" s="119">
        <v>40730.5</v>
      </c>
      <c r="K55" s="119">
        <v>44407.8</v>
      </c>
      <c r="L55" s="119">
        <v>52485.1</v>
      </c>
      <c r="M55" s="119">
        <v>33701.800000000003</v>
      </c>
      <c r="N55" s="119">
        <v>33409.300000000003</v>
      </c>
      <c r="O55" s="119">
        <v>38818.699999999997</v>
      </c>
      <c r="P55" s="119">
        <v>21689</v>
      </c>
    </row>
    <row r="56" spans="2:16">
      <c r="B56" s="109" t="s">
        <v>233</v>
      </c>
      <c r="C56" s="109" t="s">
        <v>238</v>
      </c>
      <c r="D56" s="119">
        <v>232.7</v>
      </c>
      <c r="E56" s="119">
        <v>463.1</v>
      </c>
      <c r="F56" s="119">
        <v>1006.6</v>
      </c>
      <c r="G56" s="119">
        <v>667</v>
      </c>
      <c r="H56" s="119">
        <v>259.5</v>
      </c>
      <c r="I56" s="119">
        <v>332.6</v>
      </c>
      <c r="J56" s="119">
        <v>223.6</v>
      </c>
      <c r="K56" s="119">
        <v>356.8</v>
      </c>
      <c r="L56" s="119">
        <v>420.2</v>
      </c>
      <c r="M56" s="119">
        <v>72.5</v>
      </c>
      <c r="N56" s="119">
        <v>40.799999999999997</v>
      </c>
      <c r="O56" s="119">
        <v>239.5</v>
      </c>
      <c r="P56" s="119">
        <v>1091.7</v>
      </c>
    </row>
    <row r="57" spans="2:16">
      <c r="B57" s="109" t="s">
        <v>233</v>
      </c>
      <c r="C57" s="109" t="s">
        <v>232</v>
      </c>
      <c r="D57" s="119">
        <v>29718.6</v>
      </c>
      <c r="E57" s="119">
        <v>59071.9</v>
      </c>
      <c r="F57" s="119">
        <v>69541.7</v>
      </c>
      <c r="G57" s="119">
        <v>58045.1</v>
      </c>
      <c r="H57" s="119">
        <v>26811.1</v>
      </c>
      <c r="I57" s="119">
        <v>25120.799999999999</v>
      </c>
      <c r="J57" s="119">
        <v>39459.699999999997</v>
      </c>
      <c r="K57" s="119">
        <v>41443.4</v>
      </c>
      <c r="L57" s="119">
        <v>46799.1</v>
      </c>
      <c r="M57" s="119">
        <v>27285.599999999999</v>
      </c>
      <c r="N57" s="119">
        <v>17072.8</v>
      </c>
      <c r="O57" s="119">
        <v>44331.3</v>
      </c>
      <c r="P57" s="119">
        <v>44705.2</v>
      </c>
    </row>
    <row r="58" spans="2:16">
      <c r="B58" s="109" t="s">
        <v>233</v>
      </c>
      <c r="C58" s="109" t="s">
        <v>243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233</v>
      </c>
      <c r="C59" s="109" t="s">
        <v>235</v>
      </c>
      <c r="D59" s="119">
        <v>2813.5</v>
      </c>
      <c r="E59" s="119">
        <v>13978.3</v>
      </c>
      <c r="F59" s="119">
        <v>24572.7</v>
      </c>
      <c r="G59" s="119">
        <v>10784.5</v>
      </c>
      <c r="H59" s="119">
        <v>4780.8999999999996</v>
      </c>
      <c r="I59" s="119">
        <v>3742.7</v>
      </c>
      <c r="J59" s="119">
        <v>10048.700000000001</v>
      </c>
      <c r="K59" s="119">
        <v>8916.4</v>
      </c>
      <c r="L59" s="119">
        <v>11262.5</v>
      </c>
      <c r="M59" s="119">
        <v>6968.9</v>
      </c>
      <c r="N59" s="119">
        <v>3847.5</v>
      </c>
      <c r="O59" s="119">
        <v>13873.3</v>
      </c>
      <c r="P59" s="119">
        <v>51833.3</v>
      </c>
    </row>
    <row r="60" spans="2:16">
      <c r="B60" s="109" t="s">
        <v>233</v>
      </c>
      <c r="C60" s="109" t="s">
        <v>244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233</v>
      </c>
      <c r="C61" s="109" t="s">
        <v>22</v>
      </c>
      <c r="D61" s="119">
        <v>48230.3</v>
      </c>
      <c r="E61" s="119">
        <v>19654.8</v>
      </c>
      <c r="F61" s="119">
        <v>29936.2</v>
      </c>
      <c r="G61" s="119">
        <v>30176.3</v>
      </c>
      <c r="H61" s="119">
        <v>9611.2999999999993</v>
      </c>
      <c r="I61" s="119">
        <v>7869.8</v>
      </c>
      <c r="J61" s="119">
        <v>2606.4</v>
      </c>
      <c r="K61" s="119">
        <v>5181.1000000000004</v>
      </c>
      <c r="L61" s="119">
        <v>3698.4</v>
      </c>
      <c r="M61" s="119">
        <v>8057.2</v>
      </c>
      <c r="N61" s="119">
        <v>8820.4</v>
      </c>
      <c r="O61" s="119">
        <v>10280.700000000001</v>
      </c>
      <c r="P61" s="119">
        <v>26560.6</v>
      </c>
    </row>
    <row r="62" spans="2:16">
      <c r="B62" s="109" t="s">
        <v>233</v>
      </c>
      <c r="C62" s="109" t="s">
        <v>245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233</v>
      </c>
      <c r="C63" s="109" t="s">
        <v>230</v>
      </c>
      <c r="D63" s="119">
        <v>0</v>
      </c>
      <c r="E63" s="119">
        <v>0</v>
      </c>
      <c r="F63" s="119">
        <v>30</v>
      </c>
      <c r="G63" s="119">
        <v>635.29999999999995</v>
      </c>
      <c r="H63" s="119">
        <v>138</v>
      </c>
      <c r="I63" s="119">
        <v>320</v>
      </c>
      <c r="J63" s="119">
        <v>130</v>
      </c>
      <c r="K63" s="119">
        <v>179.2</v>
      </c>
      <c r="L63" s="119">
        <v>178.3</v>
      </c>
      <c r="M63" s="119">
        <v>1524.1</v>
      </c>
      <c r="N63" s="119">
        <v>0</v>
      </c>
      <c r="O63" s="119">
        <v>108.3</v>
      </c>
      <c r="P63" s="119">
        <v>159.6</v>
      </c>
    </row>
    <row r="64" spans="2:16">
      <c r="B64" s="109" t="s">
        <v>233</v>
      </c>
      <c r="C64" s="109" t="s">
        <v>239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0</v>
      </c>
      <c r="M64" s="119">
        <v>736.2</v>
      </c>
      <c r="N64" s="119">
        <v>757.7</v>
      </c>
      <c r="O64" s="119">
        <v>133.80000000000001</v>
      </c>
      <c r="P64" s="119">
        <v>521.70000000000005</v>
      </c>
    </row>
    <row r="65" spans="2:16">
      <c r="B65" s="109" t="s">
        <v>233</v>
      </c>
      <c r="C65" s="109" t="s">
        <v>246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233</v>
      </c>
      <c r="C66" s="109" t="s">
        <v>236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233</v>
      </c>
      <c r="C67" s="109" t="s">
        <v>237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233</v>
      </c>
      <c r="C68" s="109" t="s">
        <v>234</v>
      </c>
      <c r="D68" s="119">
        <v>3337.1</v>
      </c>
      <c r="E68" s="119">
        <v>9063.5</v>
      </c>
      <c r="F68" s="119">
        <v>14315.8</v>
      </c>
      <c r="G68" s="119">
        <v>9263.7000000000007</v>
      </c>
      <c r="H68" s="119">
        <v>3683.8</v>
      </c>
      <c r="I68" s="119">
        <v>1244.9000000000001</v>
      </c>
      <c r="J68" s="119">
        <v>1680.4</v>
      </c>
      <c r="K68" s="119">
        <v>4517</v>
      </c>
      <c r="L68" s="119">
        <v>4969.7</v>
      </c>
      <c r="M68" s="119">
        <v>3817.1</v>
      </c>
      <c r="N68" s="119">
        <v>5932.4</v>
      </c>
      <c r="O68" s="119">
        <v>8046.3</v>
      </c>
      <c r="P68" s="119">
        <v>11348.4</v>
      </c>
    </row>
    <row r="69" spans="2:16">
      <c r="B69" s="162" t="s">
        <v>233</v>
      </c>
      <c r="C69" s="146" t="s">
        <v>0</v>
      </c>
      <c r="D69" s="122">
        <v>145463.1</v>
      </c>
      <c r="E69" s="122">
        <v>223461.3</v>
      </c>
      <c r="F69" s="122">
        <v>229813.5</v>
      </c>
      <c r="G69" s="122">
        <v>168976.2</v>
      </c>
      <c r="H69" s="122">
        <v>96823.5</v>
      </c>
      <c r="I69" s="122">
        <v>92271.5</v>
      </c>
      <c r="J69" s="122">
        <v>159103.70000000001</v>
      </c>
      <c r="K69" s="122">
        <v>176877.5</v>
      </c>
      <c r="L69" s="122">
        <v>166190.79999999999</v>
      </c>
      <c r="M69" s="122">
        <v>110516.1</v>
      </c>
      <c r="N69" s="122">
        <v>90518.6</v>
      </c>
      <c r="O69" s="122">
        <v>146203.20000000001</v>
      </c>
      <c r="P69" s="122">
        <v>207658.5</v>
      </c>
    </row>
    <row r="70" spans="2:16">
      <c r="B70" s="203" t="s">
        <v>139</v>
      </c>
      <c r="C70" s="146"/>
      <c r="D70" s="176">
        <v>86.022068378100002</v>
      </c>
      <c r="E70" s="176">
        <v>68.272500196199999</v>
      </c>
      <c r="F70" s="176">
        <v>53.459637766</v>
      </c>
      <c r="G70" s="176">
        <v>51.962276409700003</v>
      </c>
      <c r="H70" s="176">
        <v>54.692289017699999</v>
      </c>
      <c r="I70" s="176">
        <v>58.053899003700003</v>
      </c>
      <c r="J70" s="176">
        <v>57.819714231100001</v>
      </c>
      <c r="K70" s="176">
        <v>55.585096335899998</v>
      </c>
      <c r="L70" s="176">
        <v>56.231510706199998</v>
      </c>
      <c r="M70" s="176">
        <v>64.784309668600002</v>
      </c>
      <c r="N70" s="176">
        <v>70.107599447400005</v>
      </c>
      <c r="O70" s="176">
        <v>78.756404746300007</v>
      </c>
      <c r="P70" s="176">
        <v>62.437006568199998</v>
      </c>
    </row>
    <row r="71" spans="2:16" ht="15" customHeight="1">
      <c r="B71" s="204"/>
      <c r="C71" s="147"/>
      <c r="D71" s="177">
        <v>51.364834243200001</v>
      </c>
      <c r="E71" s="177">
        <v>28.525761104899999</v>
      </c>
      <c r="F71" s="177">
        <v>19.292700864</v>
      </c>
      <c r="G71" s="177">
        <v>26.8904340375</v>
      </c>
      <c r="H71" s="177">
        <v>30.571421091000001</v>
      </c>
      <c r="I71" s="177">
        <v>36.435668434999997</v>
      </c>
      <c r="J71" s="177">
        <v>36.143624378299997</v>
      </c>
      <c r="K71" s="177">
        <v>33.497112747499997</v>
      </c>
      <c r="L71" s="177">
        <v>30.933778283799999</v>
      </c>
      <c r="M71" s="177">
        <v>35.307517909200001</v>
      </c>
      <c r="N71" s="177">
        <v>45.196962723699997</v>
      </c>
      <c r="O71" s="177">
        <v>36.297392464700003</v>
      </c>
      <c r="P71" s="177">
        <v>24.798933392999999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4">
        <f>(P52-D52)/D52</f>
        <v>-0.35373094801812427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4">
        <f>(P69-D69)/D69</f>
        <v>0.42756822864355282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4">
        <f>((P52+P69)-(D52+D69))/(D52+D69)</f>
        <v>-9.2517281672647028E-2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4">
        <f>(P70-D70)/D70</f>
        <v>-0.27417454909633893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4">
        <f>(P71-D71)/D71</f>
        <v>-0.51720016703289495</v>
      </c>
    </row>
    <row r="80" spans="2:16">
      <c r="B80" s="106" t="s">
        <v>150</v>
      </c>
    </row>
    <row r="81" spans="2:16">
      <c r="B81" s="108"/>
      <c r="C81" s="108" t="s">
        <v>32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202</v>
      </c>
      <c r="E82" s="108" t="s">
        <v>203</v>
      </c>
      <c r="F82" s="108" t="s">
        <v>204</v>
      </c>
      <c r="G82" s="108" t="s">
        <v>205</v>
      </c>
      <c r="H82" s="108" t="s">
        <v>206</v>
      </c>
      <c r="I82" s="108" t="s">
        <v>207</v>
      </c>
      <c r="J82" s="108" t="s">
        <v>208</v>
      </c>
      <c r="K82" s="108" t="s">
        <v>209</v>
      </c>
      <c r="L82" s="108" t="s">
        <v>210</v>
      </c>
      <c r="M82" s="108" t="s">
        <v>211</v>
      </c>
      <c r="N82" s="108" t="s">
        <v>212</v>
      </c>
      <c r="O82" s="108" t="s">
        <v>213</v>
      </c>
      <c r="P82" s="108" t="s">
        <v>214</v>
      </c>
    </row>
    <row r="83" spans="2:16">
      <c r="B83" s="108" t="s">
        <v>123</v>
      </c>
      <c r="C83" s="108" t="s">
        <v>124</v>
      </c>
      <c r="D83" s="108" t="s">
        <v>5</v>
      </c>
      <c r="E83" s="108" t="s">
        <v>6</v>
      </c>
      <c r="F83" s="108" t="s">
        <v>7</v>
      </c>
      <c r="G83" s="108" t="s">
        <v>8</v>
      </c>
      <c r="H83" s="108" t="s">
        <v>7</v>
      </c>
      <c r="I83" s="108" t="s">
        <v>9</v>
      </c>
      <c r="J83" s="108" t="s">
        <v>9</v>
      </c>
      <c r="K83" s="108" t="s">
        <v>8</v>
      </c>
      <c r="L83" s="108" t="s">
        <v>10</v>
      </c>
      <c r="M83" s="108" t="s">
        <v>11</v>
      </c>
      <c r="N83" s="108" t="s">
        <v>12</v>
      </c>
      <c r="O83" s="108" t="s">
        <v>13</v>
      </c>
      <c r="P83" s="108" t="s">
        <v>5</v>
      </c>
    </row>
    <row r="84" spans="2:16">
      <c r="B84" s="109" t="s">
        <v>229</v>
      </c>
      <c r="C84" s="109" t="s">
        <v>231</v>
      </c>
      <c r="D84" s="119">
        <v>27333.200000000001</v>
      </c>
      <c r="E84" s="119">
        <v>11782.3</v>
      </c>
      <c r="F84" s="119">
        <v>10392.299999999999</v>
      </c>
      <c r="G84" s="119">
        <v>11417.3</v>
      </c>
      <c r="H84" s="119">
        <v>14921.9</v>
      </c>
      <c r="I84" s="119">
        <v>35897.1</v>
      </c>
      <c r="J84" s="119">
        <v>15424.3</v>
      </c>
      <c r="K84" s="119">
        <v>17604.099999999999</v>
      </c>
      <c r="L84" s="119">
        <v>9030.9</v>
      </c>
      <c r="M84" s="119">
        <v>13899.2</v>
      </c>
      <c r="N84" s="119">
        <v>19298.3</v>
      </c>
      <c r="O84" s="119">
        <v>36464.5</v>
      </c>
      <c r="P84" s="119">
        <v>18538.8</v>
      </c>
    </row>
    <row r="85" spans="2:16">
      <c r="B85" s="109" t="s">
        <v>229</v>
      </c>
      <c r="C85" s="109" t="s">
        <v>26</v>
      </c>
      <c r="D85" s="119">
        <v>50390.400000000001</v>
      </c>
      <c r="E85" s="119">
        <v>9297.4</v>
      </c>
      <c r="F85" s="119">
        <v>9024.7999999999993</v>
      </c>
      <c r="G85" s="119">
        <v>11177.4</v>
      </c>
      <c r="H85" s="119">
        <v>12578.5</v>
      </c>
      <c r="I85" s="119">
        <v>86103.9</v>
      </c>
      <c r="J85" s="119">
        <v>25298.7</v>
      </c>
      <c r="K85" s="119">
        <v>20278.5</v>
      </c>
      <c r="L85" s="119">
        <v>13355.9</v>
      </c>
      <c r="M85" s="119">
        <v>20227.3</v>
      </c>
      <c r="N85" s="119">
        <v>45604</v>
      </c>
      <c r="O85" s="119">
        <v>72616.800000000003</v>
      </c>
      <c r="P85" s="119">
        <v>25466.6</v>
      </c>
    </row>
    <row r="86" spans="2:16">
      <c r="B86" s="109" t="s">
        <v>229</v>
      </c>
      <c r="C86" s="109" t="s">
        <v>238</v>
      </c>
      <c r="D86" s="119">
        <v>0</v>
      </c>
      <c r="E86" s="119">
        <v>0</v>
      </c>
      <c r="F86" s="119">
        <v>0</v>
      </c>
      <c r="G86" s="119">
        <v>1</v>
      </c>
      <c r="H86" s="119">
        <v>0</v>
      </c>
      <c r="I86" s="119">
        <v>16</v>
      </c>
      <c r="J86" s="119">
        <v>6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</row>
    <row r="87" spans="2:16">
      <c r="B87" s="109" t="s">
        <v>229</v>
      </c>
      <c r="C87" s="109" t="s">
        <v>232</v>
      </c>
      <c r="D87" s="119">
        <v>1420.1</v>
      </c>
      <c r="E87" s="119">
        <v>2429.3000000000002</v>
      </c>
      <c r="F87" s="119">
        <v>1213</v>
      </c>
      <c r="G87" s="119">
        <v>2298.6999999999998</v>
      </c>
      <c r="H87" s="119">
        <v>1623.5</v>
      </c>
      <c r="I87" s="119">
        <v>4321.8999999999996</v>
      </c>
      <c r="J87" s="119">
        <v>1196.5</v>
      </c>
      <c r="K87" s="119">
        <v>1953.7</v>
      </c>
      <c r="L87" s="119">
        <v>972.7</v>
      </c>
      <c r="M87" s="119">
        <v>3473.9</v>
      </c>
      <c r="N87" s="119">
        <v>3226</v>
      </c>
      <c r="O87" s="119">
        <v>14393.3</v>
      </c>
      <c r="P87" s="119">
        <v>6696</v>
      </c>
    </row>
    <row r="88" spans="2:16">
      <c r="B88" s="109" t="s">
        <v>229</v>
      </c>
      <c r="C88" s="109" t="s">
        <v>235</v>
      </c>
      <c r="D88" s="119">
        <v>796.7</v>
      </c>
      <c r="E88" s="119">
        <v>37.700000000000003</v>
      </c>
      <c r="F88" s="119">
        <v>83.9</v>
      </c>
      <c r="G88" s="119">
        <v>146.30000000000001</v>
      </c>
      <c r="H88" s="119">
        <v>791</v>
      </c>
      <c r="I88" s="119">
        <v>1499</v>
      </c>
      <c r="J88" s="119">
        <v>694.8</v>
      </c>
      <c r="K88" s="119">
        <v>1479</v>
      </c>
      <c r="L88" s="119">
        <v>456.9</v>
      </c>
      <c r="M88" s="119">
        <v>731.2</v>
      </c>
      <c r="N88" s="119">
        <v>983.4</v>
      </c>
      <c r="O88" s="119">
        <v>4195.1000000000004</v>
      </c>
      <c r="P88" s="119">
        <v>686</v>
      </c>
    </row>
    <row r="89" spans="2:16">
      <c r="B89" s="109" t="s">
        <v>229</v>
      </c>
      <c r="C89" s="109" t="s">
        <v>22</v>
      </c>
      <c r="D89" s="119">
        <v>48799.7</v>
      </c>
      <c r="E89" s="119">
        <v>5011.6000000000004</v>
      </c>
      <c r="F89" s="119">
        <v>15815.6</v>
      </c>
      <c r="G89" s="119">
        <v>6448.1</v>
      </c>
      <c r="H89" s="119">
        <v>6148.7</v>
      </c>
      <c r="I89" s="119">
        <v>35181.699999999997</v>
      </c>
      <c r="J89" s="119">
        <v>12560.8</v>
      </c>
      <c r="K89" s="119">
        <v>9282.6</v>
      </c>
      <c r="L89" s="119">
        <v>7586.6</v>
      </c>
      <c r="M89" s="119">
        <v>6859.3</v>
      </c>
      <c r="N89" s="119">
        <v>22432</v>
      </c>
      <c r="O89" s="119">
        <v>32118.7</v>
      </c>
      <c r="P89" s="119">
        <v>14339.3</v>
      </c>
    </row>
    <row r="90" spans="2:16">
      <c r="B90" s="109" t="s">
        <v>229</v>
      </c>
      <c r="C90" s="109" t="s">
        <v>230</v>
      </c>
      <c r="D90" s="119">
        <v>0</v>
      </c>
      <c r="E90" s="119">
        <v>0</v>
      </c>
      <c r="F90" s="119">
        <v>0</v>
      </c>
      <c r="G90" s="119">
        <v>105</v>
      </c>
      <c r="H90" s="119">
        <v>0</v>
      </c>
      <c r="I90" s="119">
        <v>537</v>
      </c>
      <c r="J90" s="119">
        <v>231</v>
      </c>
      <c r="K90" s="119">
        <v>0</v>
      </c>
      <c r="L90" s="119">
        <v>0</v>
      </c>
      <c r="M90" s="119">
        <v>0</v>
      </c>
      <c r="N90" s="119">
        <v>0</v>
      </c>
      <c r="O90" s="119">
        <v>1236</v>
      </c>
      <c r="P90" s="119">
        <v>277</v>
      </c>
    </row>
    <row r="91" spans="2:16">
      <c r="B91" s="109" t="s">
        <v>229</v>
      </c>
      <c r="C91" s="109" t="s">
        <v>234</v>
      </c>
      <c r="D91" s="119">
        <v>22768.5</v>
      </c>
      <c r="E91" s="119">
        <v>3301.6</v>
      </c>
      <c r="F91" s="119">
        <v>5970.4</v>
      </c>
      <c r="G91" s="119">
        <v>1824.9</v>
      </c>
      <c r="H91" s="119">
        <v>5041.6000000000004</v>
      </c>
      <c r="I91" s="119">
        <v>13587.3</v>
      </c>
      <c r="J91" s="119">
        <v>9853.2999999999993</v>
      </c>
      <c r="K91" s="119">
        <v>10537.6</v>
      </c>
      <c r="L91" s="119">
        <v>7497.3</v>
      </c>
      <c r="M91" s="119">
        <v>9809.2999999999993</v>
      </c>
      <c r="N91" s="119">
        <v>16186.5</v>
      </c>
      <c r="O91" s="119">
        <v>39485.4</v>
      </c>
      <c r="P91" s="119">
        <v>7767.7</v>
      </c>
    </row>
    <row r="92" spans="2:16">
      <c r="B92" s="109" t="s">
        <v>229</v>
      </c>
      <c r="C92" s="120" t="s">
        <v>0</v>
      </c>
      <c r="D92" s="121">
        <v>151508.6</v>
      </c>
      <c r="E92" s="121">
        <v>31859.9</v>
      </c>
      <c r="F92" s="121">
        <v>42500</v>
      </c>
      <c r="G92" s="121">
        <v>33418.699999999997</v>
      </c>
      <c r="H92" s="121">
        <v>41105.199999999997</v>
      </c>
      <c r="I92" s="121">
        <v>177143.9</v>
      </c>
      <c r="J92" s="121">
        <v>65265.4</v>
      </c>
      <c r="K92" s="121">
        <v>61135.5</v>
      </c>
      <c r="L92" s="121">
        <v>38900.300000000003</v>
      </c>
      <c r="M92" s="121">
        <v>55000.2</v>
      </c>
      <c r="N92" s="121">
        <v>107730.2</v>
      </c>
      <c r="O92" s="121">
        <v>200509.8</v>
      </c>
      <c r="P92" s="121">
        <v>73771.399999999994</v>
      </c>
    </row>
    <row r="93" spans="2:16">
      <c r="B93" s="109" t="s">
        <v>233</v>
      </c>
      <c r="C93" s="109" t="s">
        <v>231</v>
      </c>
      <c r="D93" s="119">
        <v>7306.9</v>
      </c>
      <c r="E93" s="119">
        <v>50376</v>
      </c>
      <c r="F93" s="119">
        <v>46429</v>
      </c>
      <c r="G93" s="119">
        <v>17956.2</v>
      </c>
      <c r="H93" s="119">
        <v>6283.8</v>
      </c>
      <c r="I93" s="119">
        <v>10864.5</v>
      </c>
      <c r="J93" s="119">
        <v>27924.7</v>
      </c>
      <c r="K93" s="119">
        <v>43819.1</v>
      </c>
      <c r="L93" s="119">
        <v>23995.8</v>
      </c>
      <c r="M93" s="119">
        <v>6238.1</v>
      </c>
      <c r="N93" s="119">
        <v>4345.3999999999996</v>
      </c>
      <c r="O93" s="119">
        <v>11031.5</v>
      </c>
      <c r="P93" s="119">
        <v>24843.5</v>
      </c>
    </row>
    <row r="94" spans="2:16">
      <c r="B94" s="109" t="s">
        <v>233</v>
      </c>
      <c r="C94" s="109" t="s">
        <v>26</v>
      </c>
      <c r="D94" s="119">
        <v>11559.1</v>
      </c>
      <c r="E94" s="119">
        <v>18600.8</v>
      </c>
      <c r="F94" s="119">
        <v>22875.8</v>
      </c>
      <c r="G94" s="119">
        <v>12815.5</v>
      </c>
      <c r="H94" s="119">
        <v>4145.3</v>
      </c>
      <c r="I94" s="119">
        <v>7378.2</v>
      </c>
      <c r="J94" s="119">
        <v>18737.8</v>
      </c>
      <c r="K94" s="119">
        <v>26947.4</v>
      </c>
      <c r="L94" s="119">
        <v>23603.4</v>
      </c>
      <c r="M94" s="119">
        <v>6107.2</v>
      </c>
      <c r="N94" s="119">
        <v>8205.2999999999993</v>
      </c>
      <c r="O94" s="119">
        <v>9660.7000000000007</v>
      </c>
      <c r="P94" s="119">
        <v>12025</v>
      </c>
    </row>
    <row r="95" spans="2:16">
      <c r="B95" s="109" t="s">
        <v>233</v>
      </c>
      <c r="C95" s="109" t="s">
        <v>238</v>
      </c>
      <c r="D95" s="119">
        <v>88</v>
      </c>
      <c r="E95" s="119">
        <v>92.8</v>
      </c>
      <c r="F95" s="119">
        <v>230</v>
      </c>
      <c r="G95" s="119">
        <v>103.4</v>
      </c>
      <c r="H95" s="119">
        <v>18.899999999999999</v>
      </c>
      <c r="I95" s="119">
        <v>88.1</v>
      </c>
      <c r="J95" s="119">
        <v>26.5</v>
      </c>
      <c r="K95" s="119">
        <v>131.4</v>
      </c>
      <c r="L95" s="119">
        <v>120.4</v>
      </c>
      <c r="M95" s="119">
        <v>11.4</v>
      </c>
      <c r="N95" s="119">
        <v>0</v>
      </c>
      <c r="O95" s="119">
        <v>0</v>
      </c>
      <c r="P95" s="119">
        <v>139.19999999999999</v>
      </c>
    </row>
    <row r="96" spans="2:16">
      <c r="B96" s="109" t="s">
        <v>233</v>
      </c>
      <c r="C96" s="109" t="s">
        <v>232</v>
      </c>
      <c r="D96" s="119">
        <v>7999</v>
      </c>
      <c r="E96" s="119">
        <v>18257.2</v>
      </c>
      <c r="F96" s="119">
        <v>26858.5</v>
      </c>
      <c r="G96" s="119">
        <v>12162.2</v>
      </c>
      <c r="H96" s="119">
        <v>7977.8</v>
      </c>
      <c r="I96" s="119">
        <v>16621.400000000001</v>
      </c>
      <c r="J96" s="119">
        <v>21039.7</v>
      </c>
      <c r="K96" s="119">
        <v>18038.2</v>
      </c>
      <c r="L96" s="119">
        <v>18312.900000000001</v>
      </c>
      <c r="M96" s="119">
        <v>8233.1</v>
      </c>
      <c r="N96" s="119">
        <v>6736.7</v>
      </c>
      <c r="O96" s="119">
        <v>16502.5</v>
      </c>
      <c r="P96" s="119">
        <v>12696.1</v>
      </c>
    </row>
    <row r="97" spans="2:16">
      <c r="B97" s="109" t="s">
        <v>233</v>
      </c>
      <c r="C97" s="109" t="s">
        <v>235</v>
      </c>
      <c r="D97" s="119">
        <v>402.8</v>
      </c>
      <c r="E97" s="119">
        <v>867.9</v>
      </c>
      <c r="F97" s="119">
        <v>1566</v>
      </c>
      <c r="G97" s="119">
        <v>688.3</v>
      </c>
      <c r="H97" s="119">
        <v>313</v>
      </c>
      <c r="I97" s="119">
        <v>464.4</v>
      </c>
      <c r="J97" s="119">
        <v>1083.3</v>
      </c>
      <c r="K97" s="119">
        <v>700.3</v>
      </c>
      <c r="L97" s="119">
        <v>630.70000000000005</v>
      </c>
      <c r="M97" s="119">
        <v>466.1</v>
      </c>
      <c r="N97" s="119">
        <v>204.5</v>
      </c>
      <c r="O97" s="119">
        <v>1775.9</v>
      </c>
      <c r="P97" s="119">
        <v>3036.8</v>
      </c>
    </row>
    <row r="98" spans="2:16">
      <c r="B98" s="109" t="s">
        <v>233</v>
      </c>
      <c r="C98" s="109" t="s">
        <v>22</v>
      </c>
      <c r="D98" s="119">
        <v>17797.7</v>
      </c>
      <c r="E98" s="119">
        <v>17793.5</v>
      </c>
      <c r="F98" s="119">
        <v>20878.900000000001</v>
      </c>
      <c r="G98" s="119">
        <v>19850.2</v>
      </c>
      <c r="H98" s="119">
        <v>4389.8</v>
      </c>
      <c r="I98" s="119">
        <v>2067.3000000000002</v>
      </c>
      <c r="J98" s="119">
        <v>2318.1</v>
      </c>
      <c r="K98" s="119">
        <v>5037</v>
      </c>
      <c r="L98" s="119">
        <v>2095.3000000000002</v>
      </c>
      <c r="M98" s="119">
        <v>1774.5</v>
      </c>
      <c r="N98" s="119">
        <v>506</v>
      </c>
      <c r="O98" s="119">
        <v>2151.1999999999998</v>
      </c>
      <c r="P98" s="119">
        <v>14862.1</v>
      </c>
    </row>
    <row r="99" spans="2:16">
      <c r="B99" s="109" t="s">
        <v>233</v>
      </c>
      <c r="C99" s="109" t="s">
        <v>230</v>
      </c>
      <c r="D99" s="119">
        <v>0</v>
      </c>
      <c r="E99" s="119">
        <v>0</v>
      </c>
      <c r="F99" s="119">
        <v>0</v>
      </c>
      <c r="G99" s="119">
        <v>66</v>
      </c>
      <c r="H99" s="119">
        <v>0</v>
      </c>
      <c r="I99" s="119">
        <v>1381.8</v>
      </c>
      <c r="J99" s="119">
        <v>0</v>
      </c>
      <c r="K99" s="119">
        <v>0</v>
      </c>
      <c r="L99" s="119">
        <v>0</v>
      </c>
      <c r="M99" s="119">
        <v>300.5</v>
      </c>
      <c r="N99" s="119">
        <v>0</v>
      </c>
      <c r="O99" s="119">
        <v>0</v>
      </c>
      <c r="P99" s="119">
        <v>109.8</v>
      </c>
    </row>
    <row r="100" spans="2:16">
      <c r="B100" s="109" t="s">
        <v>233</v>
      </c>
      <c r="C100" s="109" t="s">
        <v>234</v>
      </c>
      <c r="D100" s="119">
        <v>1941.3</v>
      </c>
      <c r="E100" s="119">
        <v>4596.7</v>
      </c>
      <c r="F100" s="119">
        <v>13810.2</v>
      </c>
      <c r="G100" s="119">
        <v>11430.1</v>
      </c>
      <c r="H100" s="119">
        <v>935.6</v>
      </c>
      <c r="I100" s="119">
        <v>160.4</v>
      </c>
      <c r="J100" s="119">
        <v>4314</v>
      </c>
      <c r="K100" s="119">
        <v>3400</v>
      </c>
      <c r="L100" s="119">
        <v>1288.4000000000001</v>
      </c>
      <c r="M100" s="119">
        <v>185</v>
      </c>
      <c r="N100" s="119">
        <v>802.1</v>
      </c>
      <c r="O100" s="119">
        <v>2234.6</v>
      </c>
      <c r="P100" s="119">
        <v>13649</v>
      </c>
    </row>
    <row r="101" spans="2:16">
      <c r="B101" s="109" t="s">
        <v>233</v>
      </c>
      <c r="C101" s="120" t="s">
        <v>0</v>
      </c>
      <c r="D101" s="121">
        <v>47094.8</v>
      </c>
      <c r="E101" s="121">
        <v>110584.9</v>
      </c>
      <c r="F101" s="121">
        <v>132648.4</v>
      </c>
      <c r="G101" s="121">
        <v>75071.899999999994</v>
      </c>
      <c r="H101" s="121">
        <v>24064.2</v>
      </c>
      <c r="I101" s="121">
        <v>39026.1</v>
      </c>
      <c r="J101" s="121">
        <v>75444.100000000006</v>
      </c>
      <c r="K101" s="121">
        <v>98073.4</v>
      </c>
      <c r="L101" s="121">
        <v>70046.899999999994</v>
      </c>
      <c r="M101" s="121">
        <v>23315.9</v>
      </c>
      <c r="N101" s="121">
        <v>20800</v>
      </c>
      <c r="O101" s="121">
        <v>43356.4</v>
      </c>
      <c r="P101" s="121">
        <v>81361.5</v>
      </c>
    </row>
    <row r="102" spans="2:16">
      <c r="B102" s="109" t="s">
        <v>0</v>
      </c>
      <c r="C102" s="146"/>
      <c r="D102" s="176">
        <v>84.925632340299998</v>
      </c>
      <c r="E102" s="176">
        <v>75.523737362600002</v>
      </c>
      <c r="F102" s="176">
        <v>52.278636470599999</v>
      </c>
      <c r="G102" s="176">
        <v>50.1687773612</v>
      </c>
      <c r="H102" s="176">
        <v>52.772110097999999</v>
      </c>
      <c r="I102" s="176">
        <v>57.933831365300001</v>
      </c>
      <c r="J102" s="176">
        <v>57.393478933700003</v>
      </c>
      <c r="K102" s="176">
        <v>54.654758855300003</v>
      </c>
      <c r="L102" s="176">
        <v>54.685032249099997</v>
      </c>
      <c r="M102" s="176">
        <v>61.513323042499998</v>
      </c>
      <c r="N102" s="176">
        <v>71.000344286000001</v>
      </c>
      <c r="O102" s="176">
        <v>75.213326381100003</v>
      </c>
      <c r="P102" s="176">
        <v>60.115528511000001</v>
      </c>
    </row>
    <row r="103" spans="2:16">
      <c r="B103" s="109"/>
      <c r="C103" s="147"/>
      <c r="D103" s="177">
        <v>56.505910843700001</v>
      </c>
      <c r="E103" s="177">
        <v>39.278952461000003</v>
      </c>
      <c r="F103" s="177">
        <v>30.862738864499999</v>
      </c>
      <c r="G103" s="177">
        <v>38.917594599300003</v>
      </c>
      <c r="H103" s="177">
        <v>37.510220161100001</v>
      </c>
      <c r="I103" s="177">
        <v>38.300981138300003</v>
      </c>
      <c r="J103" s="177">
        <v>40.000333624500001</v>
      </c>
      <c r="K103" s="177">
        <v>35.937440223300001</v>
      </c>
      <c r="L103" s="177">
        <v>36.511317131799998</v>
      </c>
      <c r="M103" s="177">
        <v>38.937077702300002</v>
      </c>
      <c r="N103" s="177">
        <v>48.682983173099998</v>
      </c>
      <c r="O103" s="177">
        <v>37.017880635799997</v>
      </c>
      <c r="P103" s="177">
        <v>35.217388445399997</v>
      </c>
    </row>
    <row r="104" spans="2:16" ht="15">
      <c r="B104" s="118"/>
      <c r="C104" s="118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</row>
    <row r="105" spans="2:16" ht="15">
      <c r="B105" s="118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09"/>
      <c r="O105" s="116"/>
      <c r="P105" s="109"/>
    </row>
    <row r="106" spans="2:16" ht="15">
      <c r="B106" s="118"/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09"/>
      <c r="O106" s="116"/>
      <c r="P106" s="109" t="s">
        <v>85</v>
      </c>
    </row>
    <row r="107" spans="2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 t="s">
        <v>72</v>
      </c>
      <c r="O107" s="116"/>
      <c r="P107" s="174">
        <f>(P92-D92)/D92</f>
        <v>-0.51308770591240371</v>
      </c>
    </row>
    <row r="108" spans="2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 t="s">
        <v>73</v>
      </c>
      <c r="O108" s="116"/>
      <c r="P108" s="174">
        <f>(P101-D101)/D101</f>
        <v>0.72761111630158737</v>
      </c>
    </row>
    <row r="109" spans="2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75</v>
      </c>
      <c r="O109" s="116"/>
      <c r="P109" s="174">
        <f>((P92+P101)-(D92+D101))/(D92+D101)</f>
        <v>-0.21888094564342817</v>
      </c>
    </row>
    <row r="110" spans="2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70</v>
      </c>
      <c r="O110" s="116"/>
      <c r="P110" s="174">
        <f>(P102-D102)/D102</f>
        <v>-0.29213917100887793</v>
      </c>
    </row>
    <row r="111" spans="2:16">
      <c r="N111" s="109" t="s">
        <v>71</v>
      </c>
      <c r="O111" s="116"/>
      <c r="P111" s="174">
        <f>(P103-D103)/D103</f>
        <v>-0.37674859285404333</v>
      </c>
    </row>
    <row r="112" spans="2:16">
      <c r="B112" s="106" t="s">
        <v>151</v>
      </c>
    </row>
    <row r="113" spans="2:16">
      <c r="B113" s="108" t="s">
        <v>32</v>
      </c>
      <c r="C113" s="108" t="s">
        <v>65</v>
      </c>
      <c r="D113" s="108" t="s">
        <v>65</v>
      </c>
      <c r="E113" s="108" t="s">
        <v>65</v>
      </c>
      <c r="F113" s="108" t="s">
        <v>65</v>
      </c>
      <c r="G113" s="108" t="s">
        <v>65</v>
      </c>
      <c r="H113" s="108" t="s">
        <v>65</v>
      </c>
      <c r="I113" s="108" t="s">
        <v>65</v>
      </c>
      <c r="J113" s="108" t="s">
        <v>65</v>
      </c>
      <c r="K113" s="108" t="s">
        <v>65</v>
      </c>
      <c r="L113" s="108" t="s">
        <v>65</v>
      </c>
      <c r="M113" s="108" t="s">
        <v>65</v>
      </c>
      <c r="N113" s="108" t="s">
        <v>65</v>
      </c>
      <c r="O113" s="108" t="s">
        <v>65</v>
      </c>
      <c r="P113" s="108" t="s">
        <v>65</v>
      </c>
    </row>
    <row r="114" spans="2:16">
      <c r="B114" s="108" t="s">
        <v>119</v>
      </c>
      <c r="C114" s="108" t="s">
        <v>202</v>
      </c>
      <c r="D114" s="108" t="s">
        <v>203</v>
      </c>
      <c r="E114" s="108" t="s">
        <v>204</v>
      </c>
      <c r="F114" s="108" t="s">
        <v>205</v>
      </c>
      <c r="G114" s="108" t="s">
        <v>206</v>
      </c>
      <c r="H114" s="108" t="s">
        <v>207</v>
      </c>
      <c r="I114" s="108" t="s">
        <v>208</v>
      </c>
      <c r="J114" s="108" t="s">
        <v>209</v>
      </c>
      <c r="K114" s="108" t="s">
        <v>210</v>
      </c>
      <c r="L114" s="108" t="s">
        <v>211</v>
      </c>
      <c r="M114" s="108" t="s">
        <v>212</v>
      </c>
      <c r="N114" s="108" t="s">
        <v>213</v>
      </c>
      <c r="O114" s="108" t="s">
        <v>214</v>
      </c>
      <c r="P114" s="108" t="s">
        <v>0</v>
      </c>
    </row>
    <row r="115" spans="2:16">
      <c r="B115" s="108" t="s">
        <v>124</v>
      </c>
      <c r="C115" s="108" t="s">
        <v>5</v>
      </c>
      <c r="D115" s="108" t="s">
        <v>6</v>
      </c>
      <c r="E115" s="108" t="s">
        <v>7</v>
      </c>
      <c r="F115" s="108" t="s">
        <v>8</v>
      </c>
      <c r="G115" s="108" t="s">
        <v>7</v>
      </c>
      <c r="H115" s="108" t="s">
        <v>9</v>
      </c>
      <c r="I115" s="108" t="s">
        <v>9</v>
      </c>
      <c r="J115" s="108" t="s">
        <v>8</v>
      </c>
      <c r="K115" s="108" t="s">
        <v>10</v>
      </c>
      <c r="L115" s="108" t="s">
        <v>11</v>
      </c>
      <c r="M115" s="108" t="s">
        <v>12</v>
      </c>
      <c r="N115" s="108" t="s">
        <v>13</v>
      </c>
      <c r="O115" s="108" t="s">
        <v>5</v>
      </c>
      <c r="P115" s="108"/>
    </row>
    <row r="116" spans="2:16">
      <c r="B116" s="109" t="s">
        <v>231</v>
      </c>
      <c r="C116" s="119">
        <v>0</v>
      </c>
      <c r="D116" s="119">
        <v>6150</v>
      </c>
      <c r="E116" s="119">
        <v>0</v>
      </c>
      <c r="F116" s="119">
        <v>610</v>
      </c>
      <c r="G116" s="119">
        <v>70</v>
      </c>
      <c r="H116" s="119">
        <v>673.2</v>
      </c>
      <c r="I116" s="119">
        <v>0</v>
      </c>
      <c r="J116" s="119">
        <v>1372.5</v>
      </c>
      <c r="K116" s="119">
        <v>0</v>
      </c>
      <c r="L116" s="119">
        <v>0</v>
      </c>
      <c r="M116" s="119">
        <v>0</v>
      </c>
      <c r="N116" s="119">
        <v>374</v>
      </c>
      <c r="O116" s="119">
        <v>0</v>
      </c>
      <c r="P116" s="119">
        <v>9249.7000000000007</v>
      </c>
    </row>
    <row r="117" spans="2:16">
      <c r="B117" s="109" t="s">
        <v>26</v>
      </c>
      <c r="C117" s="119">
        <v>25945.3</v>
      </c>
      <c r="D117" s="119">
        <v>9508.4</v>
      </c>
      <c r="E117" s="119">
        <v>19740.7</v>
      </c>
      <c r="F117" s="119">
        <v>6714.7</v>
      </c>
      <c r="G117" s="119">
        <v>3116.9</v>
      </c>
      <c r="H117" s="119">
        <v>5702.5</v>
      </c>
      <c r="I117" s="119">
        <v>4906.7</v>
      </c>
      <c r="J117" s="119">
        <v>12488.5</v>
      </c>
      <c r="K117" s="119">
        <v>9962.2999999999993</v>
      </c>
      <c r="L117" s="119">
        <v>10119.200000000001</v>
      </c>
      <c r="M117" s="119">
        <v>8034.3</v>
      </c>
      <c r="N117" s="119">
        <v>3967.2</v>
      </c>
      <c r="O117" s="119">
        <v>4799.8</v>
      </c>
      <c r="P117" s="119">
        <v>125006.5</v>
      </c>
    </row>
    <row r="118" spans="2:16">
      <c r="B118" s="109" t="s">
        <v>238</v>
      </c>
      <c r="C118" s="119">
        <v>0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9">
        <v>0</v>
      </c>
      <c r="N118" s="119">
        <v>0</v>
      </c>
      <c r="O118" s="119">
        <v>0</v>
      </c>
      <c r="P118" s="119">
        <v>0</v>
      </c>
    </row>
    <row r="119" spans="2:16">
      <c r="B119" s="109" t="s">
        <v>232</v>
      </c>
      <c r="C119" s="119">
        <v>3031.3</v>
      </c>
      <c r="D119" s="119">
        <v>1469.4</v>
      </c>
      <c r="E119" s="119">
        <v>1177.9000000000001</v>
      </c>
      <c r="F119" s="119">
        <v>1740</v>
      </c>
      <c r="G119" s="119">
        <v>762.7</v>
      </c>
      <c r="H119" s="119">
        <v>1567.6</v>
      </c>
      <c r="I119" s="119">
        <v>593.20000000000005</v>
      </c>
      <c r="J119" s="119">
        <v>3675.7</v>
      </c>
      <c r="K119" s="119">
        <v>123.8</v>
      </c>
      <c r="L119" s="119">
        <v>1038.2</v>
      </c>
      <c r="M119" s="119">
        <v>863.8</v>
      </c>
      <c r="N119" s="119">
        <v>2746.1</v>
      </c>
      <c r="O119" s="119">
        <v>3776.1</v>
      </c>
      <c r="P119" s="119">
        <v>22565.8</v>
      </c>
    </row>
    <row r="120" spans="2:16">
      <c r="B120" s="109" t="s">
        <v>243</v>
      </c>
      <c r="C120" s="119">
        <v>0</v>
      </c>
      <c r="D120" s="119">
        <v>0</v>
      </c>
      <c r="E120" s="119">
        <v>20.399999999999999</v>
      </c>
      <c r="F120" s="119">
        <v>132.6</v>
      </c>
      <c r="G120" s="119">
        <v>846.6</v>
      </c>
      <c r="H120" s="119">
        <v>28.4</v>
      </c>
      <c r="I120" s="119">
        <v>844.1</v>
      </c>
      <c r="J120" s="119">
        <v>1561.2</v>
      </c>
      <c r="K120" s="119">
        <v>0</v>
      </c>
      <c r="L120" s="119">
        <v>495.2</v>
      </c>
      <c r="M120" s="119">
        <v>0</v>
      </c>
      <c r="N120" s="119">
        <v>58.6</v>
      </c>
      <c r="O120" s="119">
        <v>0</v>
      </c>
      <c r="P120" s="119">
        <v>3987.1</v>
      </c>
    </row>
    <row r="121" spans="2:16">
      <c r="B121" s="109" t="s">
        <v>235</v>
      </c>
      <c r="C121" s="119">
        <v>0</v>
      </c>
      <c r="D121" s="119">
        <v>0</v>
      </c>
      <c r="E121" s="119">
        <v>43.7</v>
      </c>
      <c r="F121" s="119">
        <v>93.7</v>
      </c>
      <c r="G121" s="119">
        <v>0</v>
      </c>
      <c r="H121" s="119">
        <v>0</v>
      </c>
      <c r="I121" s="119">
        <v>0</v>
      </c>
      <c r="J121" s="119">
        <v>0</v>
      </c>
      <c r="K121" s="119">
        <v>0</v>
      </c>
      <c r="L121" s="119">
        <v>0</v>
      </c>
      <c r="M121" s="119">
        <v>0</v>
      </c>
      <c r="N121" s="119">
        <v>0</v>
      </c>
      <c r="O121" s="119">
        <v>0</v>
      </c>
      <c r="P121" s="119">
        <v>137.4</v>
      </c>
    </row>
    <row r="122" spans="2:16">
      <c r="B122" s="109" t="s">
        <v>22</v>
      </c>
      <c r="C122" s="119">
        <v>733.3</v>
      </c>
      <c r="D122" s="119">
        <v>198</v>
      </c>
      <c r="E122" s="119">
        <v>849.6</v>
      </c>
      <c r="F122" s="119">
        <v>0</v>
      </c>
      <c r="G122" s="119">
        <v>410</v>
      </c>
      <c r="H122" s="119">
        <v>149.4</v>
      </c>
      <c r="I122" s="119">
        <v>376.7</v>
      </c>
      <c r="J122" s="119">
        <v>359.5</v>
      </c>
      <c r="K122" s="119">
        <v>40</v>
      </c>
      <c r="L122" s="119">
        <v>208.4</v>
      </c>
      <c r="M122" s="119">
        <v>0</v>
      </c>
      <c r="N122" s="119">
        <v>52.1</v>
      </c>
      <c r="O122" s="119">
        <v>0</v>
      </c>
      <c r="P122" s="119">
        <v>3377</v>
      </c>
    </row>
    <row r="123" spans="2:16">
      <c r="B123" s="109" t="s">
        <v>245</v>
      </c>
      <c r="C123" s="119">
        <v>0</v>
      </c>
      <c r="D123" s="119">
        <v>2463.6</v>
      </c>
      <c r="E123" s="119">
        <v>0</v>
      </c>
      <c r="F123" s="119">
        <v>4549.7</v>
      </c>
      <c r="G123" s="119">
        <v>0</v>
      </c>
      <c r="H123" s="119">
        <v>0</v>
      </c>
      <c r="I123" s="119">
        <v>973.2</v>
      </c>
      <c r="J123" s="119">
        <v>1700.4</v>
      </c>
      <c r="K123" s="119">
        <v>0</v>
      </c>
      <c r="L123" s="119">
        <v>0</v>
      </c>
      <c r="M123" s="119">
        <v>3635.7</v>
      </c>
      <c r="N123" s="119">
        <v>0</v>
      </c>
      <c r="O123" s="119">
        <v>5766.5</v>
      </c>
      <c r="P123" s="119">
        <v>19089.099999999999</v>
      </c>
    </row>
    <row r="124" spans="2:16">
      <c r="B124" s="109" t="s">
        <v>239</v>
      </c>
      <c r="C124" s="119">
        <v>0</v>
      </c>
      <c r="D124" s="119">
        <v>0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>
        <v>0</v>
      </c>
      <c r="K124" s="119">
        <v>0</v>
      </c>
      <c r="L124" s="119">
        <v>0</v>
      </c>
      <c r="M124" s="119">
        <v>0</v>
      </c>
      <c r="N124" s="119">
        <v>0</v>
      </c>
      <c r="O124" s="119">
        <v>0</v>
      </c>
      <c r="P124" s="119">
        <v>0</v>
      </c>
    </row>
    <row r="125" spans="2:16">
      <c r="B125" s="109" t="s">
        <v>246</v>
      </c>
      <c r="C125" s="119">
        <v>0</v>
      </c>
      <c r="D125" s="119">
        <v>0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>
        <v>0</v>
      </c>
      <c r="K125" s="119">
        <v>0</v>
      </c>
      <c r="L125" s="119">
        <v>0</v>
      </c>
      <c r="M125" s="119">
        <v>0</v>
      </c>
      <c r="N125" s="119">
        <v>0</v>
      </c>
      <c r="O125" s="119">
        <v>0</v>
      </c>
      <c r="P125" s="119">
        <v>0</v>
      </c>
    </row>
    <row r="126" spans="2:16">
      <c r="B126" s="109" t="s">
        <v>236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234</v>
      </c>
      <c r="C127" s="119">
        <v>4804</v>
      </c>
      <c r="D127" s="119">
        <v>2519.6999999999998</v>
      </c>
      <c r="E127" s="119">
        <v>6709.7</v>
      </c>
      <c r="F127" s="119">
        <v>7385.9</v>
      </c>
      <c r="G127" s="119">
        <v>1489.3</v>
      </c>
      <c r="H127" s="119">
        <v>940.1</v>
      </c>
      <c r="I127" s="119">
        <v>7214.8</v>
      </c>
      <c r="J127" s="119">
        <v>1397.9</v>
      </c>
      <c r="K127" s="119">
        <v>759.3</v>
      </c>
      <c r="L127" s="119">
        <v>2510.5</v>
      </c>
      <c r="M127" s="119">
        <v>1650.6</v>
      </c>
      <c r="N127" s="119">
        <v>774.9</v>
      </c>
      <c r="O127" s="119">
        <v>1181.9000000000001</v>
      </c>
      <c r="P127" s="119">
        <v>39338.6</v>
      </c>
    </row>
    <row r="128" spans="2:16">
      <c r="B128" s="120" t="s">
        <v>0</v>
      </c>
      <c r="C128" s="121">
        <v>34513.9</v>
      </c>
      <c r="D128" s="121">
        <v>22309.1</v>
      </c>
      <c r="E128" s="121">
        <v>28542</v>
      </c>
      <c r="F128" s="121">
        <v>21226.6</v>
      </c>
      <c r="G128" s="121">
        <v>6695.5</v>
      </c>
      <c r="H128" s="121">
        <v>9061.2000000000007</v>
      </c>
      <c r="I128" s="121">
        <v>14908.7</v>
      </c>
      <c r="J128" s="121">
        <v>22555.7</v>
      </c>
      <c r="K128" s="121">
        <v>10885.4</v>
      </c>
      <c r="L128" s="121">
        <v>14371.5</v>
      </c>
      <c r="M128" s="121">
        <v>14184.4</v>
      </c>
      <c r="N128" s="121">
        <v>7972.9</v>
      </c>
      <c r="O128" s="121">
        <v>15524.3</v>
      </c>
      <c r="P128" s="121">
        <v>222751.2</v>
      </c>
    </row>
    <row r="129" spans="2:16">
      <c r="B129" s="109" t="s">
        <v>231</v>
      </c>
      <c r="C129" s="119">
        <v>376.2</v>
      </c>
      <c r="D129" s="119">
        <v>14289.6</v>
      </c>
      <c r="E129" s="119">
        <v>1420.9</v>
      </c>
      <c r="F129" s="119">
        <v>808.2</v>
      </c>
      <c r="G129" s="119">
        <v>0</v>
      </c>
      <c r="H129" s="119">
        <v>294.2</v>
      </c>
      <c r="I129" s="119">
        <v>516.70000000000005</v>
      </c>
      <c r="J129" s="119">
        <v>0</v>
      </c>
      <c r="K129" s="119">
        <v>0</v>
      </c>
      <c r="L129" s="119">
        <v>8149.5</v>
      </c>
      <c r="M129" s="119">
        <v>0</v>
      </c>
      <c r="N129" s="119">
        <v>0</v>
      </c>
      <c r="O129" s="119">
        <v>0</v>
      </c>
      <c r="P129" s="119">
        <v>25855.3</v>
      </c>
    </row>
    <row r="130" spans="2:16">
      <c r="B130" s="109" t="s">
        <v>26</v>
      </c>
      <c r="C130" s="119">
        <v>910.9</v>
      </c>
      <c r="D130" s="119">
        <v>859.1</v>
      </c>
      <c r="E130" s="119">
        <v>0</v>
      </c>
      <c r="F130" s="119">
        <v>1016.6</v>
      </c>
      <c r="G130" s="119">
        <v>1097.9000000000001</v>
      </c>
      <c r="H130" s="119">
        <v>0</v>
      </c>
      <c r="I130" s="119">
        <v>1537.9</v>
      </c>
      <c r="J130" s="119">
        <v>2533.1</v>
      </c>
      <c r="K130" s="119">
        <v>555.79999999999995</v>
      </c>
      <c r="L130" s="119">
        <v>754.8</v>
      </c>
      <c r="M130" s="119">
        <v>458.3</v>
      </c>
      <c r="N130" s="119">
        <v>223.8</v>
      </c>
      <c r="O130" s="119">
        <v>0</v>
      </c>
      <c r="P130" s="119">
        <v>9948.2000000000007</v>
      </c>
    </row>
    <row r="131" spans="2:16">
      <c r="B131" s="109" t="s">
        <v>238</v>
      </c>
      <c r="C131" s="119">
        <v>0</v>
      </c>
      <c r="D131" s="119">
        <v>5068.8</v>
      </c>
      <c r="E131" s="119">
        <v>2008.3</v>
      </c>
      <c r="F131" s="119">
        <v>1618.6</v>
      </c>
      <c r="G131" s="119">
        <v>0</v>
      </c>
      <c r="H131" s="119">
        <v>0</v>
      </c>
      <c r="I131" s="119">
        <v>257</v>
      </c>
      <c r="J131" s="119">
        <v>0</v>
      </c>
      <c r="K131" s="119">
        <v>0</v>
      </c>
      <c r="L131" s="119">
        <v>3.5</v>
      </c>
      <c r="M131" s="119">
        <v>0</v>
      </c>
      <c r="N131" s="119">
        <v>2.4</v>
      </c>
      <c r="O131" s="119">
        <v>0</v>
      </c>
      <c r="P131" s="119">
        <v>8958.6</v>
      </c>
    </row>
    <row r="132" spans="2:16">
      <c r="B132" s="109" t="s">
        <v>232</v>
      </c>
      <c r="C132" s="119">
        <v>52921.9</v>
      </c>
      <c r="D132" s="119">
        <v>28184.1</v>
      </c>
      <c r="E132" s="119">
        <v>27920</v>
      </c>
      <c r="F132" s="119">
        <v>42815.3</v>
      </c>
      <c r="G132" s="119">
        <v>21404.400000000001</v>
      </c>
      <c r="H132" s="119">
        <v>4310.8</v>
      </c>
      <c r="I132" s="119">
        <v>809.6</v>
      </c>
      <c r="J132" s="119">
        <v>2991.4</v>
      </c>
      <c r="K132" s="119">
        <v>20748.5</v>
      </c>
      <c r="L132" s="119">
        <v>31856.3</v>
      </c>
      <c r="M132" s="119">
        <v>31829.7</v>
      </c>
      <c r="N132" s="119">
        <v>30752.2</v>
      </c>
      <c r="O132" s="119">
        <v>31097.5</v>
      </c>
      <c r="P132" s="119">
        <v>327641.7</v>
      </c>
    </row>
    <row r="133" spans="2:16">
      <c r="B133" s="109" t="s">
        <v>243</v>
      </c>
      <c r="C133" s="119">
        <v>0</v>
      </c>
      <c r="D133" s="119">
        <v>0</v>
      </c>
      <c r="E133" s="119">
        <v>0</v>
      </c>
      <c r="F133" s="119">
        <v>0</v>
      </c>
      <c r="G133" s="119">
        <v>0</v>
      </c>
      <c r="H133" s="119">
        <v>42.4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42.4</v>
      </c>
    </row>
    <row r="134" spans="2:16">
      <c r="B134" s="109" t="s">
        <v>235</v>
      </c>
      <c r="C134" s="119">
        <v>42.8</v>
      </c>
      <c r="D134" s="119">
        <v>40432</v>
      </c>
      <c r="E134" s="119">
        <v>13960.1</v>
      </c>
      <c r="F134" s="119">
        <v>4070.8</v>
      </c>
      <c r="G134" s="119">
        <v>137.4</v>
      </c>
      <c r="H134" s="119">
        <v>0.6</v>
      </c>
      <c r="I134" s="119">
        <v>9502.9</v>
      </c>
      <c r="J134" s="119">
        <v>42.6</v>
      </c>
      <c r="K134" s="119">
        <v>1071</v>
      </c>
      <c r="L134" s="119">
        <v>1760.6</v>
      </c>
      <c r="M134" s="119">
        <v>671.7</v>
      </c>
      <c r="N134" s="119">
        <v>2324.3000000000002</v>
      </c>
      <c r="O134" s="119">
        <v>268.5</v>
      </c>
      <c r="P134" s="119">
        <v>74285.3</v>
      </c>
    </row>
    <row r="135" spans="2:16">
      <c r="B135" s="109" t="s">
        <v>22</v>
      </c>
      <c r="C135" s="119">
        <v>0</v>
      </c>
      <c r="D135" s="119">
        <v>8486.1</v>
      </c>
      <c r="E135" s="119">
        <v>1762.8</v>
      </c>
      <c r="F135" s="119">
        <v>105.9</v>
      </c>
      <c r="G135" s="119">
        <v>0</v>
      </c>
      <c r="H135" s="119">
        <v>0</v>
      </c>
      <c r="I135" s="119">
        <v>408.7</v>
      </c>
      <c r="J135" s="119">
        <v>0</v>
      </c>
      <c r="K135" s="119">
        <v>8.1999999999999993</v>
      </c>
      <c r="L135" s="119">
        <v>0</v>
      </c>
      <c r="M135" s="119">
        <v>189.5</v>
      </c>
      <c r="N135" s="119">
        <v>0</v>
      </c>
      <c r="O135" s="119">
        <v>0</v>
      </c>
      <c r="P135" s="119">
        <v>10961.2</v>
      </c>
    </row>
    <row r="136" spans="2:16">
      <c r="B136" s="109" t="s">
        <v>239</v>
      </c>
      <c r="C136" s="119">
        <v>0</v>
      </c>
      <c r="D136" s="119">
        <v>49.4</v>
      </c>
      <c r="E136" s="119">
        <v>22.7</v>
      </c>
      <c r="F136" s="119">
        <v>51.2</v>
      </c>
      <c r="G136" s="119">
        <v>0</v>
      </c>
      <c r="H136" s="119">
        <v>0</v>
      </c>
      <c r="I136" s="119">
        <v>117.5</v>
      </c>
      <c r="J136" s="119">
        <v>0</v>
      </c>
      <c r="K136" s="119">
        <v>0</v>
      </c>
      <c r="L136" s="119">
        <v>0</v>
      </c>
      <c r="M136" s="119">
        <v>0</v>
      </c>
      <c r="N136" s="119">
        <v>0</v>
      </c>
      <c r="O136" s="119">
        <v>0</v>
      </c>
      <c r="P136" s="119">
        <v>240.8</v>
      </c>
    </row>
    <row r="137" spans="2:16">
      <c r="B137" s="109" t="s">
        <v>246</v>
      </c>
      <c r="C137" s="119">
        <v>0</v>
      </c>
      <c r="D137" s="119">
        <v>334.8</v>
      </c>
      <c r="E137" s="119">
        <v>98.3</v>
      </c>
      <c r="F137" s="119">
        <v>12.8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445.9</v>
      </c>
    </row>
    <row r="138" spans="2:16">
      <c r="B138" s="109" t="s">
        <v>236</v>
      </c>
      <c r="C138" s="119">
        <v>0</v>
      </c>
      <c r="D138" s="119">
        <v>0</v>
      </c>
      <c r="E138" s="119">
        <v>0</v>
      </c>
      <c r="F138" s="119">
        <v>0</v>
      </c>
      <c r="G138" s="119">
        <v>0</v>
      </c>
      <c r="H138" s="119">
        <v>0</v>
      </c>
      <c r="I138" s="119">
        <v>0.4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0.4</v>
      </c>
    </row>
    <row r="139" spans="2:16">
      <c r="B139" s="109" t="s">
        <v>237</v>
      </c>
      <c r="C139" s="119">
        <v>0</v>
      </c>
      <c r="D139" s="119">
        <v>0</v>
      </c>
      <c r="E139" s="119">
        <v>224.2</v>
      </c>
      <c r="F139" s="119">
        <v>0</v>
      </c>
      <c r="G139" s="119">
        <v>518.79999999999995</v>
      </c>
      <c r="H139" s="119">
        <v>0</v>
      </c>
      <c r="I139" s="119">
        <v>1254.7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1997.7</v>
      </c>
    </row>
    <row r="140" spans="2:16">
      <c r="B140" s="109" t="s">
        <v>234</v>
      </c>
      <c r="C140" s="119">
        <v>1542.2</v>
      </c>
      <c r="D140" s="119">
        <v>110.8</v>
      </c>
      <c r="E140" s="119">
        <v>474.7</v>
      </c>
      <c r="F140" s="119">
        <v>879</v>
      </c>
      <c r="G140" s="119">
        <v>108.8</v>
      </c>
      <c r="H140" s="119">
        <v>0</v>
      </c>
      <c r="I140" s="119">
        <v>102.9</v>
      </c>
      <c r="J140" s="119">
        <v>65</v>
      </c>
      <c r="K140" s="119">
        <v>183.2</v>
      </c>
      <c r="L140" s="119">
        <v>177.8</v>
      </c>
      <c r="M140" s="119">
        <v>613.5</v>
      </c>
      <c r="N140" s="119">
        <v>1135.9000000000001</v>
      </c>
      <c r="O140" s="119">
        <v>1121.8</v>
      </c>
      <c r="P140" s="119">
        <v>6515.6</v>
      </c>
    </row>
    <row r="141" spans="2:16">
      <c r="B141" s="109" t="s">
        <v>0</v>
      </c>
      <c r="C141" s="119">
        <v>55794</v>
      </c>
      <c r="D141" s="119">
        <v>97814.7</v>
      </c>
      <c r="E141" s="119">
        <v>47892</v>
      </c>
      <c r="F141" s="119">
        <v>51378.400000000001</v>
      </c>
      <c r="G141" s="119">
        <v>23267.3</v>
      </c>
      <c r="H141" s="119">
        <v>4648</v>
      </c>
      <c r="I141" s="119">
        <v>14508.3</v>
      </c>
      <c r="J141" s="119">
        <v>5632.1</v>
      </c>
      <c r="K141" s="119">
        <v>22566.7</v>
      </c>
      <c r="L141" s="119">
        <v>42702.5</v>
      </c>
      <c r="M141" s="119">
        <v>33762.699999999997</v>
      </c>
      <c r="N141" s="119">
        <v>34438.6</v>
      </c>
      <c r="O141" s="119">
        <v>32487.8</v>
      </c>
      <c r="P141" s="119">
        <v>466893.1</v>
      </c>
    </row>
    <row r="142" spans="2:16">
      <c r="B142" s="120"/>
      <c r="C142" s="121">
        <v>90307.9</v>
      </c>
      <c r="D142" s="121">
        <v>120123.8</v>
      </c>
      <c r="E142" s="121">
        <v>76434</v>
      </c>
      <c r="F142" s="121">
        <v>72605</v>
      </c>
      <c r="G142" s="121">
        <v>29962.799999999999</v>
      </c>
      <c r="H142" s="121">
        <v>13709.2</v>
      </c>
      <c r="I142" s="121">
        <v>29417</v>
      </c>
      <c r="J142" s="121">
        <v>28187.8</v>
      </c>
      <c r="K142" s="121">
        <v>33452.1</v>
      </c>
      <c r="L142" s="121">
        <v>57074</v>
      </c>
      <c r="M142" s="121">
        <v>47947.1</v>
      </c>
      <c r="N142" s="121">
        <v>42411.5</v>
      </c>
      <c r="O142" s="121">
        <v>48012.1</v>
      </c>
      <c r="P142" s="121">
        <v>689644.3</v>
      </c>
    </row>
    <row r="143" spans="2:16">
      <c r="B143" s="12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0"/>
      <c r="O143" s="180"/>
      <c r="P143" s="180"/>
    </row>
    <row r="144" spans="2:16">
      <c r="B144" s="10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</row>
    <row r="145" spans="2:16">
      <c r="B145" s="109" t="s">
        <v>70</v>
      </c>
      <c r="C145" s="176">
        <v>162.96642019590001</v>
      </c>
      <c r="D145" s="176">
        <v>106.2718796366</v>
      </c>
      <c r="E145" s="176">
        <v>110.2333782116</v>
      </c>
      <c r="F145" s="176">
        <v>83.828092822599999</v>
      </c>
      <c r="G145" s="176">
        <v>118.2418215391</v>
      </c>
      <c r="H145" s="176">
        <v>91.525396333399996</v>
      </c>
      <c r="I145" s="176">
        <v>88.581907768400001</v>
      </c>
      <c r="J145" s="176">
        <v>86.157873728799999</v>
      </c>
      <c r="K145" s="176">
        <v>132.9255103166</v>
      </c>
      <c r="L145" s="176">
        <v>162.3070364578</v>
      </c>
      <c r="M145" s="176">
        <v>156.44702913059999</v>
      </c>
      <c r="N145" s="176">
        <v>137.28795092429999</v>
      </c>
      <c r="O145" s="176">
        <v>95.193314352300007</v>
      </c>
      <c r="P145" s="146"/>
    </row>
    <row r="146" spans="2:16">
      <c r="B146" s="111" t="s">
        <v>71</v>
      </c>
      <c r="C146" s="177">
        <v>45.532258665800001</v>
      </c>
      <c r="D146" s="177">
        <v>12.5584233249</v>
      </c>
      <c r="E146" s="177">
        <v>20.0210055959</v>
      </c>
      <c r="F146" s="177">
        <v>28.9232389487</v>
      </c>
      <c r="G146" s="177">
        <v>34.613184598099998</v>
      </c>
      <c r="H146" s="177">
        <v>38.1623566962</v>
      </c>
      <c r="I146" s="177">
        <v>7.5200099254000001</v>
      </c>
      <c r="J146" s="177">
        <v>24.361699898800001</v>
      </c>
      <c r="K146" s="177">
        <v>37.7942734206</v>
      </c>
      <c r="L146" s="177">
        <v>31.409996136099998</v>
      </c>
      <c r="M146" s="177">
        <v>38.9460973204</v>
      </c>
      <c r="N146" s="177">
        <v>34.010933952000002</v>
      </c>
      <c r="O146" s="177">
        <v>33.175365521800003</v>
      </c>
      <c r="P146" s="147"/>
    </row>
    <row r="147" spans="2:16" ht="15"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4"/>
    </row>
    <row r="148" spans="2:16" ht="15">
      <c r="B148" s="118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14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09" t="s">
        <v>72</v>
      </c>
      <c r="O151" s="174">
        <f>(O128-C128)/C128</f>
        <v>-0.55020151301359743</v>
      </c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09" t="s">
        <v>73</v>
      </c>
      <c r="O152" s="174">
        <f>(O141-C141)/C141</f>
        <v>-0.41771875112019213</v>
      </c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76</v>
      </c>
      <c r="O153" s="174">
        <f>((O128+O141)-(C128+C141))/(C128+C141)</f>
        <v>-0.46835105234425778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70</v>
      </c>
      <c r="O154" s="174">
        <f>(O145-C145)/C145</f>
        <v>-0.41587159957327868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71</v>
      </c>
      <c r="O155" s="174">
        <f>(O146-C146)/C146</f>
        <v>-0.27138766022344185</v>
      </c>
      <c r="P155" s="114"/>
    </row>
    <row r="157" spans="2:16">
      <c r="B157" s="106" t="s">
        <v>152</v>
      </c>
    </row>
    <row r="158" spans="2:16">
      <c r="B158" s="108" t="s">
        <v>32</v>
      </c>
      <c r="C158" s="108" t="s">
        <v>131</v>
      </c>
      <c r="D158" s="108" t="s">
        <v>131</v>
      </c>
      <c r="E158" s="108" t="s">
        <v>131</v>
      </c>
      <c r="F158" s="108" t="s">
        <v>131</v>
      </c>
      <c r="G158" s="108" t="s">
        <v>131</v>
      </c>
      <c r="H158" s="108" t="s">
        <v>131</v>
      </c>
      <c r="I158" s="108" t="s">
        <v>131</v>
      </c>
      <c r="J158" s="108" t="s">
        <v>131</v>
      </c>
      <c r="K158" s="108" t="s">
        <v>131</v>
      </c>
      <c r="L158" s="108" t="s">
        <v>131</v>
      </c>
      <c r="M158" s="108" t="s">
        <v>131</v>
      </c>
      <c r="N158" s="108" t="s">
        <v>131</v>
      </c>
      <c r="O158" s="108" t="s">
        <v>131</v>
      </c>
    </row>
    <row r="159" spans="2:16">
      <c r="B159" s="108" t="s">
        <v>119</v>
      </c>
      <c r="C159" s="108" t="s">
        <v>202</v>
      </c>
      <c r="D159" s="108" t="s">
        <v>203</v>
      </c>
      <c r="E159" s="108" t="s">
        <v>204</v>
      </c>
      <c r="F159" s="108" t="s">
        <v>205</v>
      </c>
      <c r="G159" s="108" t="s">
        <v>206</v>
      </c>
      <c r="H159" s="108" t="s">
        <v>207</v>
      </c>
      <c r="I159" s="108" t="s">
        <v>208</v>
      </c>
      <c r="J159" s="108" t="s">
        <v>209</v>
      </c>
      <c r="K159" s="108" t="s">
        <v>210</v>
      </c>
      <c r="L159" s="108" t="s">
        <v>211</v>
      </c>
      <c r="M159" s="108" t="s">
        <v>212</v>
      </c>
      <c r="N159" s="108" t="s">
        <v>213</v>
      </c>
      <c r="O159" s="108" t="s">
        <v>214</v>
      </c>
    </row>
    <row r="160" spans="2:16">
      <c r="B160" s="108" t="s">
        <v>124</v>
      </c>
      <c r="C160" s="108" t="s">
        <v>5</v>
      </c>
      <c r="D160" s="108" t="s">
        <v>6</v>
      </c>
      <c r="E160" s="108" t="s">
        <v>7</v>
      </c>
      <c r="F160" s="108" t="s">
        <v>8</v>
      </c>
      <c r="G160" s="108" t="s">
        <v>7</v>
      </c>
      <c r="H160" s="108" t="s">
        <v>9</v>
      </c>
      <c r="I160" s="108" t="s">
        <v>9</v>
      </c>
      <c r="J160" s="108" t="s">
        <v>8</v>
      </c>
      <c r="K160" s="108" t="s">
        <v>10</v>
      </c>
      <c r="L160" s="108" t="s">
        <v>11</v>
      </c>
      <c r="M160" s="108" t="s">
        <v>12</v>
      </c>
      <c r="N160" s="108" t="s">
        <v>13</v>
      </c>
      <c r="O160" s="108" t="s">
        <v>5</v>
      </c>
    </row>
    <row r="161" spans="2:15">
      <c r="B161" s="109" t="s">
        <v>242</v>
      </c>
      <c r="C161" s="119">
        <v>0</v>
      </c>
      <c r="D161" s="119">
        <v>0</v>
      </c>
      <c r="E161" s="119">
        <v>0</v>
      </c>
      <c r="F161" s="119">
        <v>0</v>
      </c>
      <c r="G161" s="119">
        <v>0</v>
      </c>
      <c r="H161" s="119">
        <v>0</v>
      </c>
      <c r="I161" s="119">
        <v>0</v>
      </c>
      <c r="J161" s="119">
        <v>0</v>
      </c>
      <c r="K161" s="119">
        <v>0</v>
      </c>
      <c r="L161" s="119">
        <v>0</v>
      </c>
      <c r="M161" s="119">
        <v>0</v>
      </c>
      <c r="N161" s="119">
        <v>0</v>
      </c>
      <c r="O161" s="119">
        <v>0</v>
      </c>
    </row>
    <row r="162" spans="2:15">
      <c r="B162" s="109" t="s">
        <v>231</v>
      </c>
      <c r="C162" s="119">
        <v>5325.4</v>
      </c>
      <c r="D162" s="119">
        <v>1383.6</v>
      </c>
      <c r="E162" s="119">
        <v>6612.9</v>
      </c>
      <c r="F162" s="119">
        <v>3055</v>
      </c>
      <c r="G162" s="119">
        <v>341</v>
      </c>
      <c r="H162" s="119">
        <v>4305</v>
      </c>
      <c r="I162" s="119">
        <v>0</v>
      </c>
      <c r="J162" s="119">
        <v>0</v>
      </c>
      <c r="K162" s="119">
        <v>3306.6</v>
      </c>
      <c r="L162" s="119">
        <v>27914.400000000001</v>
      </c>
      <c r="M162" s="119">
        <v>23926.9</v>
      </c>
      <c r="N162" s="119">
        <v>3200.6</v>
      </c>
      <c r="O162" s="119">
        <v>10696.2</v>
      </c>
    </row>
    <row r="163" spans="2:15">
      <c r="B163" s="109" t="s">
        <v>26</v>
      </c>
      <c r="C163" s="119">
        <v>179227.5</v>
      </c>
      <c r="D163" s="119">
        <v>10714</v>
      </c>
      <c r="E163" s="119">
        <v>64802.400000000001</v>
      </c>
      <c r="F163" s="119">
        <v>6101.5</v>
      </c>
      <c r="G163" s="119">
        <v>2659</v>
      </c>
      <c r="H163" s="119">
        <v>11713</v>
      </c>
      <c r="I163" s="119">
        <v>0</v>
      </c>
      <c r="J163" s="119">
        <v>15430.5</v>
      </c>
      <c r="K163" s="119">
        <v>27967.5</v>
      </c>
      <c r="L163" s="119">
        <v>638167.19999999995</v>
      </c>
      <c r="M163" s="119">
        <v>455734.5</v>
      </c>
      <c r="N163" s="119">
        <v>67420.5</v>
      </c>
      <c r="O163" s="119">
        <v>39454.699999999997</v>
      </c>
    </row>
    <row r="164" spans="2:15">
      <c r="B164" s="109" t="s">
        <v>238</v>
      </c>
      <c r="C164" s="119">
        <v>0</v>
      </c>
      <c r="D164" s="119">
        <v>0</v>
      </c>
      <c r="E164" s="119">
        <v>0</v>
      </c>
      <c r="F164" s="119">
        <v>0</v>
      </c>
      <c r="G164" s="119">
        <v>0</v>
      </c>
      <c r="H164" s="119">
        <v>0</v>
      </c>
      <c r="I164" s="119">
        <v>0</v>
      </c>
      <c r="J164" s="119">
        <v>0</v>
      </c>
      <c r="K164" s="119">
        <v>0</v>
      </c>
      <c r="L164" s="119">
        <v>0</v>
      </c>
      <c r="M164" s="119">
        <v>0</v>
      </c>
      <c r="N164" s="119">
        <v>0</v>
      </c>
      <c r="O164" s="119">
        <v>0</v>
      </c>
    </row>
    <row r="165" spans="2:15">
      <c r="B165" s="109" t="s">
        <v>232</v>
      </c>
      <c r="C165" s="119">
        <v>0</v>
      </c>
      <c r="D165" s="119">
        <v>0</v>
      </c>
      <c r="E165" s="119">
        <v>0</v>
      </c>
      <c r="F165" s="119">
        <v>0</v>
      </c>
      <c r="G165" s="119">
        <v>0</v>
      </c>
      <c r="H165" s="119">
        <v>0</v>
      </c>
      <c r="I165" s="119">
        <v>0</v>
      </c>
      <c r="J165" s="119">
        <v>0</v>
      </c>
      <c r="K165" s="119">
        <v>0</v>
      </c>
      <c r="L165" s="119">
        <v>0</v>
      </c>
      <c r="M165" s="119">
        <v>0</v>
      </c>
      <c r="N165" s="119">
        <v>0</v>
      </c>
      <c r="O165" s="119">
        <v>0</v>
      </c>
    </row>
    <row r="166" spans="2:15">
      <c r="B166" s="109" t="s">
        <v>243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235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244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22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245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230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239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246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236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237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234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40" t="s">
        <v>70</v>
      </c>
      <c r="C177" s="177">
        <v>35.2700287993</v>
      </c>
      <c r="D177" s="177">
        <v>27.787926530899998</v>
      </c>
      <c r="E177" s="177">
        <v>22.1695571817</v>
      </c>
      <c r="F177" s="177">
        <v>20</v>
      </c>
      <c r="G177" s="177">
        <v>3</v>
      </c>
      <c r="H177" s="177">
        <v>12.8</v>
      </c>
      <c r="I177" s="177" t="s">
        <v>187</v>
      </c>
      <c r="J177" s="177">
        <v>23.340193253599999</v>
      </c>
      <c r="K177" s="177">
        <v>21.599768498500001</v>
      </c>
      <c r="L177" s="177">
        <v>20.4834082251</v>
      </c>
      <c r="M177" s="177">
        <v>7.6688870712000003</v>
      </c>
      <c r="N177" s="177">
        <v>8.8270115871999995</v>
      </c>
      <c r="O177" s="177">
        <v>9.1079265776000007</v>
      </c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Q22" sqref="Q22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37</v>
      </c>
    </row>
    <row r="3" spans="3:12" ht="12.75">
      <c r="C3" s="1"/>
      <c r="D3" s="1"/>
      <c r="L3" s="20" t="s">
        <v>188</v>
      </c>
    </row>
    <row r="4" spans="3:12" ht="12.75">
      <c r="C4" s="21" t="s">
        <v>36</v>
      </c>
    </row>
    <row r="5" spans="3:12" ht="11.25">
      <c r="C5" s="4"/>
    </row>
    <row r="6" spans="3:12" ht="11.25">
      <c r="C6" s="5"/>
    </row>
    <row r="7" spans="3:12" ht="10.5" customHeight="1">
      <c r="C7" s="195" t="s">
        <v>49</v>
      </c>
    </row>
    <row r="8" spans="3:12" ht="10.5" customHeight="1">
      <c r="C8" s="195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O22" sqref="O21:O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37</v>
      </c>
    </row>
    <row r="3" spans="2:6" s="1" customFormat="1" ht="15" customHeight="1">
      <c r="E3" s="20" t="s">
        <v>188</v>
      </c>
    </row>
    <row r="4" spans="2:6" s="2" customFormat="1" ht="19.899999999999999" customHeight="1">
      <c r="B4" s="3"/>
      <c r="C4" s="21" t="s">
        <v>36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5" t="s">
        <v>138</v>
      </c>
      <c r="D7" s="6"/>
      <c r="E7" s="7"/>
    </row>
    <row r="8" spans="2:6" s="2" customFormat="1" ht="12.75" customHeight="1">
      <c r="B8" s="3"/>
      <c r="C8" s="195"/>
      <c r="D8" s="6"/>
      <c r="E8" s="7"/>
    </row>
    <row r="9" spans="2:6" s="2" customFormat="1" ht="12.75" customHeight="1">
      <c r="B9" s="3"/>
      <c r="C9" s="195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I12" sqref="I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37</v>
      </c>
    </row>
    <row r="3" spans="2:19" s="1" customFormat="1" ht="15" customHeight="1">
      <c r="E3" s="96" t="s">
        <v>188</v>
      </c>
    </row>
    <row r="4" spans="2:19" s="2" customFormat="1" ht="19.899999999999999" customHeight="1">
      <c r="B4" s="3"/>
      <c r="C4" s="21" t="s">
        <v>36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5" t="s">
        <v>89</v>
      </c>
      <c r="D7" s="6"/>
      <c r="E7" s="14"/>
    </row>
    <row r="8" spans="2:19" s="2" customFormat="1" ht="12.75" customHeight="1">
      <c r="B8" s="3"/>
      <c r="C8" s="195"/>
      <c r="D8" s="6"/>
      <c r="E8" s="14"/>
    </row>
    <row r="9" spans="2:19" s="2" customFormat="1" ht="18" customHeight="1">
      <c r="B9" s="3"/>
      <c r="C9" s="195"/>
      <c r="D9" s="6"/>
      <c r="E9" s="14"/>
      <c r="F9" s="63" t="str">
        <f>MID('Data 1'!B62,1,1)</f>
        <v>E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F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M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A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M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J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J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A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S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O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N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D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E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M24" sqref="M24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37</v>
      </c>
    </row>
    <row r="3" spans="1:8">
      <c r="H3" s="96" t="s">
        <v>188</v>
      </c>
    </row>
    <row r="4" spans="1:8">
      <c r="B4" s="21" t="s">
        <v>36</v>
      </c>
    </row>
    <row r="7" spans="1:8" ht="12.75" customHeight="1">
      <c r="B7" s="196" t="s">
        <v>55</v>
      </c>
    </row>
    <row r="8" spans="1:8">
      <c r="B8" s="196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="80" zoomScaleNormal="80" workbookViewId="0">
      <selection activeCell="E44" sqref="E4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37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188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36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6" t="s">
        <v>33</v>
      </c>
      <c r="D7" s="6"/>
      <c r="E7" s="14"/>
    </row>
    <row r="8" spans="2:39" s="2" customFormat="1" ht="12.75" customHeight="1">
      <c r="B8" s="3"/>
      <c r="C8" s="196"/>
      <c r="D8" s="6"/>
      <c r="E8" s="14"/>
    </row>
    <row r="9" spans="2:39" s="2" customFormat="1" ht="12.75" customHeight="1">
      <c r="B9" s="3"/>
      <c r="C9" s="196"/>
      <c r="D9" s="6"/>
      <c r="E9" s="14"/>
    </row>
    <row r="10" spans="2:39" s="2" customFormat="1" ht="12.75" customHeight="1">
      <c r="B10" s="3"/>
      <c r="C10" s="19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34</v>
      </c>
    </row>
    <row r="34" spans="6:6">
      <c r="F34" s="86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22" sqref="K2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7" t="s">
        <v>37</v>
      </c>
      <c r="F2" s="197"/>
      <c r="G2" s="197"/>
      <c r="H2" s="12"/>
      <c r="I2" s="12"/>
    </row>
    <row r="3" spans="2:9" s="1" customFormat="1" ht="15" customHeight="1">
      <c r="E3" s="198" t="s">
        <v>188</v>
      </c>
      <c r="F3" s="198"/>
      <c r="G3" s="198"/>
      <c r="H3" s="13"/>
      <c r="I3" s="13"/>
    </row>
    <row r="4" spans="2:9" s="2" customFormat="1" ht="19.899999999999999" customHeight="1">
      <c r="C4" s="21" t="s">
        <v>36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6" t="s">
        <v>135</v>
      </c>
      <c r="D7" s="69"/>
      <c r="E7" s="70"/>
      <c r="F7" s="90"/>
      <c r="G7" s="90"/>
    </row>
    <row r="8" spans="2:9" s="71" customFormat="1" ht="15" customHeight="1">
      <c r="B8" s="68"/>
      <c r="C8" s="196"/>
      <c r="D8" s="69"/>
      <c r="E8" s="72"/>
      <c r="F8" s="73" t="s">
        <v>225</v>
      </c>
      <c r="G8" s="73" t="s">
        <v>188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34.120343869999999</v>
      </c>
      <c r="G9" s="103">
        <f>-VLOOKUP("Restricciones PBF - Coste",'Data 1'!B107:D125,3,FALSE)/1000000</f>
        <v>24.176632920000003</v>
      </c>
    </row>
    <row r="10" spans="2:9" s="2" customFormat="1" ht="15" customHeight="1">
      <c r="B10" s="3"/>
      <c r="C10" s="196"/>
      <c r="D10" s="6"/>
      <c r="E10" s="66" t="s">
        <v>64</v>
      </c>
      <c r="F10" s="103">
        <f>-VLOOKUP("Restricciones tiempo real (SC)",'Data 1'!F107:H125,3,FALSE)/1000000</f>
        <v>3.8087841600000001</v>
      </c>
      <c r="G10" s="103">
        <f>-VLOOKUP("Restricciones tiempo real (SC)",'Data 1'!B107:D125,3,FALSE)/1000000</f>
        <v>1.2219286100000002</v>
      </c>
    </row>
    <row r="11" spans="2:9" s="2" customFormat="1" ht="15" customHeight="1">
      <c r="B11" s="3"/>
      <c r="C11" s="196"/>
      <c r="D11" s="6"/>
      <c r="E11" s="66" t="s">
        <v>58</v>
      </c>
      <c r="F11" s="103">
        <f>SUM(F9:F10)</f>
        <v>37.929128030000001</v>
      </c>
      <c r="G11" s="103">
        <f>SUM(G9:G10)</f>
        <v>25.398561530000002</v>
      </c>
    </row>
    <row r="12" spans="2:9" s="2" customFormat="1" ht="15" customHeight="1">
      <c r="B12" s="3"/>
      <c r="C12" s="196"/>
      <c r="D12" s="6"/>
      <c r="E12" s="66" t="s">
        <v>24</v>
      </c>
      <c r="F12" s="103">
        <f>-VLOOKUP("Banda secundaria - CF",'Data 1'!F107:H125,3,FALSE)/1000000</f>
        <v>19.948422269999998</v>
      </c>
      <c r="G12" s="103">
        <f>-VLOOKUP("Banda secundaria - CF",'Data 1'!B107:D125,3,FALSE)/1000000</f>
        <v>15.76939705</v>
      </c>
    </row>
    <row r="13" spans="2:9" s="2" customFormat="1" ht="15" customHeight="1">
      <c r="B13" s="3"/>
      <c r="C13" s="5"/>
      <c r="D13" s="6"/>
      <c r="E13" s="66" t="s">
        <v>27</v>
      </c>
      <c r="F13" s="103">
        <f>-IFERROR(VLOOKUP("Reserva subir - Coste",'Data 1'!F107:H125,3,FALSE)/1000000,0)</f>
        <v>6.3597726200000002</v>
      </c>
      <c r="G13" s="186">
        <f>-IFERROR(VLOOKUP("Reserva subir - Coste",'Data 1'!B107:D125,3,FALSE)/1000000,0)</f>
        <v>0.44007833000000002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1.5916467100000036</v>
      </c>
      <c r="G14" s="186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0.31970478999999896</v>
      </c>
    </row>
    <row r="15" spans="2:9" s="2" customFormat="1" ht="15" customHeight="1">
      <c r="B15" s="3"/>
      <c r="C15" s="5"/>
      <c r="D15" s="6"/>
      <c r="E15" s="66" t="s">
        <v>42</v>
      </c>
      <c r="F15" s="103">
        <f>-IFERROR(VLOOKUP("Saldo desvíos",'Data 1'!F107:H125,3,FALSE)/1000000,0)</f>
        <v>-2.4316364700000004</v>
      </c>
      <c r="G15" s="103">
        <f>-IFERROR(VLOOKUP("Saldo desvíos",'Data 1'!B107:D125,3,FALSE)/1000000,0)</f>
        <v>-1.1755484199999999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63.397333160000002</v>
      </c>
      <c r="G17" s="104">
        <f>SUM(G11:G16)</f>
        <v>40.75219328</v>
      </c>
    </row>
    <row r="18" spans="2:10" s="2" customFormat="1" ht="15" customHeight="1">
      <c r="B18" s="3"/>
      <c r="C18" s="5"/>
      <c r="D18" s="5"/>
      <c r="E18" s="74" t="s">
        <v>247</v>
      </c>
      <c r="F18" s="65"/>
      <c r="G18" s="75">
        <f>(G17-F17)/F17</f>
        <v>-0.35719388736508806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37</v>
      </c>
      <c r="F2" s="12"/>
      <c r="G2" s="12"/>
      <c r="H2" s="12"/>
      <c r="I2" s="12"/>
    </row>
    <row r="3" spans="2:9" s="1" customFormat="1" ht="15" customHeight="1">
      <c r="E3" s="20" t="s">
        <v>188</v>
      </c>
      <c r="F3" s="13"/>
      <c r="G3" s="13"/>
      <c r="H3" s="13"/>
      <c r="I3" s="13"/>
    </row>
    <row r="4" spans="2:9" s="2" customFormat="1" ht="19.899999999999999" customHeight="1">
      <c r="C4" s="21" t="s">
        <v>36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6" t="s">
        <v>61</v>
      </c>
      <c r="D7" s="6"/>
      <c r="E7" s="14"/>
    </row>
    <row r="8" spans="2:9" s="2" customFormat="1" ht="12.75" customHeight="1">
      <c r="B8" s="3"/>
      <c r="C8" s="196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6"/>
      <c r="D10" s="6"/>
      <c r="E10" s="14"/>
    </row>
    <row r="11" spans="2:9" s="2" customFormat="1" ht="12.75" customHeight="1">
      <c r="B11" s="3"/>
      <c r="C11" s="196"/>
      <c r="D11" s="6"/>
      <c r="E11" s="11"/>
    </row>
    <row r="12" spans="2:9" s="2" customFormat="1" ht="12.75" customHeight="1">
      <c r="B12" s="3"/>
      <c r="C12" s="19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Q17" sqref="Q17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37</v>
      </c>
    </row>
    <row r="2" spans="1:38">
      <c r="L2" s="20" t="s">
        <v>188</v>
      </c>
    </row>
    <row r="4" spans="1:38">
      <c r="A4" s="33"/>
      <c r="B4" s="21" t="s">
        <v>36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6" t="s">
        <v>44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6"/>
      <c r="F10" s="35"/>
      <c r="G10" s="35"/>
    </row>
    <row r="11" spans="1:38">
      <c r="B11" s="196"/>
      <c r="F11" s="35"/>
      <c r="G11" s="35"/>
    </row>
    <row r="12" spans="1:38" s="34" customFormat="1">
      <c r="B12" s="196"/>
      <c r="F12" s="35"/>
      <c r="G12" s="35"/>
    </row>
    <row r="13" spans="1:38">
      <c r="B13" s="19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2018-02-15T10:21:35Z</dcterms:modified>
</cp:coreProperties>
</file>