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drawings/drawing38.xml" ContentType="application/vnd.openxmlformats-officedocument.drawing+xml"/>
  <Override PartName="/xl/charts/chart22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3.xml" ContentType="application/vnd.openxmlformats-officedocument.drawingml.chart+xml"/>
  <Override PartName="/xl/drawings/drawing4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3.xml" ContentType="application/vnd.openxmlformats-officedocument.drawing+xml"/>
  <Override PartName="/xl/charts/chart26.xml" ContentType="application/vnd.openxmlformats-officedocument.drawingml.chart+xml"/>
  <Override PartName="/xl/drawings/drawing4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Avance Sistema Eléctrico\2020\ENVIADOS\"/>
    </mc:Choice>
  </mc:AlternateContent>
  <xr:revisionPtr revIDLastSave="0" documentId="13_ncr:1_{93618B42-13D2-4E0D-B494-A6EB7A8327FC}" xr6:coauthVersionLast="44" xr6:coauthVersionMax="45" xr10:uidLastSave="{00000000-0000-0000-0000-000000000000}"/>
  <bookViews>
    <workbookView xWindow="-120" yWindow="-120" windowWidth="20730" windowHeight="11160" tabRatio="595" xr2:uid="{00000000-000D-0000-FFFF-FFFF00000000}"/>
  </bookViews>
  <sheets>
    <sheet name="Indice" sheetId="55" r:id="rId1"/>
    <sheet name="C1" sheetId="105" r:id="rId2"/>
    <sheet name="C2" sheetId="106" r:id="rId3"/>
    <sheet name="C3" sheetId="56" r:id="rId4"/>
    <sheet name="C4" sheetId="57" r:id="rId5"/>
    <sheet name="C5" sheetId="58" r:id="rId6"/>
    <sheet name="C6" sheetId="61" r:id="rId7"/>
    <sheet name="C7" sheetId="62" r:id="rId8"/>
    <sheet name="C8" sheetId="59" r:id="rId9"/>
    <sheet name="C9" sheetId="64" r:id="rId10"/>
    <sheet name="C10" sheetId="63" r:id="rId11"/>
    <sheet name="C11" sheetId="60" r:id="rId12"/>
    <sheet name="C12" sheetId="66" r:id="rId13"/>
    <sheet name="C13" sheetId="67" r:id="rId14"/>
    <sheet name="C14" sheetId="68" r:id="rId15"/>
    <sheet name="C15" sheetId="69" r:id="rId16"/>
    <sheet name="C16" sheetId="71" r:id="rId17"/>
    <sheet name="C17" sheetId="70" r:id="rId18"/>
    <sheet name="C18" sheetId="72" r:id="rId19"/>
    <sheet name="C19" sheetId="76" r:id="rId20"/>
    <sheet name="C20" sheetId="77" r:id="rId21"/>
    <sheet name="C21" sheetId="78" r:id="rId22"/>
    <sheet name="C22" sheetId="79" r:id="rId23"/>
    <sheet name="C23" sheetId="80" r:id="rId24"/>
    <sheet name="C24" sheetId="81" r:id="rId25"/>
    <sheet name="C25" sheetId="82" r:id="rId26"/>
    <sheet name="C26" sheetId="85" r:id="rId27"/>
    <sheet name="C27" sheetId="86" r:id="rId28"/>
    <sheet name="C28" sheetId="88" r:id="rId29"/>
    <sheet name="C29" sheetId="89" r:id="rId30"/>
    <sheet name="C30" sheetId="91" r:id="rId31"/>
    <sheet name="C31" sheetId="92" r:id="rId32"/>
    <sheet name="C32" sheetId="94" r:id="rId33"/>
    <sheet name="C33" sheetId="95" r:id="rId34"/>
    <sheet name="C34" sheetId="96" r:id="rId35"/>
    <sheet name="C35" sheetId="97" r:id="rId36"/>
    <sheet name="C36" sheetId="99" r:id="rId37"/>
    <sheet name="C37" sheetId="100" r:id="rId38"/>
    <sheet name="C38" sheetId="90" r:id="rId39"/>
    <sheet name="Data 1" sheetId="54" r:id="rId40"/>
    <sheet name="Data 1 CCAA" sheetId="107" state="hidden" r:id="rId41"/>
    <sheet name="Data 2" sheetId="98" r:id="rId42"/>
    <sheet name="Data 3" sheetId="73" r:id="rId43"/>
    <sheet name="Data 4" sheetId="74" r:id="rId44"/>
    <sheet name="Data 5" sheetId="87" r:id="rId45"/>
  </sheets>
  <definedNames>
    <definedName name="_xlnm.Print_Area" localSheetId="10">'C10'!$C$1:$F$22</definedName>
    <definedName name="_xlnm.Print_Area" localSheetId="15">'C15'!$C$1:$F$22</definedName>
    <definedName name="_xlnm.Print_Area" localSheetId="16">'C16'!$C$1:$F$22</definedName>
    <definedName name="_xlnm.Print_Area" localSheetId="17">'C17'!$C$1:$F$22</definedName>
    <definedName name="_xlnm.Print_Area" localSheetId="18">'C18'!$C$1:$F$22</definedName>
    <definedName name="_xlnm.Print_Area" localSheetId="20">'C20'!$C$1:$F$22</definedName>
    <definedName name="_xlnm.Print_Area" localSheetId="22">'C22'!$C$1:$F$22</definedName>
    <definedName name="_xlnm.Print_Area" localSheetId="23">'C23'!$C$1:$F$22</definedName>
    <definedName name="_xlnm.Print_Area" localSheetId="26">'C26'!$A$1:$F$30</definedName>
    <definedName name="_xlnm.Print_Area" localSheetId="28">'C28'!$C$1:$F$22</definedName>
    <definedName name="_xlnm.Print_Area" localSheetId="29">'C29'!$C$1:$F$22</definedName>
    <definedName name="_xlnm.Print_Area" localSheetId="3">'C3'!$A$1:$E$22</definedName>
    <definedName name="_xlnm.Print_Area" localSheetId="30">'C30'!$C$1:$F$22</definedName>
    <definedName name="_xlnm.Print_Area" localSheetId="31">'C31'!$C$1:$F$22</definedName>
    <definedName name="_xlnm.Print_Area" localSheetId="4">'C4'!$B$2:$L$15</definedName>
    <definedName name="_xlnm.Print_Area" localSheetId="7">'C7'!$C$1:$F$22</definedName>
    <definedName name="_xlnm.Print_Area" localSheetId="8">'C8'!$C$1:$F$22</definedName>
    <definedName name="_xlnm.Print_Area" localSheetId="39">'Data 1'!$A$1:$G$3</definedName>
    <definedName name="_xlnm.Print_Area" localSheetId="40">'Data 1 CCAA'!$A$1:$G$3</definedName>
    <definedName name="_xlnm.Print_Area" localSheetId="0">Indice!$A$1:$F$48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#N/A</definedName>
    <definedName name="ccc" localSheetId="2">#N/A</definedName>
    <definedName name="ccc" localSheetId="26">'C26'!ccc</definedName>
    <definedName name="ccc" localSheetId="3">'C3'!ccc</definedName>
    <definedName name="ccc" localSheetId="4">'C4'!ccc</definedName>
    <definedName name="ccc" localSheetId="39">#N/A</definedName>
    <definedName name="ccc" localSheetId="40">#N/A</definedName>
    <definedName name="ccc" localSheetId="0">#N/A</definedName>
    <definedName name="ccc">#N/A</definedName>
    <definedName name="CUADRO_ANTERIOR" localSheetId="1">#N/A</definedName>
    <definedName name="CUADRO_ANTERIOR" localSheetId="2">#N/A</definedName>
    <definedName name="CUADRO_ANTERIOR" localSheetId="26">'C26'!CUADRO_ANTERIOR</definedName>
    <definedName name="CUADRO_ANTERIOR" localSheetId="3">'C3'!CUADRO_ANTERIOR</definedName>
    <definedName name="CUADRO_ANTERIOR" localSheetId="4">'C4'!CUADRO_ANTERIOR</definedName>
    <definedName name="CUADRO_ANTERIOR" localSheetId="39">#N/A</definedName>
    <definedName name="CUADRO_ANTERIOR" localSheetId="40">#N/A</definedName>
    <definedName name="CUADRO_ANTERIOR" localSheetId="0">#N/A</definedName>
    <definedName name="CUADRO_ANTERIOR">#N/A</definedName>
    <definedName name="CUADRO_PROXIMO" localSheetId="1">#N/A</definedName>
    <definedName name="CUADRO_PROXIMO" localSheetId="2">#N/A</definedName>
    <definedName name="CUADRO_PROXIMO" localSheetId="26">'C26'!CUADRO_PROXIMO</definedName>
    <definedName name="CUADRO_PROXIMO" localSheetId="3">'C3'!CUADRO_PROXIMO</definedName>
    <definedName name="CUADRO_PROXIMO" localSheetId="4">'C4'!CUADRO_PROXIMO</definedName>
    <definedName name="CUADRO_PROXIMO" localSheetId="39">#N/A</definedName>
    <definedName name="CUADRO_PROXIMO" localSheetId="40">#N/A</definedName>
    <definedName name="CUADRO_PROXIMO" localSheetId="0">#N/A</definedName>
    <definedName name="CUADRO_PROXIMO">#N/A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#N/A</definedName>
    <definedName name="FINALIZAR" localSheetId="2">#N/A</definedName>
    <definedName name="FINALIZAR" localSheetId="26">'C26'!FINALIZAR</definedName>
    <definedName name="FINALIZAR" localSheetId="3">'C3'!FINALIZAR</definedName>
    <definedName name="FINALIZAR" localSheetId="4">'C4'!FINALIZAR</definedName>
    <definedName name="FINALIZAR" localSheetId="39">#N/A</definedName>
    <definedName name="FINALIZAR" localSheetId="40">#N/A</definedName>
    <definedName name="FINALIZAR" localSheetId="0">#N/A</definedName>
    <definedName name="FINALIZAR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#N/A</definedName>
    <definedName name="IMPRESION" localSheetId="2">#N/A</definedName>
    <definedName name="IMPRESION" localSheetId="26">'C26'!IMPRESION</definedName>
    <definedName name="IMPRESION" localSheetId="3">'C3'!IMPRESION</definedName>
    <definedName name="IMPRESION" localSheetId="4">'C4'!IMPRESION</definedName>
    <definedName name="IMPRESION" localSheetId="39">#N/A</definedName>
    <definedName name="IMPRESION" localSheetId="40">#N/A</definedName>
    <definedName name="IMPRESION" localSheetId="0">#N/A</definedName>
    <definedName name="IMPRESION">#N/A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#N/A</definedName>
    <definedName name="nnn" localSheetId="2">#N/A</definedName>
    <definedName name="nnn" localSheetId="26">'C26'!nnn</definedName>
    <definedName name="nnn" localSheetId="3">'C3'!nnn</definedName>
    <definedName name="nnn" localSheetId="4">'C4'!nnn</definedName>
    <definedName name="nnn" localSheetId="39">#N/A</definedName>
    <definedName name="nnn" localSheetId="40">#N/A</definedName>
    <definedName name="nnn" localSheetId="0">#N/A</definedName>
    <definedName name="nnn">#N/A</definedName>
    <definedName name="nnnn" localSheetId="1">#N/A</definedName>
    <definedName name="nnnn" localSheetId="2">#N/A</definedName>
    <definedName name="nnnn" localSheetId="26">'C26'!nnnn</definedName>
    <definedName name="nnnn" localSheetId="3">'C3'!nnnn</definedName>
    <definedName name="nnnn" localSheetId="4">'C4'!nnnn</definedName>
    <definedName name="nnnn" localSheetId="39">#N/A</definedName>
    <definedName name="nnnn" localSheetId="40">#N/A</definedName>
    <definedName name="nnnn" localSheetId="0">#N/A</definedName>
    <definedName name="nnnn">#N/A</definedName>
    <definedName name="nu" localSheetId="1">#N/A</definedName>
    <definedName name="nu" localSheetId="2">#N/A</definedName>
    <definedName name="nu" localSheetId="3">'C3'!nu</definedName>
    <definedName name="nu" localSheetId="4">'C4'!nu</definedName>
    <definedName name="nu" localSheetId="39">#N/A</definedName>
    <definedName name="nu" localSheetId="40">#N/A</definedName>
    <definedName name="nu" localSheetId="0">#N/A</definedName>
    <definedName name="nu">#N/A</definedName>
    <definedName name="PRINCIPAL" localSheetId="1">#N/A</definedName>
    <definedName name="PRINCIPAL" localSheetId="2">#N/A</definedName>
    <definedName name="PRINCIPAL" localSheetId="26">'C26'!PRINCIPAL</definedName>
    <definedName name="PRINCIPAL" localSheetId="3">'C3'!PRINCIPAL</definedName>
    <definedName name="PRINCIPAL" localSheetId="4">'C4'!PRINCIPAL</definedName>
    <definedName name="PRINCIPAL" localSheetId="39">#N/A</definedName>
    <definedName name="PRINCIPAL" localSheetId="40">#N/A</definedName>
    <definedName name="PRINCIPAL" localSheetId="0">#N/A</definedName>
    <definedName name="PRINCIPAL">#N/A</definedName>
    <definedName name="rosa" localSheetId="1">#N/A</definedName>
    <definedName name="rosa" localSheetId="2">#N/A</definedName>
    <definedName name="rosa" localSheetId="3">'C3'!rosa</definedName>
    <definedName name="rosa" localSheetId="4">'C4'!rosa</definedName>
    <definedName name="rosa" localSheetId="39">#N/A</definedName>
    <definedName name="rosa" localSheetId="40">#N/A</definedName>
    <definedName name="rosa" localSheetId="0">#N/A</definedName>
    <definedName name="rosa">#N/A</definedName>
    <definedName name="rosa2" localSheetId="1">#N/A</definedName>
    <definedName name="rosa2" localSheetId="2">#N/A</definedName>
    <definedName name="rosa2" localSheetId="3">'C3'!rosa2</definedName>
    <definedName name="rosa2" localSheetId="4">'C4'!rosa2</definedName>
    <definedName name="rosa2" localSheetId="39">#N/A</definedName>
    <definedName name="rosa2" localSheetId="40">#N/A</definedName>
    <definedName name="rosa2" localSheetId="0">#N/A</definedName>
    <definedName name="rosa2">#N/A</definedName>
    <definedName name="VV" localSheetId="1">#N/A</definedName>
    <definedName name="VV" localSheetId="2">#N/A</definedName>
    <definedName name="VV" localSheetId="26">'C26'!VV</definedName>
    <definedName name="VV" localSheetId="3">'C3'!VV</definedName>
    <definedName name="VV" localSheetId="4">'C4'!VV</definedName>
    <definedName name="VV" localSheetId="39">#N/A</definedName>
    <definedName name="VV" localSheetId="40">#N/A</definedName>
    <definedName name="VV" localSheetId="0">#N/A</definedName>
    <definedName name="VV">#N/A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#N/A</definedName>
    <definedName name="x" localSheetId="2">#N/A</definedName>
    <definedName name="x" localSheetId="39">#N/A</definedName>
    <definedName name="x" localSheetId="40">#N/A</definedName>
    <definedName name="x" localSheetId="0">#N/A</definedName>
    <definedName name="x">#N/A</definedName>
    <definedName name="XX" localSheetId="1">#N/A</definedName>
    <definedName name="XX" localSheetId="2">#N/A</definedName>
    <definedName name="XX" localSheetId="26">'C26'!XX</definedName>
    <definedName name="XX" localSheetId="3">'C3'!XX</definedName>
    <definedName name="XX" localSheetId="4">'C4'!XX</definedName>
    <definedName name="XX" localSheetId="39">#N/A</definedName>
    <definedName name="XX" localSheetId="40">#N/A</definedName>
    <definedName name="XX" localSheetId="0">#N/A</definedName>
    <definedName name="XX">#N/A</definedName>
    <definedName name="xxx" localSheetId="1">#N/A</definedName>
    <definedName name="xxx" localSheetId="2">#N/A</definedName>
    <definedName name="xxx" localSheetId="26">'C26'!xxx</definedName>
    <definedName name="xxx" localSheetId="3">'C3'!xxx</definedName>
    <definedName name="xxx" localSheetId="4">'C4'!xxx</definedName>
    <definedName name="xxx" localSheetId="39">#N/A</definedName>
    <definedName name="xxx" localSheetId="40">#N/A</definedName>
    <definedName name="xxx" localSheetId="0">#N/A</definedName>
    <definedName name="xxx">#N/A</definedName>
    <definedName name="XXXX" localSheetId="1">#N/A</definedName>
    <definedName name="XXXX" localSheetId="2">#N/A</definedName>
    <definedName name="XXXX" localSheetId="39">#N/A</definedName>
    <definedName name="XXXX" localSheetId="40">#N/A</definedName>
    <definedName name="XXXX" localSheetId="0">#N/A</definedName>
    <definedName name="XXXX">#N/A</definedName>
    <definedName name="xxxxx" localSheetId="1">#N/A</definedName>
    <definedName name="xxxxx" localSheetId="2">#N/A</definedName>
    <definedName name="xxxxx" localSheetId="39">#N/A</definedName>
    <definedName name="xxxxx" localSheetId="40">#N/A</definedName>
    <definedName name="xxxxx" localSheetId="0">#N/A</definedName>
    <definedName name="xxxxx">#N/A</definedName>
    <definedName name="Z_10318EB3_7543_41D7_B07B_A27B32D1F538_.wvu.PrintArea" localSheetId="1" hidden="1">'C1'!#REF!,'C1'!$B$3:$J$25</definedName>
    <definedName name="Z_10318EB3_7543_41D7_B07B_A27B32D1F538_.wvu.PrintArea" localSheetId="2" hidden="1">'C2'!#REF!,'C2'!$B$3:$J$25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0" i="87" l="1"/>
  <c r="G102" i="87" l="1"/>
  <c r="H101" i="87"/>
  <c r="O42" i="54"/>
  <c r="O45" i="54" s="1"/>
  <c r="E422" i="87" l="1"/>
  <c r="E421" i="87"/>
  <c r="E420" i="87"/>
  <c r="E377" i="87"/>
  <c r="E375" i="87"/>
  <c r="E374" i="87"/>
  <c r="D134" i="87" l="1"/>
  <c r="E134" i="87"/>
  <c r="E143" i="87" s="1"/>
  <c r="F134" i="87"/>
  <c r="F143" i="87" s="1"/>
  <c r="G134" i="87"/>
  <c r="D143" i="87"/>
  <c r="G52" i="87"/>
  <c r="G57" i="87" s="1"/>
  <c r="G58" i="87" s="1"/>
  <c r="F52" i="87"/>
  <c r="F57" i="87" s="1"/>
  <c r="F58" i="87" s="1"/>
  <c r="E52" i="87"/>
  <c r="E57" i="87" s="1"/>
  <c r="E58" i="87" s="1"/>
  <c r="D52" i="87"/>
  <c r="D57" i="87" s="1"/>
  <c r="D58" i="87" s="1"/>
  <c r="G44" i="87"/>
  <c r="G45" i="87" s="1"/>
  <c r="G46" i="87" s="1"/>
  <c r="F44" i="87"/>
  <c r="F45" i="87" s="1"/>
  <c r="F46" i="87" s="1"/>
  <c r="E44" i="87"/>
  <c r="E45" i="87" s="1"/>
  <c r="E46" i="87" s="1"/>
  <c r="D44" i="87"/>
  <c r="D45" i="87" s="1"/>
  <c r="D46" i="87" s="1"/>
  <c r="G29" i="87"/>
  <c r="G37" i="87" s="1"/>
  <c r="G38" i="87" s="1"/>
  <c r="F29" i="87"/>
  <c r="F37" i="87" s="1"/>
  <c r="F38" i="87" s="1"/>
  <c r="E29" i="87"/>
  <c r="E37" i="87" s="1"/>
  <c r="E38" i="87" s="1"/>
  <c r="D29" i="87"/>
  <c r="D37" i="87" s="1"/>
  <c r="D38" i="87" s="1"/>
  <c r="G10" i="87"/>
  <c r="G19" i="87" s="1"/>
  <c r="G21" i="87" s="1"/>
  <c r="F10" i="87"/>
  <c r="F19" i="87" s="1"/>
  <c r="F21" i="87" s="1"/>
  <c r="E10" i="87"/>
  <c r="E19" i="87" s="1"/>
  <c r="E21" i="87" s="1"/>
  <c r="D10" i="87"/>
  <c r="D19" i="87" s="1"/>
  <c r="D21" i="87" s="1"/>
  <c r="I107" i="107"/>
  <c r="I87" i="107"/>
  <c r="E45" i="107"/>
  <c r="F45" i="107"/>
  <c r="G45" i="107"/>
  <c r="H45" i="107"/>
  <c r="I45" i="107"/>
  <c r="J45" i="107"/>
  <c r="K45" i="107"/>
  <c r="L45" i="107"/>
  <c r="M45" i="107"/>
  <c r="N45" i="107"/>
  <c r="O45" i="107"/>
  <c r="P45" i="107"/>
  <c r="Q45" i="107"/>
  <c r="R45" i="107"/>
  <c r="S45" i="107"/>
  <c r="T45" i="107"/>
  <c r="U45" i="107"/>
  <c r="V45" i="107"/>
  <c r="E46" i="107"/>
  <c r="F46" i="107"/>
  <c r="G46" i="107"/>
  <c r="H46" i="107"/>
  <c r="I46" i="107"/>
  <c r="J46" i="107"/>
  <c r="K46" i="107"/>
  <c r="L46" i="107"/>
  <c r="M46" i="107"/>
  <c r="N46" i="107"/>
  <c r="O46" i="107"/>
  <c r="P46" i="107"/>
  <c r="Q46" i="107"/>
  <c r="R46" i="107"/>
  <c r="S46" i="107"/>
  <c r="T46" i="107"/>
  <c r="U46" i="107"/>
  <c r="V46" i="107"/>
  <c r="E37" i="107"/>
  <c r="F37" i="107"/>
  <c r="G37" i="107"/>
  <c r="H37" i="107"/>
  <c r="I37" i="107"/>
  <c r="J37" i="107"/>
  <c r="K37" i="107"/>
  <c r="L37" i="107"/>
  <c r="M37" i="107"/>
  <c r="N37" i="107"/>
  <c r="O37" i="107"/>
  <c r="P37" i="107"/>
  <c r="Q37" i="107"/>
  <c r="R37" i="107"/>
  <c r="S37" i="107"/>
  <c r="T37" i="107"/>
  <c r="U37" i="107"/>
  <c r="V37" i="107"/>
  <c r="E38" i="107"/>
  <c r="F38" i="107"/>
  <c r="G38" i="107"/>
  <c r="H38" i="107"/>
  <c r="I38" i="107"/>
  <c r="J38" i="107"/>
  <c r="K38" i="107"/>
  <c r="L38" i="107"/>
  <c r="M38" i="107"/>
  <c r="N38" i="107"/>
  <c r="O38" i="107"/>
  <c r="P38" i="107"/>
  <c r="Q38" i="107"/>
  <c r="R38" i="107"/>
  <c r="S38" i="107"/>
  <c r="T38" i="107"/>
  <c r="U38" i="107"/>
  <c r="V38" i="107"/>
  <c r="E39" i="107"/>
  <c r="F39" i="107"/>
  <c r="G39" i="107"/>
  <c r="H39" i="107"/>
  <c r="I39" i="107"/>
  <c r="J39" i="107"/>
  <c r="K39" i="107"/>
  <c r="L39" i="107"/>
  <c r="M39" i="107"/>
  <c r="N39" i="107"/>
  <c r="O39" i="107"/>
  <c r="P39" i="107"/>
  <c r="Q39" i="107"/>
  <c r="R39" i="107"/>
  <c r="S39" i="107"/>
  <c r="T39" i="107"/>
  <c r="U39" i="107"/>
  <c r="V39" i="107"/>
  <c r="E40" i="107"/>
  <c r="F40" i="107"/>
  <c r="G40" i="107"/>
  <c r="H40" i="107"/>
  <c r="I40" i="107"/>
  <c r="J40" i="107"/>
  <c r="K40" i="107"/>
  <c r="L40" i="107"/>
  <c r="M40" i="107"/>
  <c r="N40" i="107"/>
  <c r="O40" i="107"/>
  <c r="P40" i="107"/>
  <c r="Q40" i="107"/>
  <c r="R40" i="107"/>
  <c r="S40" i="107"/>
  <c r="T40" i="107"/>
  <c r="U40" i="107"/>
  <c r="V40" i="107"/>
  <c r="E41" i="107"/>
  <c r="F41" i="107"/>
  <c r="G41" i="107"/>
  <c r="H41" i="107"/>
  <c r="I41" i="107"/>
  <c r="J41" i="107"/>
  <c r="K41" i="107"/>
  <c r="L41" i="107"/>
  <c r="M41" i="107"/>
  <c r="N41" i="107"/>
  <c r="O41" i="107"/>
  <c r="P41" i="107"/>
  <c r="Q41" i="107"/>
  <c r="R41" i="107"/>
  <c r="S41" i="107"/>
  <c r="T41" i="107"/>
  <c r="U41" i="107"/>
  <c r="V41" i="107"/>
  <c r="E42" i="107"/>
  <c r="F42" i="107"/>
  <c r="G42" i="107"/>
  <c r="H42" i="107"/>
  <c r="I42" i="107"/>
  <c r="J42" i="107"/>
  <c r="K42" i="107"/>
  <c r="L42" i="107"/>
  <c r="M42" i="107"/>
  <c r="N42" i="107"/>
  <c r="O42" i="107"/>
  <c r="P42" i="107"/>
  <c r="Q42" i="107"/>
  <c r="R42" i="107"/>
  <c r="S42" i="107"/>
  <c r="T42" i="107"/>
  <c r="U42" i="107"/>
  <c r="V42" i="107"/>
  <c r="E43" i="107"/>
  <c r="F43" i="107"/>
  <c r="G43" i="107"/>
  <c r="H43" i="107"/>
  <c r="I43" i="107"/>
  <c r="J43" i="107"/>
  <c r="K43" i="107"/>
  <c r="L43" i="107"/>
  <c r="M43" i="107"/>
  <c r="N43" i="107"/>
  <c r="O43" i="107"/>
  <c r="P43" i="107"/>
  <c r="Q43" i="107"/>
  <c r="R43" i="107"/>
  <c r="S43" i="107"/>
  <c r="T43" i="107"/>
  <c r="U43" i="107"/>
  <c r="V43" i="107"/>
  <c r="E29" i="107"/>
  <c r="F29" i="107"/>
  <c r="G29" i="107"/>
  <c r="H29" i="107"/>
  <c r="I29" i="107"/>
  <c r="J29" i="107"/>
  <c r="K29" i="107"/>
  <c r="L29" i="107"/>
  <c r="M29" i="107"/>
  <c r="N29" i="107"/>
  <c r="O29" i="107"/>
  <c r="P29" i="107"/>
  <c r="Q29" i="107"/>
  <c r="R29" i="107"/>
  <c r="S29" i="107"/>
  <c r="T29" i="107"/>
  <c r="U29" i="107"/>
  <c r="V29" i="107"/>
  <c r="E30" i="107"/>
  <c r="F30" i="107"/>
  <c r="G30" i="107"/>
  <c r="H30" i="107"/>
  <c r="I30" i="107"/>
  <c r="J30" i="107"/>
  <c r="K30" i="107"/>
  <c r="L30" i="107"/>
  <c r="M30" i="107"/>
  <c r="N30" i="107"/>
  <c r="O30" i="107"/>
  <c r="P30" i="107"/>
  <c r="Q30" i="107"/>
  <c r="R30" i="107"/>
  <c r="S30" i="107"/>
  <c r="T30" i="107"/>
  <c r="U30" i="107"/>
  <c r="V30" i="107"/>
  <c r="E31" i="107"/>
  <c r="F31" i="107"/>
  <c r="G31" i="107"/>
  <c r="H31" i="107"/>
  <c r="I31" i="107"/>
  <c r="J31" i="107"/>
  <c r="K31" i="107"/>
  <c r="L31" i="107"/>
  <c r="M31" i="107"/>
  <c r="N31" i="107"/>
  <c r="O31" i="107"/>
  <c r="P31" i="107"/>
  <c r="Q31" i="107"/>
  <c r="R31" i="107"/>
  <c r="S31" i="107"/>
  <c r="T31" i="107"/>
  <c r="U31" i="107"/>
  <c r="V31" i="107"/>
  <c r="E32" i="107"/>
  <c r="F32" i="107"/>
  <c r="G32" i="107"/>
  <c r="H32" i="107"/>
  <c r="I32" i="107"/>
  <c r="J32" i="107"/>
  <c r="K32" i="107"/>
  <c r="L32" i="107"/>
  <c r="M32" i="107"/>
  <c r="N32" i="107"/>
  <c r="O32" i="107"/>
  <c r="P32" i="107"/>
  <c r="Q32" i="107"/>
  <c r="R32" i="107"/>
  <c r="S32" i="107"/>
  <c r="T32" i="107"/>
  <c r="U32" i="107"/>
  <c r="V32" i="107"/>
  <c r="E33" i="107"/>
  <c r="F33" i="107"/>
  <c r="G33" i="107"/>
  <c r="H33" i="107"/>
  <c r="I33" i="107"/>
  <c r="J33" i="107"/>
  <c r="K33" i="107"/>
  <c r="L33" i="107"/>
  <c r="M33" i="107"/>
  <c r="N33" i="107"/>
  <c r="O33" i="107"/>
  <c r="P33" i="107"/>
  <c r="Q33" i="107"/>
  <c r="R33" i="107"/>
  <c r="S33" i="107"/>
  <c r="T33" i="107"/>
  <c r="U33" i="107"/>
  <c r="V33" i="107"/>
  <c r="E34" i="107"/>
  <c r="F34" i="107"/>
  <c r="G34" i="107"/>
  <c r="H34" i="107"/>
  <c r="I34" i="107"/>
  <c r="J34" i="107"/>
  <c r="K34" i="107"/>
  <c r="L34" i="107"/>
  <c r="M34" i="107"/>
  <c r="N34" i="107"/>
  <c r="O34" i="107"/>
  <c r="P34" i="107"/>
  <c r="Q34" i="107"/>
  <c r="R34" i="107"/>
  <c r="S34" i="107"/>
  <c r="T34" i="107"/>
  <c r="U34" i="107"/>
  <c r="V34" i="107"/>
  <c r="E35" i="107"/>
  <c r="F35" i="107"/>
  <c r="G35" i="107"/>
  <c r="H35" i="107"/>
  <c r="I35" i="107"/>
  <c r="J35" i="107"/>
  <c r="K35" i="107"/>
  <c r="L35" i="107"/>
  <c r="M35" i="107"/>
  <c r="N35" i="107"/>
  <c r="O35" i="107"/>
  <c r="P35" i="107"/>
  <c r="Q35" i="107"/>
  <c r="R35" i="107"/>
  <c r="S35" i="107"/>
  <c r="T35" i="107"/>
  <c r="U35" i="107"/>
  <c r="V35" i="107"/>
  <c r="D46" i="107"/>
  <c r="D45" i="107"/>
  <c r="D43" i="107"/>
  <c r="D42" i="107"/>
  <c r="D41" i="107"/>
  <c r="D40" i="107"/>
  <c r="D39" i="107"/>
  <c r="D38" i="107"/>
  <c r="D37" i="107"/>
  <c r="D35" i="107"/>
  <c r="D34" i="107"/>
  <c r="D33" i="107"/>
  <c r="D32" i="107"/>
  <c r="D31" i="107"/>
  <c r="D30" i="107"/>
  <c r="D29" i="107"/>
  <c r="E23" i="107"/>
  <c r="F23" i="107"/>
  <c r="G23" i="107"/>
  <c r="H23" i="107"/>
  <c r="I23" i="107"/>
  <c r="J23" i="107"/>
  <c r="K23" i="107"/>
  <c r="L23" i="107"/>
  <c r="M23" i="107"/>
  <c r="N23" i="107"/>
  <c r="O23" i="107"/>
  <c r="P23" i="107"/>
  <c r="Q23" i="107"/>
  <c r="R23" i="107"/>
  <c r="S23" i="107"/>
  <c r="T23" i="107"/>
  <c r="U23" i="107"/>
  <c r="V23" i="107"/>
  <c r="E24" i="107"/>
  <c r="F24" i="107"/>
  <c r="G24" i="107"/>
  <c r="H24" i="107"/>
  <c r="I24" i="107"/>
  <c r="J24" i="107"/>
  <c r="K24" i="107"/>
  <c r="L24" i="107"/>
  <c r="M24" i="107"/>
  <c r="N24" i="107"/>
  <c r="O24" i="107"/>
  <c r="P24" i="107"/>
  <c r="Q24" i="107"/>
  <c r="R24" i="107"/>
  <c r="S24" i="107"/>
  <c r="T24" i="107"/>
  <c r="U24" i="107"/>
  <c r="V24" i="107"/>
  <c r="E15" i="107"/>
  <c r="F15" i="107"/>
  <c r="G15" i="107"/>
  <c r="H15" i="107"/>
  <c r="I15" i="107"/>
  <c r="J15" i="107"/>
  <c r="K15" i="107"/>
  <c r="L15" i="107"/>
  <c r="M15" i="107"/>
  <c r="N15" i="107"/>
  <c r="O15" i="107"/>
  <c r="P15" i="107"/>
  <c r="Q15" i="107"/>
  <c r="R15" i="107"/>
  <c r="S15" i="107"/>
  <c r="T15" i="107"/>
  <c r="U15" i="107"/>
  <c r="V15" i="107"/>
  <c r="E16" i="107"/>
  <c r="F16" i="107"/>
  <c r="G16" i="107"/>
  <c r="H16" i="107"/>
  <c r="I16" i="107"/>
  <c r="J16" i="107"/>
  <c r="K16" i="107"/>
  <c r="L16" i="107"/>
  <c r="M16" i="107"/>
  <c r="N16" i="107"/>
  <c r="O16" i="107"/>
  <c r="P16" i="107"/>
  <c r="Q16" i="107"/>
  <c r="R16" i="107"/>
  <c r="S16" i="107"/>
  <c r="T16" i="107"/>
  <c r="U16" i="107"/>
  <c r="V16" i="107"/>
  <c r="E17" i="107"/>
  <c r="F17" i="107"/>
  <c r="G17" i="107"/>
  <c r="H17" i="107"/>
  <c r="I17" i="107"/>
  <c r="J17" i="107"/>
  <c r="K17" i="107"/>
  <c r="L17" i="107"/>
  <c r="M17" i="107"/>
  <c r="N17" i="107"/>
  <c r="O17" i="107"/>
  <c r="P17" i="107"/>
  <c r="Q17" i="107"/>
  <c r="R17" i="107"/>
  <c r="S17" i="107"/>
  <c r="T17" i="107"/>
  <c r="U17" i="107"/>
  <c r="V17" i="107"/>
  <c r="E18" i="107"/>
  <c r="F18" i="107"/>
  <c r="G18" i="107"/>
  <c r="H18" i="107"/>
  <c r="I18" i="107"/>
  <c r="J18" i="107"/>
  <c r="K18" i="107"/>
  <c r="L18" i="107"/>
  <c r="M18" i="107"/>
  <c r="N18" i="107"/>
  <c r="O18" i="107"/>
  <c r="P18" i="107"/>
  <c r="Q18" i="107"/>
  <c r="R18" i="107"/>
  <c r="S18" i="107"/>
  <c r="T18" i="107"/>
  <c r="U18" i="107"/>
  <c r="V18" i="107"/>
  <c r="E19" i="107"/>
  <c r="F19" i="107"/>
  <c r="G19" i="107"/>
  <c r="H19" i="107"/>
  <c r="I19" i="107"/>
  <c r="J19" i="107"/>
  <c r="K19" i="107"/>
  <c r="L19" i="107"/>
  <c r="M19" i="107"/>
  <c r="N19" i="107"/>
  <c r="O19" i="107"/>
  <c r="P19" i="107"/>
  <c r="Q19" i="107"/>
  <c r="R19" i="107"/>
  <c r="S19" i="107"/>
  <c r="T19" i="107"/>
  <c r="U19" i="107"/>
  <c r="V19" i="107"/>
  <c r="E20" i="107"/>
  <c r="F20" i="107"/>
  <c r="G20" i="107"/>
  <c r="H20" i="107"/>
  <c r="I20" i="107"/>
  <c r="J20" i="107"/>
  <c r="K20" i="107"/>
  <c r="L20" i="107"/>
  <c r="M20" i="107"/>
  <c r="N20" i="107"/>
  <c r="O20" i="107"/>
  <c r="P20" i="107"/>
  <c r="Q20" i="107"/>
  <c r="R20" i="107"/>
  <c r="S20" i="107"/>
  <c r="T20" i="107"/>
  <c r="U20" i="107"/>
  <c r="V20" i="107"/>
  <c r="E21" i="107"/>
  <c r="F21" i="107"/>
  <c r="G21" i="107"/>
  <c r="H21" i="107"/>
  <c r="I21" i="107"/>
  <c r="J21" i="107"/>
  <c r="K21" i="107"/>
  <c r="L21" i="107"/>
  <c r="M21" i="107"/>
  <c r="N21" i="107"/>
  <c r="O21" i="107"/>
  <c r="P21" i="107"/>
  <c r="Q21" i="107"/>
  <c r="R21" i="107"/>
  <c r="S21" i="107"/>
  <c r="T21" i="107"/>
  <c r="U21" i="107"/>
  <c r="V21" i="107"/>
  <c r="E7" i="107"/>
  <c r="F7" i="107"/>
  <c r="G7" i="107"/>
  <c r="H7" i="107"/>
  <c r="I7" i="107"/>
  <c r="J7" i="107"/>
  <c r="K7" i="107"/>
  <c r="L7" i="107"/>
  <c r="M7" i="107"/>
  <c r="N7" i="107"/>
  <c r="O7" i="107"/>
  <c r="P7" i="107"/>
  <c r="Q7" i="107"/>
  <c r="R7" i="107"/>
  <c r="S7" i="107"/>
  <c r="T7" i="107"/>
  <c r="U7" i="107"/>
  <c r="V7" i="107"/>
  <c r="E8" i="107"/>
  <c r="F8" i="107"/>
  <c r="G8" i="107"/>
  <c r="H8" i="107"/>
  <c r="I8" i="107"/>
  <c r="J8" i="107"/>
  <c r="K8" i="107"/>
  <c r="L8" i="107"/>
  <c r="M8" i="107"/>
  <c r="N8" i="107"/>
  <c r="O8" i="107"/>
  <c r="P8" i="107"/>
  <c r="Q8" i="107"/>
  <c r="R8" i="107"/>
  <c r="S8" i="107"/>
  <c r="T8" i="107"/>
  <c r="U8" i="107"/>
  <c r="V8" i="107"/>
  <c r="E9" i="107"/>
  <c r="F9" i="107"/>
  <c r="G9" i="107"/>
  <c r="H9" i="107"/>
  <c r="I9" i="107"/>
  <c r="J9" i="107"/>
  <c r="K9" i="107"/>
  <c r="L9" i="107"/>
  <c r="M9" i="107"/>
  <c r="N9" i="107"/>
  <c r="O9" i="107"/>
  <c r="P9" i="107"/>
  <c r="Q9" i="107"/>
  <c r="R9" i="107"/>
  <c r="S9" i="107"/>
  <c r="T9" i="107"/>
  <c r="U9" i="107"/>
  <c r="V9" i="107"/>
  <c r="E10" i="107"/>
  <c r="F10" i="107"/>
  <c r="G10" i="107"/>
  <c r="H10" i="107"/>
  <c r="I10" i="107"/>
  <c r="J10" i="107"/>
  <c r="K10" i="107"/>
  <c r="L10" i="107"/>
  <c r="M10" i="107"/>
  <c r="N10" i="107"/>
  <c r="O10" i="107"/>
  <c r="P10" i="107"/>
  <c r="Q10" i="107"/>
  <c r="R10" i="107"/>
  <c r="S10" i="107"/>
  <c r="T10" i="107"/>
  <c r="U10" i="107"/>
  <c r="V10" i="107"/>
  <c r="E11" i="107"/>
  <c r="F11" i="107"/>
  <c r="G11" i="107"/>
  <c r="H11" i="107"/>
  <c r="I11" i="107"/>
  <c r="J11" i="107"/>
  <c r="K11" i="107"/>
  <c r="L11" i="107"/>
  <c r="M11" i="107"/>
  <c r="N11" i="107"/>
  <c r="O11" i="107"/>
  <c r="P11" i="107"/>
  <c r="Q11" i="107"/>
  <c r="R11" i="107"/>
  <c r="S11" i="107"/>
  <c r="T11" i="107"/>
  <c r="U11" i="107"/>
  <c r="V11" i="107"/>
  <c r="E12" i="107"/>
  <c r="F12" i="107"/>
  <c r="G12" i="107"/>
  <c r="H12" i="107"/>
  <c r="I12" i="107"/>
  <c r="J12" i="107"/>
  <c r="K12" i="107"/>
  <c r="L12" i="107"/>
  <c r="M12" i="107"/>
  <c r="N12" i="107"/>
  <c r="O12" i="107"/>
  <c r="P12" i="107"/>
  <c r="Q12" i="107"/>
  <c r="R12" i="107"/>
  <c r="S12" i="107"/>
  <c r="T12" i="107"/>
  <c r="U12" i="107"/>
  <c r="V12" i="107"/>
  <c r="E13" i="107"/>
  <c r="F13" i="107"/>
  <c r="G13" i="107"/>
  <c r="H13" i="107"/>
  <c r="I13" i="107"/>
  <c r="J13" i="107"/>
  <c r="K13" i="107"/>
  <c r="L13" i="107"/>
  <c r="M13" i="107"/>
  <c r="N13" i="107"/>
  <c r="O13" i="107"/>
  <c r="P13" i="107"/>
  <c r="Q13" i="107"/>
  <c r="R13" i="107"/>
  <c r="S13" i="107"/>
  <c r="T13" i="107"/>
  <c r="U13" i="107"/>
  <c r="V13" i="107"/>
  <c r="D24" i="107"/>
  <c r="D23" i="107"/>
  <c r="D21" i="107"/>
  <c r="D20" i="107"/>
  <c r="D19" i="107"/>
  <c r="D18" i="107"/>
  <c r="D17" i="107"/>
  <c r="D16" i="107"/>
  <c r="D15" i="107"/>
  <c r="D13" i="107"/>
  <c r="D12" i="107"/>
  <c r="D11" i="107"/>
  <c r="D10" i="107"/>
  <c r="D9" i="107"/>
  <c r="D8" i="107"/>
  <c r="D7" i="107"/>
  <c r="H9" i="78" l="1"/>
  <c r="I427" i="74" l="1"/>
  <c r="F372" i="74" l="1"/>
  <c r="X10" i="54" l="1"/>
  <c r="R21" i="54"/>
  <c r="W22" i="54" l="1"/>
  <c r="W23" i="54"/>
  <c r="F367" i="54" l="1"/>
  <c r="G290" i="54" l="1"/>
  <c r="F291" i="54"/>
  <c r="F292" i="54"/>
  <c r="F293" i="54"/>
  <c r="F294" i="54"/>
  <c r="F295" i="54"/>
  <c r="F296" i="54"/>
  <c r="F297" i="54"/>
  <c r="F298" i="54"/>
  <c r="F299" i="54"/>
  <c r="F300" i="54"/>
  <c r="F301" i="54"/>
  <c r="F302" i="54"/>
  <c r="F290" i="54"/>
  <c r="G332" i="54" l="1"/>
  <c r="G336" i="54" s="1"/>
  <c r="F332" i="54"/>
  <c r="F336" i="54" s="1"/>
  <c r="E332" i="54"/>
  <c r="E336" i="54" s="1"/>
  <c r="D332" i="54"/>
  <c r="D336" i="54" s="1"/>
  <c r="E256" i="54"/>
  <c r="E349" i="54" l="1"/>
  <c r="G343" i="54"/>
  <c r="E341" i="54"/>
  <c r="G351" i="54"/>
  <c r="F346" i="54"/>
  <c r="E345" i="54"/>
  <c r="F342" i="54"/>
  <c r="F350" i="54"/>
  <c r="G347" i="54"/>
  <c r="D348" i="54"/>
  <c r="D341" i="54"/>
  <c r="D345" i="54"/>
  <c r="D349" i="54"/>
  <c r="E352" i="54"/>
  <c r="E348" i="54"/>
  <c r="E344" i="54"/>
  <c r="E340" i="54"/>
  <c r="F349" i="54"/>
  <c r="F345" i="54"/>
  <c r="F341" i="54"/>
  <c r="G350" i="54"/>
  <c r="G346" i="54"/>
  <c r="G342" i="54"/>
  <c r="D344" i="54"/>
  <c r="D342" i="54"/>
  <c r="D346" i="54"/>
  <c r="D350" i="54"/>
  <c r="E351" i="54"/>
  <c r="E347" i="54"/>
  <c r="E343" i="54"/>
  <c r="F352" i="54"/>
  <c r="F348" i="54"/>
  <c r="F344" i="54"/>
  <c r="F340" i="54"/>
  <c r="G349" i="54"/>
  <c r="G345" i="54"/>
  <c r="G341" i="54"/>
  <c r="D340" i="54"/>
  <c r="D352" i="54"/>
  <c r="D343" i="54"/>
  <c r="D347" i="54"/>
  <c r="D351" i="54"/>
  <c r="E350" i="54"/>
  <c r="E346" i="54"/>
  <c r="E342" i="54"/>
  <c r="F351" i="54"/>
  <c r="F347" i="54"/>
  <c r="F343" i="54"/>
  <c r="G352" i="54"/>
  <c r="G348" i="54"/>
  <c r="G344" i="54"/>
  <c r="G340" i="54"/>
  <c r="V93" i="107" l="1"/>
  <c r="V101" i="107"/>
  <c r="V102" i="107"/>
  <c r="V103" i="107"/>
  <c r="V104" i="107"/>
  <c r="V105" i="107"/>
  <c r="V94" i="107"/>
  <c r="V95" i="107"/>
  <c r="V96" i="107"/>
  <c r="V97" i="107"/>
  <c r="V98" i="107"/>
  <c r="V106" i="107"/>
  <c r="V107" i="107"/>
  <c r="V99" i="107"/>
  <c r="U93" i="107"/>
  <c r="U101" i="107"/>
  <c r="U102" i="107"/>
  <c r="U103" i="107"/>
  <c r="U104" i="107"/>
  <c r="U105" i="107"/>
  <c r="U94" i="107"/>
  <c r="U95" i="107"/>
  <c r="U96" i="107"/>
  <c r="U97" i="107"/>
  <c r="U98" i="107"/>
  <c r="U106" i="107"/>
  <c r="U107" i="107"/>
  <c r="U99" i="107"/>
  <c r="T93" i="107"/>
  <c r="T101" i="107"/>
  <c r="T102" i="107"/>
  <c r="T103" i="107"/>
  <c r="T104" i="107"/>
  <c r="T105" i="107"/>
  <c r="T94" i="107"/>
  <c r="T95" i="107"/>
  <c r="T96" i="107"/>
  <c r="T97" i="107"/>
  <c r="T98" i="107"/>
  <c r="T106" i="107"/>
  <c r="T107" i="107"/>
  <c r="T99" i="107"/>
  <c r="S93" i="107"/>
  <c r="S101" i="107"/>
  <c r="S102" i="107"/>
  <c r="S103" i="107"/>
  <c r="S104" i="107"/>
  <c r="S105" i="107"/>
  <c r="S94" i="107"/>
  <c r="S95" i="107"/>
  <c r="S96" i="107"/>
  <c r="S97" i="107"/>
  <c r="S98" i="107"/>
  <c r="S106" i="107"/>
  <c r="S107" i="107"/>
  <c r="S99" i="107"/>
  <c r="R93" i="107"/>
  <c r="R101" i="107"/>
  <c r="R102" i="107"/>
  <c r="R103" i="107"/>
  <c r="R104" i="107"/>
  <c r="R105" i="107"/>
  <c r="R94" i="107"/>
  <c r="R95" i="107"/>
  <c r="R96" i="107"/>
  <c r="R97" i="107"/>
  <c r="R98" i="107"/>
  <c r="R106" i="107"/>
  <c r="R107" i="107"/>
  <c r="R99" i="107"/>
  <c r="Q93" i="107"/>
  <c r="Q101" i="107"/>
  <c r="Q102" i="107"/>
  <c r="Q103" i="107"/>
  <c r="Q104" i="107"/>
  <c r="Q105" i="107"/>
  <c r="Q94" i="107"/>
  <c r="Q95" i="107"/>
  <c r="Q96" i="107"/>
  <c r="Q97" i="107"/>
  <c r="Q98" i="107"/>
  <c r="Q106" i="107"/>
  <c r="Q107" i="107"/>
  <c r="Q99" i="107"/>
  <c r="P93" i="107"/>
  <c r="P101" i="107"/>
  <c r="P102" i="107"/>
  <c r="P103" i="107"/>
  <c r="P104" i="107"/>
  <c r="P105" i="107"/>
  <c r="P94" i="107"/>
  <c r="P95" i="107"/>
  <c r="P96" i="107"/>
  <c r="P97" i="107"/>
  <c r="P98" i="107"/>
  <c r="P106" i="107"/>
  <c r="P107" i="107"/>
  <c r="P99" i="107"/>
  <c r="O93" i="107"/>
  <c r="O101" i="107"/>
  <c r="O102" i="107"/>
  <c r="O103" i="107"/>
  <c r="O104" i="107"/>
  <c r="O105" i="107"/>
  <c r="O94" i="107"/>
  <c r="O95" i="107"/>
  <c r="O96" i="107"/>
  <c r="O97" i="107"/>
  <c r="O98" i="107"/>
  <c r="O106" i="107"/>
  <c r="O107" i="107"/>
  <c r="O99" i="107"/>
  <c r="N93" i="107"/>
  <c r="N101" i="107"/>
  <c r="N102" i="107"/>
  <c r="N103" i="107"/>
  <c r="N104" i="107"/>
  <c r="N105" i="107"/>
  <c r="N94" i="107"/>
  <c r="N95" i="107"/>
  <c r="N96" i="107"/>
  <c r="N97" i="107"/>
  <c r="N98" i="107"/>
  <c r="N106" i="107"/>
  <c r="N107" i="107"/>
  <c r="N99" i="107"/>
  <c r="M93" i="107"/>
  <c r="M101" i="107"/>
  <c r="M102" i="107"/>
  <c r="M103" i="107"/>
  <c r="M104" i="107"/>
  <c r="M105" i="107"/>
  <c r="M94" i="107"/>
  <c r="M95" i="107"/>
  <c r="M96" i="107"/>
  <c r="M97" i="107"/>
  <c r="M98" i="107"/>
  <c r="M106" i="107"/>
  <c r="M107" i="107"/>
  <c r="M99" i="107"/>
  <c r="L93" i="107"/>
  <c r="L101" i="107"/>
  <c r="L102" i="107"/>
  <c r="L103" i="107"/>
  <c r="L104" i="107"/>
  <c r="L105" i="107"/>
  <c r="L94" i="107"/>
  <c r="L95" i="107"/>
  <c r="L96" i="107"/>
  <c r="L97" i="107"/>
  <c r="L98" i="107"/>
  <c r="L106" i="107"/>
  <c r="L107" i="107"/>
  <c r="L99" i="107"/>
  <c r="K93" i="107"/>
  <c r="K101" i="107"/>
  <c r="K102" i="107"/>
  <c r="K103" i="107"/>
  <c r="K104" i="107"/>
  <c r="K105" i="107"/>
  <c r="K94" i="107"/>
  <c r="K95" i="107"/>
  <c r="K96" i="107"/>
  <c r="K97" i="107"/>
  <c r="K98" i="107"/>
  <c r="K106" i="107"/>
  <c r="K107" i="107"/>
  <c r="K99" i="107"/>
  <c r="J93" i="107"/>
  <c r="J101" i="107"/>
  <c r="J102" i="107"/>
  <c r="J103" i="107"/>
  <c r="J104" i="107"/>
  <c r="J105" i="107"/>
  <c r="J94" i="107"/>
  <c r="J95" i="107"/>
  <c r="J96" i="107"/>
  <c r="J97" i="107"/>
  <c r="J98" i="107"/>
  <c r="J106" i="107"/>
  <c r="J107" i="107"/>
  <c r="J99" i="107"/>
  <c r="I93" i="107"/>
  <c r="I101" i="107"/>
  <c r="I102" i="107"/>
  <c r="I103" i="107"/>
  <c r="I104" i="107"/>
  <c r="I105" i="107"/>
  <c r="I94" i="107"/>
  <c r="I95" i="107"/>
  <c r="I96" i="107"/>
  <c r="I97" i="107"/>
  <c r="I98" i="107"/>
  <c r="I106" i="107"/>
  <c r="I99" i="107"/>
  <c r="H93" i="107"/>
  <c r="H101" i="107"/>
  <c r="H102" i="107"/>
  <c r="H103" i="107"/>
  <c r="H104" i="107"/>
  <c r="H105" i="107"/>
  <c r="H94" i="107"/>
  <c r="H95" i="107"/>
  <c r="H96" i="107"/>
  <c r="H97" i="107"/>
  <c r="H98" i="107"/>
  <c r="H106" i="107"/>
  <c r="H107" i="107"/>
  <c r="H99" i="107"/>
  <c r="G93" i="107"/>
  <c r="G101" i="107"/>
  <c r="G102" i="107"/>
  <c r="G103" i="107"/>
  <c r="G104" i="107"/>
  <c r="G105" i="107"/>
  <c r="G94" i="107"/>
  <c r="G95" i="107"/>
  <c r="G96" i="107"/>
  <c r="G97" i="107"/>
  <c r="G98" i="107"/>
  <c r="G106" i="107"/>
  <c r="G107" i="107"/>
  <c r="G99" i="107"/>
  <c r="E104" i="107"/>
  <c r="F104" i="107"/>
  <c r="D104" i="107"/>
  <c r="F93" i="107"/>
  <c r="F101" i="107"/>
  <c r="F102" i="107"/>
  <c r="F103" i="107"/>
  <c r="F105" i="107"/>
  <c r="F94" i="107"/>
  <c r="F95" i="107"/>
  <c r="F96" i="107"/>
  <c r="F97" i="107"/>
  <c r="F98" i="107"/>
  <c r="F106" i="107"/>
  <c r="F107" i="107"/>
  <c r="F99" i="107"/>
  <c r="E93" i="107"/>
  <c r="E101" i="107"/>
  <c r="E102" i="107"/>
  <c r="E103" i="107"/>
  <c r="E105" i="107"/>
  <c r="E94" i="107"/>
  <c r="E95" i="107"/>
  <c r="E96" i="107"/>
  <c r="E97" i="107"/>
  <c r="E98" i="107"/>
  <c r="E106" i="107"/>
  <c r="E107" i="107"/>
  <c r="E99" i="107"/>
  <c r="D99" i="107"/>
  <c r="D107" i="107"/>
  <c r="D106" i="107"/>
  <c r="D98" i="107"/>
  <c r="D97" i="107"/>
  <c r="D96" i="107"/>
  <c r="D95" i="107"/>
  <c r="D94" i="107"/>
  <c r="D105" i="107"/>
  <c r="D103" i="107"/>
  <c r="D102" i="107"/>
  <c r="D101" i="107"/>
  <c r="D93" i="107"/>
  <c r="V73" i="107"/>
  <c r="V81" i="107"/>
  <c r="V82" i="107"/>
  <c r="V83" i="107"/>
  <c r="V84" i="107"/>
  <c r="V85" i="107"/>
  <c r="V74" i="107"/>
  <c r="V75" i="107"/>
  <c r="V76" i="107"/>
  <c r="V77" i="107"/>
  <c r="V78" i="107"/>
  <c r="V86" i="107"/>
  <c r="V87" i="107"/>
  <c r="V79" i="107"/>
  <c r="U73" i="107"/>
  <c r="U81" i="107"/>
  <c r="U82" i="107"/>
  <c r="U83" i="107"/>
  <c r="U84" i="107"/>
  <c r="U85" i="107"/>
  <c r="U74" i="107"/>
  <c r="U75" i="107"/>
  <c r="U76" i="107"/>
  <c r="U77" i="107"/>
  <c r="U78" i="107"/>
  <c r="U86" i="107"/>
  <c r="U87" i="107"/>
  <c r="U79" i="107"/>
  <c r="T73" i="107"/>
  <c r="T81" i="107"/>
  <c r="T82" i="107"/>
  <c r="T83" i="107"/>
  <c r="T84" i="107"/>
  <c r="T85" i="107"/>
  <c r="T74" i="107"/>
  <c r="T75" i="107"/>
  <c r="T76" i="107"/>
  <c r="T77" i="107"/>
  <c r="T78" i="107"/>
  <c r="T86" i="107"/>
  <c r="T87" i="107"/>
  <c r="T79" i="107"/>
  <c r="S73" i="107"/>
  <c r="S81" i="107"/>
  <c r="S82" i="107"/>
  <c r="S83" i="107"/>
  <c r="S84" i="107"/>
  <c r="S85" i="107"/>
  <c r="S74" i="107"/>
  <c r="S75" i="107"/>
  <c r="S76" i="107"/>
  <c r="S77" i="107"/>
  <c r="S78" i="107"/>
  <c r="S86" i="107"/>
  <c r="S87" i="107"/>
  <c r="S79" i="107"/>
  <c r="R73" i="107"/>
  <c r="R81" i="107"/>
  <c r="R82" i="107"/>
  <c r="R83" i="107"/>
  <c r="R84" i="107"/>
  <c r="R85" i="107"/>
  <c r="R74" i="107"/>
  <c r="R75" i="107"/>
  <c r="R76" i="107"/>
  <c r="R77" i="107"/>
  <c r="R78" i="107"/>
  <c r="R86" i="107"/>
  <c r="R87" i="107"/>
  <c r="R79" i="107"/>
  <c r="Q73" i="107"/>
  <c r="Q81" i="107"/>
  <c r="Q82" i="107"/>
  <c r="Q83" i="107"/>
  <c r="Q84" i="107"/>
  <c r="Q85" i="107"/>
  <c r="Q74" i="107"/>
  <c r="Q75" i="107"/>
  <c r="Q76" i="107"/>
  <c r="Q77" i="107"/>
  <c r="Q78" i="107"/>
  <c r="Q86" i="107"/>
  <c r="Q87" i="107"/>
  <c r="Q79" i="107"/>
  <c r="P73" i="107"/>
  <c r="P81" i="107"/>
  <c r="P82" i="107"/>
  <c r="P83" i="107"/>
  <c r="P84" i="107"/>
  <c r="P85" i="107"/>
  <c r="P74" i="107"/>
  <c r="P75" i="107"/>
  <c r="P76" i="107"/>
  <c r="P77" i="107"/>
  <c r="P78" i="107"/>
  <c r="P86" i="107"/>
  <c r="P87" i="107"/>
  <c r="P79" i="107"/>
  <c r="I73" i="107"/>
  <c r="J73" i="107"/>
  <c r="K73" i="107"/>
  <c r="L73" i="107"/>
  <c r="M73" i="107"/>
  <c r="N73" i="107"/>
  <c r="O73" i="107"/>
  <c r="I81" i="107"/>
  <c r="J81" i="107"/>
  <c r="K81" i="107"/>
  <c r="L81" i="107"/>
  <c r="M81" i="107"/>
  <c r="N81" i="107"/>
  <c r="O81" i="107"/>
  <c r="I82" i="107"/>
  <c r="J82" i="107"/>
  <c r="K82" i="107"/>
  <c r="L82" i="107"/>
  <c r="M82" i="107"/>
  <c r="N82" i="107"/>
  <c r="O82" i="107"/>
  <c r="I83" i="107"/>
  <c r="J83" i="107"/>
  <c r="K83" i="107"/>
  <c r="L83" i="107"/>
  <c r="M83" i="107"/>
  <c r="N83" i="107"/>
  <c r="O83" i="107"/>
  <c r="I84" i="107"/>
  <c r="J84" i="107"/>
  <c r="K84" i="107"/>
  <c r="L84" i="107"/>
  <c r="M84" i="107"/>
  <c r="N84" i="107"/>
  <c r="O84" i="107"/>
  <c r="I85" i="107"/>
  <c r="J85" i="107"/>
  <c r="K85" i="107"/>
  <c r="L85" i="107"/>
  <c r="M85" i="107"/>
  <c r="N85" i="107"/>
  <c r="O85" i="107"/>
  <c r="I74" i="107"/>
  <c r="J74" i="107"/>
  <c r="K74" i="107"/>
  <c r="L74" i="107"/>
  <c r="M74" i="107"/>
  <c r="N74" i="107"/>
  <c r="O74" i="107"/>
  <c r="I75" i="107"/>
  <c r="J75" i="107"/>
  <c r="K75" i="107"/>
  <c r="L75" i="107"/>
  <c r="M75" i="107"/>
  <c r="N75" i="107"/>
  <c r="O75" i="107"/>
  <c r="I76" i="107"/>
  <c r="J76" i="107"/>
  <c r="K76" i="107"/>
  <c r="L76" i="107"/>
  <c r="M76" i="107"/>
  <c r="N76" i="107"/>
  <c r="O76" i="107"/>
  <c r="I77" i="107"/>
  <c r="J77" i="107"/>
  <c r="K77" i="107"/>
  <c r="L77" i="107"/>
  <c r="M77" i="107"/>
  <c r="N77" i="107"/>
  <c r="O77" i="107"/>
  <c r="I78" i="107"/>
  <c r="J78" i="107"/>
  <c r="K78" i="107"/>
  <c r="L78" i="107"/>
  <c r="M78" i="107"/>
  <c r="N78" i="107"/>
  <c r="O78" i="107"/>
  <c r="I86" i="107"/>
  <c r="J86" i="107"/>
  <c r="K86" i="107"/>
  <c r="L86" i="107"/>
  <c r="M86" i="107"/>
  <c r="N86" i="107"/>
  <c r="O86" i="107"/>
  <c r="J87" i="107"/>
  <c r="K87" i="107"/>
  <c r="L87" i="107"/>
  <c r="M87" i="107"/>
  <c r="N87" i="107"/>
  <c r="O87" i="107"/>
  <c r="I79" i="107"/>
  <c r="J79" i="107"/>
  <c r="K79" i="107"/>
  <c r="L79" i="107"/>
  <c r="M79" i="107"/>
  <c r="N79" i="107"/>
  <c r="O79" i="107"/>
  <c r="H73" i="107"/>
  <c r="H81" i="107"/>
  <c r="H82" i="107"/>
  <c r="H83" i="107"/>
  <c r="H84" i="107"/>
  <c r="H85" i="107"/>
  <c r="H74" i="107"/>
  <c r="H75" i="107"/>
  <c r="H76" i="107"/>
  <c r="H77" i="107"/>
  <c r="H78" i="107"/>
  <c r="H86" i="107"/>
  <c r="H87" i="107"/>
  <c r="H79" i="107"/>
  <c r="G73" i="107"/>
  <c r="G81" i="107"/>
  <c r="G82" i="107"/>
  <c r="G84" i="107"/>
  <c r="G74" i="107"/>
  <c r="G77" i="107"/>
  <c r="F73" i="107"/>
  <c r="F81" i="107"/>
  <c r="F82" i="107"/>
  <c r="F83" i="107"/>
  <c r="F84" i="107"/>
  <c r="F85" i="107"/>
  <c r="F74" i="107"/>
  <c r="F75" i="107"/>
  <c r="F76" i="107"/>
  <c r="F77" i="107"/>
  <c r="F78" i="107"/>
  <c r="F86" i="107"/>
  <c r="F87" i="107"/>
  <c r="F79" i="107"/>
  <c r="E73" i="107"/>
  <c r="E81" i="107"/>
  <c r="E82" i="107"/>
  <c r="E83" i="107"/>
  <c r="E84" i="107"/>
  <c r="E85" i="107"/>
  <c r="E74" i="107"/>
  <c r="E75" i="107"/>
  <c r="E76" i="107"/>
  <c r="E77" i="107"/>
  <c r="E78" i="107"/>
  <c r="E86" i="107"/>
  <c r="E87" i="107"/>
  <c r="E79" i="107"/>
  <c r="D78" i="107"/>
  <c r="D77" i="107"/>
  <c r="D84" i="107"/>
  <c r="D79" i="107"/>
  <c r="D87" i="107"/>
  <c r="D86" i="107"/>
  <c r="D76" i="107"/>
  <c r="D75" i="107"/>
  <c r="D74" i="107"/>
  <c r="D85" i="107"/>
  <c r="D83" i="107"/>
  <c r="D82" i="107"/>
  <c r="D81" i="107"/>
  <c r="D73" i="107"/>
  <c r="G142" i="87" l="1"/>
  <c r="G79" i="107"/>
  <c r="G135" i="87"/>
  <c r="G85" i="107"/>
  <c r="G141" i="87"/>
  <c r="G87" i="107"/>
  <c r="G138" i="87"/>
  <c r="G76" i="107"/>
  <c r="G140" i="87"/>
  <c r="G86" i="107"/>
  <c r="G137" i="87"/>
  <c r="G75" i="107"/>
  <c r="G83" i="107"/>
  <c r="G131" i="87"/>
  <c r="G139" i="87"/>
  <c r="G78" i="107"/>
  <c r="G143" i="87" l="1"/>
  <c r="K10" i="90" l="1"/>
  <c r="K12" i="90"/>
  <c r="K13" i="90"/>
  <c r="K16" i="90"/>
  <c r="K18" i="90"/>
  <c r="K19" i="90"/>
  <c r="J27" i="73"/>
  <c r="J28" i="73"/>
  <c r="J30" i="73"/>
  <c r="J31" i="73"/>
  <c r="J11" i="81"/>
  <c r="K20" i="90" l="1"/>
  <c r="J46" i="73"/>
  <c r="K15" i="90"/>
  <c r="K17" i="90" s="1"/>
  <c r="J17" i="73"/>
  <c r="K14" i="90"/>
  <c r="J43" i="73"/>
  <c r="J40" i="73"/>
  <c r="K9" i="90"/>
  <c r="K11" i="90" s="1"/>
  <c r="J49" i="73"/>
  <c r="J9" i="73"/>
  <c r="J29" i="73"/>
  <c r="J9" i="81" s="1"/>
  <c r="J13" i="73"/>
  <c r="J21" i="73"/>
  <c r="J32" i="73"/>
  <c r="J10" i="81" s="1"/>
  <c r="J23" i="73" l="1"/>
  <c r="J33" i="73"/>
  <c r="V100" i="107"/>
  <c r="V108" i="107"/>
  <c r="U108" i="107"/>
  <c r="Q108" i="107"/>
  <c r="M108" i="107"/>
  <c r="K100" i="107" l="1"/>
  <c r="G80" i="107"/>
  <c r="K80" i="107"/>
  <c r="O80" i="107"/>
  <c r="K108" i="107"/>
  <c r="G88" i="107"/>
  <c r="G89" i="107" s="1"/>
  <c r="K88" i="107"/>
  <c r="K89" i="107" s="1"/>
  <c r="O88" i="107"/>
  <c r="F80" i="107"/>
  <c r="J80" i="107"/>
  <c r="G100" i="107"/>
  <c r="W75" i="54"/>
  <c r="F88" i="107"/>
  <c r="I88" i="107"/>
  <c r="J88" i="107"/>
  <c r="G108" i="107"/>
  <c r="I80" i="107"/>
  <c r="Q80" i="107"/>
  <c r="U80" i="107"/>
  <c r="J108" i="107"/>
  <c r="N100" i="107"/>
  <c r="E80" i="107"/>
  <c r="Q88" i="107"/>
  <c r="U88" i="107"/>
  <c r="N108" i="107"/>
  <c r="E88" i="107"/>
  <c r="L80" i="107"/>
  <c r="W96" i="107"/>
  <c r="E100" i="107"/>
  <c r="M100" i="107"/>
  <c r="M109" i="107" s="1"/>
  <c r="E108" i="107"/>
  <c r="L88" i="107"/>
  <c r="I100" i="107"/>
  <c r="P100" i="107"/>
  <c r="T100" i="107"/>
  <c r="P80" i="107"/>
  <c r="V80" i="107"/>
  <c r="P108" i="107"/>
  <c r="T108" i="107"/>
  <c r="H80" i="107"/>
  <c r="P88" i="107"/>
  <c r="V88" i="107"/>
  <c r="O100" i="107"/>
  <c r="S100" i="107"/>
  <c r="H88" i="107"/>
  <c r="N80" i="107"/>
  <c r="T80" i="107"/>
  <c r="H100" i="107"/>
  <c r="O108" i="107"/>
  <c r="S108" i="107"/>
  <c r="M80" i="107"/>
  <c r="N88" i="107"/>
  <c r="T88" i="107"/>
  <c r="H108" i="107"/>
  <c r="L100" i="107"/>
  <c r="R100" i="107"/>
  <c r="M88" i="107"/>
  <c r="R80" i="107"/>
  <c r="S80" i="107"/>
  <c r="F100" i="107"/>
  <c r="L108" i="107"/>
  <c r="R108" i="107"/>
  <c r="R88" i="107"/>
  <c r="S88" i="107"/>
  <c r="F108" i="107"/>
  <c r="J100" i="107"/>
  <c r="Q100" i="107"/>
  <c r="Q109" i="107" s="1"/>
  <c r="U100" i="107"/>
  <c r="U109" i="107" s="1"/>
  <c r="V109" i="107"/>
  <c r="I108" i="107"/>
  <c r="S109" i="107" l="1"/>
  <c r="N109" i="107"/>
  <c r="O89" i="107"/>
  <c r="K109" i="107"/>
  <c r="K129" i="107" s="1"/>
  <c r="E109" i="107"/>
  <c r="R109" i="107"/>
  <c r="H109" i="107"/>
  <c r="H89" i="107"/>
  <c r="L89" i="107"/>
  <c r="G109" i="107"/>
  <c r="G129" i="107" s="1"/>
  <c r="E89" i="107"/>
  <c r="L109" i="107"/>
  <c r="T89" i="107"/>
  <c r="Q89" i="107"/>
  <c r="Q129" i="107" s="1"/>
  <c r="J89" i="107"/>
  <c r="U89" i="107"/>
  <c r="U129" i="107" s="1"/>
  <c r="I109" i="107"/>
  <c r="P89" i="107"/>
  <c r="F89" i="107"/>
  <c r="S89" i="107"/>
  <c r="M89" i="107"/>
  <c r="M129" i="107" s="1"/>
  <c r="O109" i="107"/>
  <c r="T109" i="107"/>
  <c r="F109" i="107"/>
  <c r="I89" i="107"/>
  <c r="J109" i="107"/>
  <c r="R89" i="107"/>
  <c r="P109" i="107"/>
  <c r="N89" i="107"/>
  <c r="V89" i="107"/>
  <c r="V129" i="107" s="1"/>
  <c r="E113" i="107"/>
  <c r="F113" i="107"/>
  <c r="G113" i="107"/>
  <c r="H113" i="107"/>
  <c r="I113" i="107"/>
  <c r="J113" i="107"/>
  <c r="K113" i="107"/>
  <c r="L113" i="107"/>
  <c r="M113" i="107"/>
  <c r="N113" i="107"/>
  <c r="O113" i="107"/>
  <c r="P113" i="107"/>
  <c r="Q113" i="107"/>
  <c r="R113" i="107"/>
  <c r="S113" i="107"/>
  <c r="T113" i="107"/>
  <c r="U113" i="107"/>
  <c r="V113" i="107"/>
  <c r="E114" i="107"/>
  <c r="F114" i="107"/>
  <c r="G114" i="107"/>
  <c r="H114" i="107"/>
  <c r="I114" i="107"/>
  <c r="J114" i="107"/>
  <c r="K114" i="107"/>
  <c r="L114" i="107"/>
  <c r="M114" i="107"/>
  <c r="N114" i="107"/>
  <c r="O114" i="107"/>
  <c r="P114" i="107"/>
  <c r="Q114" i="107"/>
  <c r="R114" i="107"/>
  <c r="S114" i="107"/>
  <c r="T114" i="107"/>
  <c r="U114" i="107"/>
  <c r="V114" i="107"/>
  <c r="E115" i="107"/>
  <c r="F115" i="107"/>
  <c r="G115" i="107"/>
  <c r="H115" i="107"/>
  <c r="I115" i="107"/>
  <c r="J115" i="107"/>
  <c r="K115" i="107"/>
  <c r="L115" i="107"/>
  <c r="M115" i="107"/>
  <c r="N115" i="107"/>
  <c r="P115" i="107"/>
  <c r="Q115" i="107"/>
  <c r="R115" i="107"/>
  <c r="S115" i="107"/>
  <c r="T115" i="107"/>
  <c r="U115" i="107"/>
  <c r="V115" i="107"/>
  <c r="E116" i="107"/>
  <c r="F116" i="107"/>
  <c r="G116" i="107"/>
  <c r="H116" i="107"/>
  <c r="I116" i="107"/>
  <c r="J116" i="107"/>
  <c r="K116" i="107"/>
  <c r="L116" i="107"/>
  <c r="M116" i="107"/>
  <c r="N116" i="107"/>
  <c r="O116" i="107"/>
  <c r="P116" i="107"/>
  <c r="Q116" i="107"/>
  <c r="R116" i="107"/>
  <c r="S116" i="107"/>
  <c r="T116" i="107"/>
  <c r="U116" i="107"/>
  <c r="V116" i="107"/>
  <c r="E117" i="107"/>
  <c r="F117" i="107"/>
  <c r="G117" i="107"/>
  <c r="H117" i="107"/>
  <c r="I117" i="107"/>
  <c r="J117" i="107"/>
  <c r="K117" i="107"/>
  <c r="L117" i="107"/>
  <c r="M117" i="107"/>
  <c r="N117" i="107"/>
  <c r="O117" i="107"/>
  <c r="P117" i="107"/>
  <c r="Q117" i="107"/>
  <c r="R117" i="107"/>
  <c r="S117" i="107"/>
  <c r="T117" i="107"/>
  <c r="U117" i="107"/>
  <c r="V117" i="107"/>
  <c r="E118" i="107"/>
  <c r="F118" i="107"/>
  <c r="G118" i="107"/>
  <c r="H118" i="107"/>
  <c r="I118" i="107"/>
  <c r="J118" i="107"/>
  <c r="K118" i="107"/>
  <c r="L118" i="107"/>
  <c r="M118" i="107"/>
  <c r="N118" i="107"/>
  <c r="O118" i="107"/>
  <c r="P118" i="107"/>
  <c r="Q118" i="107"/>
  <c r="R118" i="107"/>
  <c r="S118" i="107"/>
  <c r="T118" i="107"/>
  <c r="U118" i="107"/>
  <c r="V118" i="107"/>
  <c r="E119" i="107"/>
  <c r="F119" i="107"/>
  <c r="G119" i="107"/>
  <c r="H119" i="107"/>
  <c r="I119" i="107"/>
  <c r="J119" i="107"/>
  <c r="K119" i="107"/>
  <c r="L119" i="107"/>
  <c r="M119" i="107"/>
  <c r="N119" i="107"/>
  <c r="O119" i="107"/>
  <c r="P119" i="107"/>
  <c r="Q119" i="107"/>
  <c r="R119" i="107"/>
  <c r="S119" i="107"/>
  <c r="T119" i="107"/>
  <c r="U119" i="107"/>
  <c r="V119" i="107"/>
  <c r="E120" i="107"/>
  <c r="F120" i="107"/>
  <c r="G120" i="107"/>
  <c r="H120" i="107"/>
  <c r="I120" i="107"/>
  <c r="J120" i="107"/>
  <c r="K120" i="107"/>
  <c r="L120" i="107"/>
  <c r="M120" i="107"/>
  <c r="O120" i="107"/>
  <c r="P120" i="107"/>
  <c r="Q120" i="107"/>
  <c r="R120" i="107"/>
  <c r="S120" i="107"/>
  <c r="T120" i="107"/>
  <c r="U120" i="107"/>
  <c r="V120" i="107"/>
  <c r="E121" i="107"/>
  <c r="F121" i="107"/>
  <c r="G121" i="107"/>
  <c r="H121" i="107"/>
  <c r="I121" i="107"/>
  <c r="J121" i="107"/>
  <c r="K121" i="107"/>
  <c r="L121" i="107"/>
  <c r="M121" i="107"/>
  <c r="N121" i="107"/>
  <c r="O121" i="107"/>
  <c r="P121" i="107"/>
  <c r="Q121" i="107"/>
  <c r="R121" i="107"/>
  <c r="S121" i="107"/>
  <c r="T121" i="107"/>
  <c r="U121" i="107"/>
  <c r="V121" i="107"/>
  <c r="E122" i="107"/>
  <c r="F122" i="107"/>
  <c r="G122" i="107"/>
  <c r="H122" i="107"/>
  <c r="I122" i="107"/>
  <c r="J122" i="107"/>
  <c r="K122" i="107"/>
  <c r="L122" i="107"/>
  <c r="M122" i="107"/>
  <c r="N122" i="107"/>
  <c r="O122" i="107"/>
  <c r="P122" i="107"/>
  <c r="Q122" i="107"/>
  <c r="R122" i="107"/>
  <c r="S122" i="107"/>
  <c r="T122" i="107"/>
  <c r="U122" i="107"/>
  <c r="V122" i="107"/>
  <c r="E123" i="107"/>
  <c r="F123" i="107"/>
  <c r="G123" i="107"/>
  <c r="H123" i="107"/>
  <c r="I123" i="107"/>
  <c r="J123" i="107"/>
  <c r="K123" i="107"/>
  <c r="L123" i="107"/>
  <c r="M123" i="107"/>
  <c r="N123" i="107"/>
  <c r="O123" i="107"/>
  <c r="P123" i="107"/>
  <c r="Q123" i="107"/>
  <c r="R123" i="107"/>
  <c r="S123" i="107"/>
  <c r="T123" i="107"/>
  <c r="U123" i="107"/>
  <c r="V123" i="107"/>
  <c r="E124" i="107"/>
  <c r="F124" i="107"/>
  <c r="G124" i="107"/>
  <c r="H124" i="107"/>
  <c r="I124" i="107"/>
  <c r="J124" i="107"/>
  <c r="K124" i="107"/>
  <c r="L124" i="107"/>
  <c r="M124" i="107"/>
  <c r="N124" i="107"/>
  <c r="O124" i="107"/>
  <c r="P124" i="107"/>
  <c r="Q124" i="107"/>
  <c r="R124" i="107"/>
  <c r="S124" i="107"/>
  <c r="T124" i="107"/>
  <c r="U124" i="107"/>
  <c r="V124" i="107"/>
  <c r="E125" i="107"/>
  <c r="F125" i="107"/>
  <c r="G125" i="107"/>
  <c r="H125" i="107"/>
  <c r="I125" i="107"/>
  <c r="J125" i="107"/>
  <c r="K125" i="107"/>
  <c r="L125" i="107"/>
  <c r="M125" i="107"/>
  <c r="N125" i="107"/>
  <c r="O125" i="107"/>
  <c r="P125" i="107"/>
  <c r="Q125" i="107"/>
  <c r="R125" i="107"/>
  <c r="S125" i="107"/>
  <c r="T125" i="107"/>
  <c r="U125" i="107"/>
  <c r="V125" i="107"/>
  <c r="E126" i="107"/>
  <c r="F126" i="107"/>
  <c r="G126" i="107"/>
  <c r="H126" i="107"/>
  <c r="I126" i="107"/>
  <c r="J126" i="107"/>
  <c r="K126" i="107"/>
  <c r="L126" i="107"/>
  <c r="M126" i="107"/>
  <c r="N126" i="107"/>
  <c r="O126" i="107"/>
  <c r="P126" i="107"/>
  <c r="Q126" i="107"/>
  <c r="R126" i="107"/>
  <c r="S126" i="107"/>
  <c r="T126" i="107"/>
  <c r="U126" i="107"/>
  <c r="V126" i="107"/>
  <c r="E127" i="107"/>
  <c r="F127" i="107"/>
  <c r="G127" i="107"/>
  <c r="H127" i="107"/>
  <c r="I127" i="107"/>
  <c r="J127" i="107"/>
  <c r="K127" i="107"/>
  <c r="L127" i="107"/>
  <c r="M127" i="107"/>
  <c r="N127" i="107"/>
  <c r="O127" i="107"/>
  <c r="P127" i="107"/>
  <c r="Q127" i="107"/>
  <c r="R127" i="107"/>
  <c r="S127" i="107"/>
  <c r="T127" i="107"/>
  <c r="U127" i="107"/>
  <c r="V127" i="107"/>
  <c r="E128" i="107"/>
  <c r="F128" i="107"/>
  <c r="G128" i="107"/>
  <c r="H128" i="107"/>
  <c r="I128" i="107"/>
  <c r="J128" i="107"/>
  <c r="K128" i="107"/>
  <c r="L128" i="107"/>
  <c r="M128" i="107"/>
  <c r="N128" i="107"/>
  <c r="O128" i="107"/>
  <c r="P128" i="107"/>
  <c r="Q128" i="107"/>
  <c r="R128" i="107"/>
  <c r="S128" i="107"/>
  <c r="T128" i="107"/>
  <c r="U128" i="107"/>
  <c r="V128" i="107"/>
  <c r="I129" i="107"/>
  <c r="D127" i="107"/>
  <c r="D126" i="107"/>
  <c r="D125" i="107"/>
  <c r="D124" i="107"/>
  <c r="D123" i="107"/>
  <c r="D122" i="107"/>
  <c r="D121" i="107"/>
  <c r="D119" i="107"/>
  <c r="D118" i="107"/>
  <c r="D117" i="107"/>
  <c r="D116" i="107"/>
  <c r="D115" i="107"/>
  <c r="D114" i="107"/>
  <c r="D51" i="107"/>
  <c r="D113" i="107"/>
  <c r="D108" i="107"/>
  <c r="D100" i="107"/>
  <c r="E63" i="107"/>
  <c r="E51" i="107"/>
  <c r="F51" i="107"/>
  <c r="G51" i="107"/>
  <c r="H51" i="107"/>
  <c r="I51" i="107"/>
  <c r="J51" i="107"/>
  <c r="K51" i="107"/>
  <c r="L51" i="107"/>
  <c r="M51" i="107"/>
  <c r="N51" i="107"/>
  <c r="O51" i="107"/>
  <c r="P51" i="107"/>
  <c r="Q51" i="107"/>
  <c r="R51" i="107"/>
  <c r="S51" i="107"/>
  <c r="T51" i="107"/>
  <c r="U51" i="107"/>
  <c r="V51" i="107"/>
  <c r="E52" i="107"/>
  <c r="F52" i="107"/>
  <c r="G52" i="107"/>
  <c r="H52" i="107"/>
  <c r="I52" i="107"/>
  <c r="J52" i="107"/>
  <c r="K52" i="107"/>
  <c r="L52" i="107"/>
  <c r="M52" i="107"/>
  <c r="N52" i="107"/>
  <c r="O52" i="107"/>
  <c r="P52" i="107"/>
  <c r="Q52" i="107"/>
  <c r="R52" i="107"/>
  <c r="S52" i="107"/>
  <c r="T52" i="107"/>
  <c r="U52" i="107"/>
  <c r="V52" i="107"/>
  <c r="E53" i="107"/>
  <c r="F53" i="107"/>
  <c r="G53" i="107"/>
  <c r="H53" i="107"/>
  <c r="I53" i="107"/>
  <c r="J53" i="107"/>
  <c r="K53" i="107"/>
  <c r="L53" i="107"/>
  <c r="M53" i="107"/>
  <c r="N53" i="107"/>
  <c r="P53" i="107"/>
  <c r="Q53" i="107"/>
  <c r="R53" i="107"/>
  <c r="S53" i="107"/>
  <c r="T53" i="107"/>
  <c r="U53" i="107"/>
  <c r="V53" i="107"/>
  <c r="E54" i="107"/>
  <c r="F54" i="107"/>
  <c r="G54" i="107"/>
  <c r="H54" i="107"/>
  <c r="I54" i="107"/>
  <c r="J54" i="107"/>
  <c r="K54" i="107"/>
  <c r="L54" i="107"/>
  <c r="M54" i="107"/>
  <c r="N54" i="107"/>
  <c r="O54" i="107"/>
  <c r="P54" i="107"/>
  <c r="Q54" i="107"/>
  <c r="R54" i="107"/>
  <c r="S54" i="107"/>
  <c r="T54" i="107"/>
  <c r="U54" i="107"/>
  <c r="V54" i="107"/>
  <c r="E55" i="107"/>
  <c r="F55" i="107"/>
  <c r="G55" i="107"/>
  <c r="H55" i="107"/>
  <c r="I55" i="107"/>
  <c r="J55" i="107"/>
  <c r="K55" i="107"/>
  <c r="L55" i="107"/>
  <c r="M55" i="107"/>
  <c r="N55" i="107"/>
  <c r="O55" i="107"/>
  <c r="P55" i="107"/>
  <c r="Q55" i="107"/>
  <c r="R55" i="107"/>
  <c r="S55" i="107"/>
  <c r="T55" i="107"/>
  <c r="U55" i="107"/>
  <c r="V55" i="107"/>
  <c r="E56" i="107"/>
  <c r="F56" i="107"/>
  <c r="G56" i="107"/>
  <c r="H56" i="107"/>
  <c r="I56" i="107"/>
  <c r="J56" i="107"/>
  <c r="K56" i="107"/>
  <c r="L56" i="107"/>
  <c r="M56" i="107"/>
  <c r="N56" i="107"/>
  <c r="O56" i="107"/>
  <c r="P56" i="107"/>
  <c r="Q56" i="107"/>
  <c r="R56" i="107"/>
  <c r="S56" i="107"/>
  <c r="T56" i="107"/>
  <c r="U56" i="107"/>
  <c r="V56" i="107"/>
  <c r="E57" i="107"/>
  <c r="F57" i="107"/>
  <c r="G57" i="107"/>
  <c r="H57" i="107"/>
  <c r="I57" i="107"/>
  <c r="J57" i="107"/>
  <c r="K57" i="107"/>
  <c r="L57" i="107"/>
  <c r="M57" i="107"/>
  <c r="N57" i="107"/>
  <c r="O57" i="107"/>
  <c r="P57" i="107"/>
  <c r="Q57" i="107"/>
  <c r="R57" i="107"/>
  <c r="S57" i="107"/>
  <c r="T57" i="107"/>
  <c r="U57" i="107"/>
  <c r="V57" i="107"/>
  <c r="E59" i="107"/>
  <c r="F59" i="107"/>
  <c r="G59" i="107"/>
  <c r="H59" i="107"/>
  <c r="I59" i="107"/>
  <c r="J59" i="107"/>
  <c r="K59" i="107"/>
  <c r="L59" i="107"/>
  <c r="M59" i="107"/>
  <c r="N59" i="107"/>
  <c r="O59" i="107"/>
  <c r="P59" i="107"/>
  <c r="Q59" i="107"/>
  <c r="R59" i="107"/>
  <c r="S59" i="107"/>
  <c r="T59" i="107"/>
  <c r="U59" i="107"/>
  <c r="V59" i="107"/>
  <c r="E60" i="107"/>
  <c r="F60" i="107"/>
  <c r="G60" i="107"/>
  <c r="H60" i="107"/>
  <c r="I60" i="107"/>
  <c r="J60" i="107"/>
  <c r="K60" i="107"/>
  <c r="L60" i="107"/>
  <c r="M60" i="107"/>
  <c r="N60" i="107"/>
  <c r="O60" i="107"/>
  <c r="P60" i="107"/>
  <c r="Q60" i="107"/>
  <c r="R60" i="107"/>
  <c r="S60" i="107"/>
  <c r="T60" i="107"/>
  <c r="U60" i="107"/>
  <c r="V60" i="107"/>
  <c r="E61" i="107"/>
  <c r="F61" i="107"/>
  <c r="G61" i="107"/>
  <c r="H61" i="107"/>
  <c r="I61" i="107"/>
  <c r="J61" i="107"/>
  <c r="K61" i="107"/>
  <c r="L61" i="107"/>
  <c r="M61" i="107"/>
  <c r="N61" i="107"/>
  <c r="O61" i="107"/>
  <c r="P61" i="107"/>
  <c r="Q61" i="107"/>
  <c r="R61" i="107"/>
  <c r="S61" i="107"/>
  <c r="T61" i="107"/>
  <c r="U61" i="107"/>
  <c r="V61" i="107"/>
  <c r="E62" i="107"/>
  <c r="F62" i="107"/>
  <c r="G62" i="107"/>
  <c r="H62" i="107"/>
  <c r="I62" i="107"/>
  <c r="J62" i="107"/>
  <c r="K62" i="107"/>
  <c r="L62" i="107"/>
  <c r="M62" i="107"/>
  <c r="N62" i="107"/>
  <c r="O62" i="107"/>
  <c r="P62" i="107"/>
  <c r="Q62" i="107"/>
  <c r="R62" i="107"/>
  <c r="S62" i="107"/>
  <c r="T62" i="107"/>
  <c r="U62" i="107"/>
  <c r="V62" i="107"/>
  <c r="F63" i="107"/>
  <c r="G63" i="107"/>
  <c r="H63" i="107"/>
  <c r="I63" i="107"/>
  <c r="J63" i="107"/>
  <c r="K63" i="107"/>
  <c r="L63" i="107"/>
  <c r="M63" i="107"/>
  <c r="N63" i="107"/>
  <c r="O63" i="107"/>
  <c r="P63" i="107"/>
  <c r="Q63" i="107"/>
  <c r="R63" i="107"/>
  <c r="S63" i="107"/>
  <c r="T63" i="107"/>
  <c r="U63" i="107"/>
  <c r="V63" i="107"/>
  <c r="E64" i="107"/>
  <c r="F64" i="107"/>
  <c r="G64" i="107"/>
  <c r="H64" i="107"/>
  <c r="I64" i="107"/>
  <c r="J64" i="107"/>
  <c r="K64" i="107"/>
  <c r="L64" i="107"/>
  <c r="M64" i="107"/>
  <c r="N64" i="107"/>
  <c r="O64" i="107"/>
  <c r="P64" i="107"/>
  <c r="Q64" i="107"/>
  <c r="R64" i="107"/>
  <c r="S64" i="107"/>
  <c r="T64" i="107"/>
  <c r="U64" i="107"/>
  <c r="V64" i="107"/>
  <c r="E65" i="107"/>
  <c r="F65" i="107"/>
  <c r="G65" i="107"/>
  <c r="H65" i="107"/>
  <c r="I65" i="107"/>
  <c r="J65" i="107"/>
  <c r="K65" i="107"/>
  <c r="L65" i="107"/>
  <c r="M65" i="107"/>
  <c r="N65" i="107"/>
  <c r="O65" i="107"/>
  <c r="P65" i="107"/>
  <c r="Q65" i="107"/>
  <c r="R65" i="107"/>
  <c r="S65" i="107"/>
  <c r="T65" i="107"/>
  <c r="U65" i="107"/>
  <c r="V65" i="107"/>
  <c r="E67" i="107"/>
  <c r="F67" i="107"/>
  <c r="G67" i="107"/>
  <c r="H67" i="107"/>
  <c r="I67" i="107"/>
  <c r="J67" i="107"/>
  <c r="K67" i="107"/>
  <c r="L67" i="107"/>
  <c r="M67" i="107"/>
  <c r="N67" i="107"/>
  <c r="O67" i="107"/>
  <c r="P67" i="107"/>
  <c r="Q67" i="107"/>
  <c r="R67" i="107"/>
  <c r="S67" i="107"/>
  <c r="T67" i="107"/>
  <c r="U67" i="107"/>
  <c r="V67" i="107"/>
  <c r="E68" i="107"/>
  <c r="F68" i="107"/>
  <c r="G68" i="107"/>
  <c r="H68" i="107"/>
  <c r="I68" i="107"/>
  <c r="J68" i="107"/>
  <c r="K68" i="107"/>
  <c r="L68" i="107"/>
  <c r="M68" i="107"/>
  <c r="N68" i="107"/>
  <c r="O68" i="107"/>
  <c r="P68" i="107"/>
  <c r="Q68" i="107"/>
  <c r="R68" i="107"/>
  <c r="S68" i="107"/>
  <c r="T68" i="107"/>
  <c r="U68" i="107"/>
  <c r="V68" i="107"/>
  <c r="D68" i="107"/>
  <c r="D67" i="107"/>
  <c r="D65" i="107"/>
  <c r="D64" i="107"/>
  <c r="D63" i="107"/>
  <c r="D62" i="107"/>
  <c r="D61" i="107"/>
  <c r="D60" i="107"/>
  <c r="D59" i="107"/>
  <c r="D57" i="107"/>
  <c r="D56" i="107"/>
  <c r="D55" i="107"/>
  <c r="D54" i="107"/>
  <c r="D53" i="107"/>
  <c r="D52" i="107"/>
  <c r="E44" i="107"/>
  <c r="F44" i="107"/>
  <c r="G44" i="107"/>
  <c r="H44" i="107"/>
  <c r="I44" i="107"/>
  <c r="J44" i="107"/>
  <c r="K44" i="107"/>
  <c r="L44" i="107"/>
  <c r="M44" i="107"/>
  <c r="N44" i="107"/>
  <c r="O44" i="107"/>
  <c r="P44" i="107"/>
  <c r="Q44" i="107"/>
  <c r="R44" i="107"/>
  <c r="S44" i="107"/>
  <c r="T44" i="107"/>
  <c r="U44" i="107"/>
  <c r="V44" i="107"/>
  <c r="E36" i="107"/>
  <c r="F36" i="107"/>
  <c r="G36" i="107"/>
  <c r="H36" i="107"/>
  <c r="I36" i="107"/>
  <c r="J36" i="107"/>
  <c r="K36" i="107"/>
  <c r="L36" i="107"/>
  <c r="M36" i="107"/>
  <c r="N36" i="107"/>
  <c r="O36" i="107"/>
  <c r="P36" i="107"/>
  <c r="Q36" i="107"/>
  <c r="R36" i="107"/>
  <c r="S36" i="107"/>
  <c r="T36" i="107"/>
  <c r="U36" i="107"/>
  <c r="V36" i="107"/>
  <c r="D44" i="107"/>
  <c r="D36" i="107"/>
  <c r="E22" i="107"/>
  <c r="F22" i="107"/>
  <c r="G22" i="107"/>
  <c r="H22" i="107"/>
  <c r="I22" i="107"/>
  <c r="J22" i="107"/>
  <c r="K22" i="107"/>
  <c r="L22" i="107"/>
  <c r="M22" i="107"/>
  <c r="N22" i="107"/>
  <c r="O22" i="107"/>
  <c r="P22" i="107"/>
  <c r="Q22" i="107"/>
  <c r="R22" i="107"/>
  <c r="S22" i="107"/>
  <c r="T22" i="107"/>
  <c r="U22" i="107"/>
  <c r="V22" i="107"/>
  <c r="E14" i="107"/>
  <c r="F14" i="107"/>
  <c r="G14" i="107"/>
  <c r="H14" i="107"/>
  <c r="I14" i="107"/>
  <c r="J14" i="107"/>
  <c r="K14" i="107"/>
  <c r="L14" i="107"/>
  <c r="M14" i="107"/>
  <c r="N14" i="107"/>
  <c r="O14" i="107"/>
  <c r="P14" i="107"/>
  <c r="Q14" i="107"/>
  <c r="R14" i="107"/>
  <c r="S14" i="107"/>
  <c r="T14" i="107"/>
  <c r="U14" i="107"/>
  <c r="V14" i="107"/>
  <c r="D22" i="107"/>
  <c r="D14" i="107"/>
  <c r="Y46" i="107"/>
  <c r="X46" i="107"/>
  <c r="W46" i="107"/>
  <c r="Y45" i="107"/>
  <c r="X45" i="107"/>
  <c r="W45" i="107"/>
  <c r="Y35" i="107"/>
  <c r="X35" i="107"/>
  <c r="W35" i="107"/>
  <c r="Y43" i="107"/>
  <c r="X43" i="107"/>
  <c r="W43" i="107"/>
  <c r="Y42" i="107"/>
  <c r="X42" i="107"/>
  <c r="W42" i="107"/>
  <c r="Y34" i="107"/>
  <c r="X34" i="107"/>
  <c r="W34" i="107"/>
  <c r="Y33" i="107"/>
  <c r="X33" i="107"/>
  <c r="W33" i="107"/>
  <c r="Y32" i="107"/>
  <c r="X32" i="107"/>
  <c r="W32" i="107"/>
  <c r="Y31" i="107"/>
  <c r="X31" i="107"/>
  <c r="W31" i="107"/>
  <c r="Y30" i="107"/>
  <c r="X30" i="107"/>
  <c r="W30" i="107"/>
  <c r="Y41" i="107"/>
  <c r="X41" i="107"/>
  <c r="W41" i="107"/>
  <c r="Y40" i="107"/>
  <c r="X40" i="107"/>
  <c r="W40" i="107"/>
  <c r="Y39" i="107"/>
  <c r="X39" i="107"/>
  <c r="W39" i="107"/>
  <c r="Y38" i="107"/>
  <c r="X38" i="107"/>
  <c r="W38" i="107"/>
  <c r="Y37" i="107"/>
  <c r="X37" i="107"/>
  <c r="W37" i="107"/>
  <c r="Y29" i="107"/>
  <c r="X29" i="107"/>
  <c r="W29" i="107"/>
  <c r="Y24" i="107"/>
  <c r="X24" i="107"/>
  <c r="W24" i="107"/>
  <c r="Y23" i="107"/>
  <c r="X23" i="107"/>
  <c r="W23" i="107"/>
  <c r="Y13" i="107"/>
  <c r="X13" i="107"/>
  <c r="W13" i="107"/>
  <c r="Y21" i="107"/>
  <c r="X21" i="107"/>
  <c r="W21" i="107"/>
  <c r="Y20" i="107"/>
  <c r="X20" i="107"/>
  <c r="W20" i="107"/>
  <c r="Y12" i="107"/>
  <c r="X12" i="107"/>
  <c r="W12" i="107"/>
  <c r="Y11" i="107"/>
  <c r="X11" i="107"/>
  <c r="W11" i="107"/>
  <c r="Y10" i="107"/>
  <c r="X10" i="107"/>
  <c r="W10" i="107"/>
  <c r="Y9" i="107"/>
  <c r="X9" i="107"/>
  <c r="W9" i="107"/>
  <c r="Y8" i="107"/>
  <c r="X8" i="107"/>
  <c r="W8" i="107"/>
  <c r="Y19" i="107"/>
  <c r="X19" i="107"/>
  <c r="W19" i="107"/>
  <c r="Y18" i="107"/>
  <c r="X18" i="107"/>
  <c r="W18" i="107"/>
  <c r="Y17" i="107"/>
  <c r="X17" i="107"/>
  <c r="W17" i="107"/>
  <c r="Y16" i="107"/>
  <c r="X16" i="107"/>
  <c r="W16" i="107"/>
  <c r="Y15" i="107"/>
  <c r="X15" i="107"/>
  <c r="W15" i="107"/>
  <c r="Y7" i="107"/>
  <c r="X7" i="107"/>
  <c r="W7" i="107"/>
  <c r="N129" i="107" l="1"/>
  <c r="S47" i="107"/>
  <c r="O47" i="107"/>
  <c r="K47" i="107"/>
  <c r="G47" i="107"/>
  <c r="S129" i="107"/>
  <c r="F129" i="107"/>
  <c r="E129" i="107"/>
  <c r="P129" i="107"/>
  <c r="J129" i="107"/>
  <c r="O129" i="107"/>
  <c r="R129" i="107"/>
  <c r="H129" i="107"/>
  <c r="L129" i="107"/>
  <c r="D25" i="107"/>
  <c r="T129" i="107"/>
  <c r="P47" i="107"/>
  <c r="H58" i="107"/>
  <c r="R66" i="107"/>
  <c r="J66" i="107"/>
  <c r="T47" i="107"/>
  <c r="L58" i="107"/>
  <c r="V66" i="107"/>
  <c r="N66" i="107"/>
  <c r="D109" i="107"/>
  <c r="W60" i="107"/>
  <c r="D88" i="107"/>
  <c r="D128" i="107" s="1"/>
  <c r="W36" i="107"/>
  <c r="D80" i="107"/>
  <c r="X36" i="107"/>
  <c r="F66" i="107"/>
  <c r="Y56" i="107"/>
  <c r="X57" i="107"/>
  <c r="X56" i="107"/>
  <c r="W57" i="107"/>
  <c r="W59" i="107"/>
  <c r="Y64" i="107"/>
  <c r="W63" i="107"/>
  <c r="X60" i="107"/>
  <c r="Y68" i="107"/>
  <c r="Y51" i="107"/>
  <c r="X61" i="107"/>
  <c r="Y62" i="107"/>
  <c r="W52" i="107"/>
  <c r="X53" i="107"/>
  <c r="Y54" i="107"/>
  <c r="W56" i="107"/>
  <c r="X64" i="107"/>
  <c r="Y65" i="107"/>
  <c r="W67" i="107"/>
  <c r="X68" i="107"/>
  <c r="T25" i="107"/>
  <c r="P25" i="107"/>
  <c r="L25" i="107"/>
  <c r="H25" i="107"/>
  <c r="V47" i="107"/>
  <c r="R47" i="107"/>
  <c r="N47" i="107"/>
  <c r="J47" i="107"/>
  <c r="F47" i="107"/>
  <c r="T66" i="107"/>
  <c r="P66" i="107"/>
  <c r="L66" i="107"/>
  <c r="H66" i="107"/>
  <c r="T58" i="107"/>
  <c r="K58" i="107"/>
  <c r="P58" i="107"/>
  <c r="Y61" i="107"/>
  <c r="Y53" i="107"/>
  <c r="W55" i="107"/>
  <c r="X67" i="107"/>
  <c r="U58" i="107"/>
  <c r="Q58" i="107"/>
  <c r="M58" i="107"/>
  <c r="Y36" i="107"/>
  <c r="E58" i="107"/>
  <c r="S66" i="107"/>
  <c r="O66" i="107"/>
  <c r="K66" i="107"/>
  <c r="G66" i="107"/>
  <c r="S58" i="107"/>
  <c r="G58" i="107"/>
  <c r="W62" i="107"/>
  <c r="Y52" i="107"/>
  <c r="W54" i="107"/>
  <c r="W65" i="107"/>
  <c r="X63" i="107"/>
  <c r="X55" i="107"/>
  <c r="X51" i="107"/>
  <c r="W61" i="107"/>
  <c r="X62" i="107"/>
  <c r="Y63" i="107"/>
  <c r="W53" i="107"/>
  <c r="X54" i="107"/>
  <c r="W64" i="107"/>
  <c r="X65" i="107"/>
  <c r="Y57" i="107"/>
  <c r="W68" i="107"/>
  <c r="D66" i="107"/>
  <c r="U66" i="107"/>
  <c r="Q66" i="107"/>
  <c r="M66" i="107"/>
  <c r="I66" i="107"/>
  <c r="E66" i="107"/>
  <c r="D58" i="107"/>
  <c r="O58" i="107"/>
  <c r="W51" i="107"/>
  <c r="Q47" i="107"/>
  <c r="E47" i="107"/>
  <c r="M47" i="107"/>
  <c r="D47" i="107"/>
  <c r="L47" i="107"/>
  <c r="H47" i="107"/>
  <c r="J58" i="107"/>
  <c r="F58" i="107"/>
  <c r="W49" i="107"/>
  <c r="S25" i="107"/>
  <c r="O25" i="107"/>
  <c r="K25" i="107"/>
  <c r="V58" i="107"/>
  <c r="R58" i="107"/>
  <c r="I58" i="107"/>
  <c r="U47" i="107"/>
  <c r="I47" i="107"/>
  <c r="X49" i="107"/>
  <c r="X59" i="107"/>
  <c r="W44" i="107"/>
  <c r="X22" i="107"/>
  <c r="Y14" i="107"/>
  <c r="W22" i="107"/>
  <c r="V25" i="107"/>
  <c r="R25" i="107"/>
  <c r="N25" i="107"/>
  <c r="J25" i="107"/>
  <c r="F25" i="107"/>
  <c r="W14" i="107"/>
  <c r="W58" i="107" s="1"/>
  <c r="U25" i="107"/>
  <c r="Q25" i="107"/>
  <c r="M25" i="107"/>
  <c r="I25" i="107"/>
  <c r="E25" i="107"/>
  <c r="X14" i="107"/>
  <c r="W101" i="107"/>
  <c r="X103" i="107"/>
  <c r="AA103" i="107" s="1"/>
  <c r="Y94" i="107"/>
  <c r="Y97" i="107"/>
  <c r="G25" i="107"/>
  <c r="W79" i="107"/>
  <c r="W27" i="107"/>
  <c r="Y84" i="107"/>
  <c r="Y76" i="107"/>
  <c r="W78" i="107"/>
  <c r="Y75" i="107"/>
  <c r="Y93" i="107"/>
  <c r="Y96" i="107"/>
  <c r="AB96" i="107" s="1"/>
  <c r="Y99" i="107"/>
  <c r="AB99" i="107" s="1"/>
  <c r="Y82" i="107"/>
  <c r="Y74" i="107"/>
  <c r="Y78" i="107"/>
  <c r="X104" i="107"/>
  <c r="Y105" i="107"/>
  <c r="Y44" i="107"/>
  <c r="Y83" i="107"/>
  <c r="W74" i="107"/>
  <c r="Y86" i="107"/>
  <c r="X93" i="107"/>
  <c r="W94" i="107"/>
  <c r="Y98" i="107"/>
  <c r="AB98" i="107" s="1"/>
  <c r="X107" i="107"/>
  <c r="X27" i="107"/>
  <c r="X44" i="107"/>
  <c r="Y73" i="107"/>
  <c r="Y81" i="107"/>
  <c r="W84" i="107"/>
  <c r="Y77" i="107"/>
  <c r="W104" i="107"/>
  <c r="Z104" i="107" s="1"/>
  <c r="W82" i="107"/>
  <c r="Y85" i="107"/>
  <c r="W76" i="107"/>
  <c r="Z96" i="107" s="1"/>
  <c r="Y87" i="107"/>
  <c r="Y79" i="107"/>
  <c r="Y101" i="107"/>
  <c r="AB101" i="107" s="1"/>
  <c r="W102" i="107"/>
  <c r="Y103" i="107"/>
  <c r="AB103" i="107" s="1"/>
  <c r="W95" i="107"/>
  <c r="Y106" i="107"/>
  <c r="AB106" i="107" s="1"/>
  <c r="W85" i="107"/>
  <c r="W77" i="107"/>
  <c r="X73" i="107"/>
  <c r="X82" i="107"/>
  <c r="X83" i="107"/>
  <c r="X84" i="107"/>
  <c r="X85" i="107"/>
  <c r="X74" i="107"/>
  <c r="X75" i="107"/>
  <c r="X76" i="107"/>
  <c r="X77" i="107"/>
  <c r="X78" i="107"/>
  <c r="X86" i="107"/>
  <c r="W103" i="107"/>
  <c r="Z103" i="107" s="1"/>
  <c r="W87" i="107"/>
  <c r="X87" i="107"/>
  <c r="X79" i="107"/>
  <c r="W81" i="107"/>
  <c r="W83" i="107"/>
  <c r="W75" i="107"/>
  <c r="W86" i="107"/>
  <c r="W73" i="107"/>
  <c r="W98" i="107"/>
  <c r="X106" i="107"/>
  <c r="Y22" i="107"/>
  <c r="W93" i="107"/>
  <c r="Z93" i="107" s="1"/>
  <c r="X102" i="107"/>
  <c r="Y104" i="107"/>
  <c r="AB104" i="107" s="1"/>
  <c r="W105" i="107"/>
  <c r="Z105" i="107" s="1"/>
  <c r="X94" i="107"/>
  <c r="AA94" i="107" s="1"/>
  <c r="W106" i="107"/>
  <c r="X81" i="107"/>
  <c r="Y95" i="107"/>
  <c r="AB95" i="107" s="1"/>
  <c r="Y102" i="107"/>
  <c r="AB102" i="107" s="1"/>
  <c r="X105" i="107"/>
  <c r="AA105" i="107" s="1"/>
  <c r="W97" i="107"/>
  <c r="Y107" i="107"/>
  <c r="X101" i="107"/>
  <c r="AA101" i="107" s="1"/>
  <c r="X95" i="107"/>
  <c r="X96" i="107"/>
  <c r="X97" i="107"/>
  <c r="AA97" i="107" s="1"/>
  <c r="W107" i="107"/>
  <c r="Z107" i="107" s="1"/>
  <c r="W99" i="107"/>
  <c r="X98" i="107"/>
  <c r="AA98" i="107" s="1"/>
  <c r="X99" i="107"/>
  <c r="AA99" i="107" s="1"/>
  <c r="AA106" i="107" l="1"/>
  <c r="AA93" i="107"/>
  <c r="AB97" i="107"/>
  <c r="P69" i="107"/>
  <c r="Z102" i="107"/>
  <c r="AA104" i="107"/>
  <c r="AB107" i="107"/>
  <c r="Z94" i="107"/>
  <c r="Z101" i="107"/>
  <c r="AA96" i="107"/>
  <c r="Z97" i="107"/>
  <c r="AB93" i="107"/>
  <c r="Z99" i="107"/>
  <c r="AA95" i="107"/>
  <c r="Z106" i="107"/>
  <c r="AA102" i="107"/>
  <c r="Z98" i="107"/>
  <c r="Z95" i="107"/>
  <c r="AA107" i="107"/>
  <c r="AB105" i="107"/>
  <c r="AB94" i="107"/>
  <c r="Y125" i="107"/>
  <c r="Y47" i="107"/>
  <c r="X58" i="107"/>
  <c r="W47" i="107"/>
  <c r="Y114" i="107"/>
  <c r="W115" i="107"/>
  <c r="X122" i="107"/>
  <c r="Y123" i="107"/>
  <c r="Y118" i="107"/>
  <c r="Y116" i="107"/>
  <c r="Y108" i="107"/>
  <c r="Y100" i="107"/>
  <c r="Y124" i="107"/>
  <c r="Y119" i="107"/>
  <c r="Y126" i="107"/>
  <c r="Y115" i="107"/>
  <c r="W121" i="107"/>
  <c r="Y127" i="107"/>
  <c r="Y113" i="107"/>
  <c r="X115" i="107"/>
  <c r="W116" i="107"/>
  <c r="X127" i="107"/>
  <c r="W127" i="107"/>
  <c r="W126" i="107"/>
  <c r="X126" i="107"/>
  <c r="W125" i="107"/>
  <c r="X125" i="107"/>
  <c r="W124" i="107"/>
  <c r="X123" i="107"/>
  <c r="W123" i="107"/>
  <c r="W108" i="107"/>
  <c r="W122" i="107"/>
  <c r="X108" i="107"/>
  <c r="X121" i="107"/>
  <c r="X119" i="107"/>
  <c r="W119" i="107"/>
  <c r="W118" i="107"/>
  <c r="X118" i="107"/>
  <c r="W117" i="107"/>
  <c r="X117" i="107"/>
  <c r="X116" i="107"/>
  <c r="W100" i="107"/>
  <c r="W114" i="107"/>
  <c r="X100" i="107"/>
  <c r="X113" i="107"/>
  <c r="W113" i="107"/>
  <c r="D89" i="107"/>
  <c r="D129" i="107" s="1"/>
  <c r="D120" i="107"/>
  <c r="X88" i="107"/>
  <c r="Y58" i="107"/>
  <c r="X66" i="107"/>
  <c r="Y80" i="107"/>
  <c r="Y120" i="107" s="1"/>
  <c r="W80" i="107"/>
  <c r="W88" i="107"/>
  <c r="X80" i="107"/>
  <c r="Y88" i="107"/>
  <c r="T69" i="107"/>
  <c r="S69" i="107"/>
  <c r="R69" i="107"/>
  <c r="W66" i="107"/>
  <c r="D69" i="107"/>
  <c r="K69" i="107"/>
  <c r="H69" i="107"/>
  <c r="E69" i="107"/>
  <c r="G69" i="107"/>
  <c r="O69" i="107"/>
  <c r="F69" i="107"/>
  <c r="N69" i="107"/>
  <c r="V69" i="107"/>
  <c r="I69" i="107"/>
  <c r="L69" i="107"/>
  <c r="Q69" i="107"/>
  <c r="U69" i="107"/>
  <c r="J69" i="107"/>
  <c r="Y66" i="107"/>
  <c r="M69" i="107"/>
  <c r="W25" i="107"/>
  <c r="X47" i="107"/>
  <c r="Y25" i="107"/>
  <c r="W111" i="107" l="1"/>
  <c r="Z108" i="107"/>
  <c r="AB108" i="107"/>
  <c r="Y111" i="107"/>
  <c r="W110" i="107"/>
  <c r="Z100" i="107"/>
  <c r="AA100" i="107"/>
  <c r="X110" i="107"/>
  <c r="AB100" i="107"/>
  <c r="Y110" i="107"/>
  <c r="AA108" i="107"/>
  <c r="X111" i="107"/>
  <c r="Y128" i="107"/>
  <c r="Y109" i="107"/>
  <c r="X128" i="107"/>
  <c r="X109" i="107"/>
  <c r="W128" i="107"/>
  <c r="W109" i="107"/>
  <c r="W89" i="107"/>
  <c r="W120" i="107"/>
  <c r="X89" i="107"/>
  <c r="X120" i="107"/>
  <c r="Y89" i="107"/>
  <c r="Y69" i="107"/>
  <c r="W69" i="107"/>
  <c r="AA109" i="107" l="1"/>
  <c r="Z109" i="107"/>
  <c r="AB109" i="107"/>
  <c r="Y129" i="107"/>
  <c r="X129" i="107"/>
  <c r="W129" i="107"/>
  <c r="J9" i="78" l="1"/>
  <c r="D374" i="74" l="1"/>
  <c r="D314" i="54" l="1"/>
  <c r="E257" i="54" l="1"/>
  <c r="G142" i="54" l="1"/>
  <c r="H19" i="57" l="1"/>
  <c r="H20" i="57" s="1"/>
  <c r="K20" i="57" s="1"/>
  <c r="K18" i="57"/>
  <c r="I20" i="57"/>
  <c r="J18" i="90"/>
  <c r="J19" i="90"/>
  <c r="J16" i="90"/>
  <c r="J13" i="90"/>
  <c r="J9" i="90"/>
  <c r="J10" i="90"/>
  <c r="I11" i="81"/>
  <c r="I28" i="73"/>
  <c r="I21" i="73" l="1"/>
  <c r="I9" i="73"/>
  <c r="I40" i="73"/>
  <c r="J20" i="90"/>
  <c r="I49" i="73"/>
  <c r="J11" i="90"/>
  <c r="I27" i="73"/>
  <c r="I29" i="73" s="1"/>
  <c r="K19" i="57"/>
  <c r="I31" i="73" l="1"/>
  <c r="I46" i="73" l="1"/>
  <c r="J15" i="90"/>
  <c r="J17" i="90" s="1"/>
  <c r="I43" i="73" l="1"/>
  <c r="J12" i="90"/>
  <c r="J14" i="90" s="1"/>
  <c r="I17" i="73"/>
  <c r="I30" i="73" l="1"/>
  <c r="I32" i="73" s="1"/>
  <c r="I13" i="73"/>
  <c r="H13" i="64" l="1"/>
  <c r="G13" i="64"/>
  <c r="H10" i="87"/>
  <c r="H29" i="87"/>
  <c r="H44" i="87"/>
  <c r="G370" i="87"/>
  <c r="F370" i="87"/>
  <c r="E370" i="87"/>
  <c r="D370" i="87"/>
  <c r="H10" i="78" l="1"/>
  <c r="G11" i="78"/>
  <c r="D315" i="54" l="1"/>
  <c r="E9" i="55"/>
  <c r="E8" i="55"/>
  <c r="E443" i="87" l="1"/>
  <c r="E442" i="87"/>
  <c r="E441" i="87"/>
  <c r="E440" i="87"/>
  <c r="E439" i="87"/>
  <c r="E437" i="87"/>
  <c r="E436" i="87"/>
  <c r="E435" i="87"/>
  <c r="E434" i="87"/>
  <c r="E448" i="87"/>
  <c r="E399" i="87"/>
  <c r="E398" i="87"/>
  <c r="E397" i="87"/>
  <c r="E396" i="87"/>
  <c r="E395" i="87"/>
  <c r="E394" i="87"/>
  <c r="E393" i="87"/>
  <c r="E392" i="87"/>
  <c r="E391" i="87"/>
  <c r="E390" i="87"/>
  <c r="E389" i="87"/>
  <c r="E388" i="87"/>
  <c r="E404" i="87"/>
  <c r="E405" i="87"/>
  <c r="E406" i="87"/>
  <c r="E407" i="87"/>
  <c r="E408" i="87"/>
  <c r="E409" i="87"/>
  <c r="E410" i="87"/>
  <c r="E411" i="87"/>
  <c r="E412" i="87"/>
  <c r="E413" i="87"/>
  <c r="E414" i="87"/>
  <c r="E415" i="87"/>
  <c r="G388" i="87" l="1"/>
  <c r="G389" i="87"/>
  <c r="G404" i="87"/>
  <c r="G393" i="87"/>
  <c r="G397" i="87"/>
  <c r="G390" i="87"/>
  <c r="G394" i="87"/>
  <c r="G398" i="87"/>
  <c r="G391" i="87"/>
  <c r="G392" i="87"/>
  <c r="G396" i="87"/>
  <c r="G395" i="87"/>
  <c r="E444" i="87"/>
  <c r="F436" i="87" s="1"/>
  <c r="E400" i="87"/>
  <c r="E416" i="87"/>
  <c r="E187" i="87"/>
  <c r="F187" i="87"/>
  <c r="E188" i="87"/>
  <c r="F188" i="87"/>
  <c r="G188" i="87"/>
  <c r="H188" i="87"/>
  <c r="E189" i="87"/>
  <c r="F189" i="87"/>
  <c r="G189" i="87"/>
  <c r="E190" i="87"/>
  <c r="F190" i="87"/>
  <c r="E191" i="87"/>
  <c r="F191" i="87"/>
  <c r="E192" i="87"/>
  <c r="F192" i="87"/>
  <c r="E193" i="87"/>
  <c r="F193" i="87"/>
  <c r="E194" i="87"/>
  <c r="F194" i="87"/>
  <c r="E195" i="87"/>
  <c r="F195" i="87"/>
  <c r="E181" i="87"/>
  <c r="F181" i="87"/>
  <c r="E182" i="87"/>
  <c r="F182" i="87"/>
  <c r="E183" i="87"/>
  <c r="F183" i="87"/>
  <c r="G183" i="87"/>
  <c r="H183" i="87"/>
  <c r="E184" i="87"/>
  <c r="F184" i="87"/>
  <c r="G184" i="87"/>
  <c r="H184" i="87"/>
  <c r="E185" i="87"/>
  <c r="F185" i="87"/>
  <c r="G185" i="87"/>
  <c r="H185" i="87"/>
  <c r="D195" i="87"/>
  <c r="D194" i="87"/>
  <c r="D193" i="87"/>
  <c r="D191" i="87"/>
  <c r="D192" i="87"/>
  <c r="D190" i="87"/>
  <c r="D189" i="87"/>
  <c r="D188" i="87"/>
  <c r="D187" i="87"/>
  <c r="D185" i="87"/>
  <c r="D184" i="87"/>
  <c r="D183" i="87"/>
  <c r="F434" i="87" l="1"/>
  <c r="F437" i="87"/>
  <c r="F441" i="87"/>
  <c r="F438" i="87"/>
  <c r="F442" i="87"/>
  <c r="F443" i="87"/>
  <c r="F440" i="87"/>
  <c r="F439" i="87"/>
  <c r="F435" i="87"/>
  <c r="F406" i="87"/>
  <c r="F410" i="87"/>
  <c r="F414" i="87"/>
  <c r="F407" i="87"/>
  <c r="F411" i="87"/>
  <c r="F415" i="87"/>
  <c r="F408" i="87"/>
  <c r="F412" i="87"/>
  <c r="F405" i="87"/>
  <c r="F409" i="87"/>
  <c r="F413" i="87"/>
  <c r="F393" i="87"/>
  <c r="F397" i="87"/>
  <c r="F389" i="87"/>
  <c r="F390" i="87"/>
  <c r="F394" i="87"/>
  <c r="F398" i="87"/>
  <c r="F392" i="87"/>
  <c r="F396" i="87"/>
  <c r="F391" i="87"/>
  <c r="F395" i="87"/>
  <c r="F399" i="87"/>
  <c r="F404" i="87"/>
  <c r="F388" i="87"/>
  <c r="G400" i="87"/>
  <c r="D182" i="87"/>
  <c r="D181" i="87"/>
  <c r="F444" i="87" l="1"/>
  <c r="F400" i="87"/>
  <c r="I185" i="87"/>
  <c r="H172" i="87"/>
  <c r="G172" i="87"/>
  <c r="F172" i="87"/>
  <c r="F177" i="87" s="1"/>
  <c r="E172" i="87"/>
  <c r="E177" i="87" s="1"/>
  <c r="D172" i="87"/>
  <c r="D177" i="87" s="1"/>
  <c r="I171" i="87"/>
  <c r="I170" i="87"/>
  <c r="H165" i="87"/>
  <c r="G165" i="87"/>
  <c r="G166" i="87" s="1"/>
  <c r="F165" i="87"/>
  <c r="F166" i="87" s="1"/>
  <c r="E165" i="87"/>
  <c r="E166" i="87" s="1"/>
  <c r="D165" i="87"/>
  <c r="D166" i="87" s="1"/>
  <c r="I164" i="87"/>
  <c r="I163" i="87"/>
  <c r="H151" i="87"/>
  <c r="G151" i="87"/>
  <c r="F151" i="87"/>
  <c r="F159" i="87" s="1"/>
  <c r="E151" i="87"/>
  <c r="E159" i="87" s="1"/>
  <c r="D151" i="87"/>
  <c r="D159" i="87" s="1"/>
  <c r="I150" i="87"/>
  <c r="I149" i="87"/>
  <c r="I148" i="87"/>
  <c r="H166" i="87" l="1"/>
  <c r="I166" i="87" s="1"/>
  <c r="I172" i="87"/>
  <c r="I165" i="87"/>
  <c r="I151" i="87"/>
  <c r="H134" i="87" l="1"/>
  <c r="I133" i="87"/>
  <c r="I132" i="87"/>
  <c r="I134" i="87" l="1"/>
  <c r="E84" i="87" l="1"/>
  <c r="F84" i="87"/>
  <c r="G84" i="87"/>
  <c r="H84" i="87"/>
  <c r="E85" i="87"/>
  <c r="F85" i="87"/>
  <c r="G85" i="87"/>
  <c r="H85" i="87"/>
  <c r="E92" i="87"/>
  <c r="F92" i="87"/>
  <c r="G92" i="87"/>
  <c r="H92" i="87"/>
  <c r="E98" i="87"/>
  <c r="F98" i="87"/>
  <c r="G98" i="87"/>
  <c r="H98" i="87"/>
  <c r="E99" i="87"/>
  <c r="F99" i="87"/>
  <c r="G99" i="87"/>
  <c r="H99" i="87"/>
  <c r="D99" i="87"/>
  <c r="D98" i="87"/>
  <c r="D92" i="87"/>
  <c r="D85" i="87"/>
  <c r="D84" i="87"/>
  <c r="I99" i="87" l="1"/>
  <c r="I98" i="87"/>
  <c r="I92" i="87"/>
  <c r="I85" i="87"/>
  <c r="I84" i="87"/>
  <c r="E268" i="54" l="1"/>
  <c r="E267" i="54"/>
  <c r="E266" i="54"/>
  <c r="E265" i="54"/>
  <c r="E264" i="54"/>
  <c r="E263" i="54"/>
  <c r="E262" i="54"/>
  <c r="E261" i="54"/>
  <c r="E260" i="54"/>
  <c r="E259" i="54"/>
  <c r="E258" i="54"/>
  <c r="G265" i="54" l="1"/>
  <c r="G262" i="54"/>
  <c r="G259" i="54"/>
  <c r="G263" i="54"/>
  <c r="G267" i="54"/>
  <c r="G261" i="54"/>
  <c r="G258" i="54"/>
  <c r="G257" i="54"/>
  <c r="G256" i="54"/>
  <c r="G266" i="54"/>
  <c r="G260" i="54"/>
  <c r="G264" i="54"/>
  <c r="E269" i="54"/>
  <c r="E69" i="87"/>
  <c r="F69" i="87"/>
  <c r="G69" i="87"/>
  <c r="H69" i="87"/>
  <c r="D69" i="87"/>
  <c r="D72" i="87"/>
  <c r="D91" i="87" s="1"/>
  <c r="E62" i="87"/>
  <c r="E83" i="87" s="1"/>
  <c r="F62" i="87"/>
  <c r="F83" i="87" s="1"/>
  <c r="G62" i="87"/>
  <c r="H62" i="87"/>
  <c r="E63" i="87"/>
  <c r="E86" i="87" s="1"/>
  <c r="F63" i="87"/>
  <c r="F86" i="87" s="1"/>
  <c r="G63" i="87"/>
  <c r="H63" i="87"/>
  <c r="E64" i="87"/>
  <c r="F64" i="87"/>
  <c r="G64" i="87"/>
  <c r="H64" i="87"/>
  <c r="E65" i="87"/>
  <c r="F65" i="87"/>
  <c r="G65" i="87"/>
  <c r="H65" i="87"/>
  <c r="E66" i="87"/>
  <c r="F66" i="87"/>
  <c r="G66" i="87"/>
  <c r="H66" i="87"/>
  <c r="E68" i="87"/>
  <c r="E88" i="87" s="1"/>
  <c r="F68" i="87"/>
  <c r="F88" i="87" s="1"/>
  <c r="G68" i="87"/>
  <c r="H68" i="87"/>
  <c r="E70" i="87"/>
  <c r="E89" i="87" s="1"/>
  <c r="F70" i="87"/>
  <c r="F89" i="87" s="1"/>
  <c r="G70" i="87"/>
  <c r="G89" i="87" s="1"/>
  <c r="H70" i="87"/>
  <c r="E71" i="87"/>
  <c r="E90" i="87" s="1"/>
  <c r="F71" i="87"/>
  <c r="F90" i="87" s="1"/>
  <c r="G71" i="87"/>
  <c r="G90" i="87" s="1"/>
  <c r="H71" i="87"/>
  <c r="E72" i="87"/>
  <c r="E91" i="87" s="1"/>
  <c r="F72" i="87"/>
  <c r="F91" i="87" s="1"/>
  <c r="G72" i="87"/>
  <c r="H72" i="87"/>
  <c r="E73" i="87"/>
  <c r="E93" i="87" s="1"/>
  <c r="F73" i="87"/>
  <c r="F93" i="87" s="1"/>
  <c r="G73" i="87"/>
  <c r="G93" i="87" s="1"/>
  <c r="H73" i="87"/>
  <c r="E74" i="87"/>
  <c r="E94" i="87" s="1"/>
  <c r="F74" i="87"/>
  <c r="F94" i="87" s="1"/>
  <c r="G74" i="87"/>
  <c r="H74" i="87"/>
  <c r="E75" i="87"/>
  <c r="E95" i="87" s="1"/>
  <c r="F75" i="87"/>
  <c r="F95" i="87" s="1"/>
  <c r="G75" i="87"/>
  <c r="G95" i="87" s="1"/>
  <c r="H75" i="87"/>
  <c r="E76" i="87"/>
  <c r="E96" i="87" s="1"/>
  <c r="F76" i="87"/>
  <c r="F96" i="87" s="1"/>
  <c r="G76" i="87"/>
  <c r="H76" i="87"/>
  <c r="E78" i="87"/>
  <c r="F78" i="87"/>
  <c r="G78" i="87"/>
  <c r="H78" i="87"/>
  <c r="D65" i="87"/>
  <c r="D78" i="87"/>
  <c r="D76" i="87"/>
  <c r="D96" i="87" s="1"/>
  <c r="D75" i="87"/>
  <c r="D95" i="87" s="1"/>
  <c r="D74" i="87"/>
  <c r="D94" i="87" s="1"/>
  <c r="D73" i="87"/>
  <c r="D93" i="87" s="1"/>
  <c r="D71" i="87"/>
  <c r="D90" i="87" s="1"/>
  <c r="D70" i="87"/>
  <c r="D89" i="87" s="1"/>
  <c r="D68" i="87"/>
  <c r="D88" i="87" s="1"/>
  <c r="D66" i="87"/>
  <c r="D64" i="87"/>
  <c r="D63" i="87"/>
  <c r="D86" i="87" s="1"/>
  <c r="D62" i="87"/>
  <c r="D83" i="87" s="1"/>
  <c r="G269" i="54" l="1"/>
  <c r="E67" i="87"/>
  <c r="F256" i="54"/>
  <c r="F257" i="54"/>
  <c r="D257" i="54" s="1"/>
  <c r="F260" i="54"/>
  <c r="F268" i="54"/>
  <c r="F263" i="54"/>
  <c r="F264" i="54"/>
  <c r="F266" i="54"/>
  <c r="D266" i="54" s="1"/>
  <c r="F258" i="54"/>
  <c r="D258" i="54" s="1"/>
  <c r="F265" i="54"/>
  <c r="F261" i="54"/>
  <c r="F262" i="54"/>
  <c r="F267" i="54"/>
  <c r="F259" i="54"/>
  <c r="D264" i="54"/>
  <c r="D259" i="54"/>
  <c r="D265" i="54"/>
  <c r="D262" i="54"/>
  <c r="H67" i="87"/>
  <c r="H87" i="87" s="1"/>
  <c r="H94" i="87"/>
  <c r="H89" i="87"/>
  <c r="I65" i="87"/>
  <c r="H86" i="87"/>
  <c r="H96" i="87"/>
  <c r="H91" i="87"/>
  <c r="H88" i="87"/>
  <c r="I69" i="87"/>
  <c r="I75" i="87"/>
  <c r="H95" i="87"/>
  <c r="I73" i="87"/>
  <c r="H93" i="87"/>
  <c r="I71" i="87"/>
  <c r="H90" i="87"/>
  <c r="I76" i="87"/>
  <c r="G96" i="87"/>
  <c r="I74" i="87"/>
  <c r="G94" i="87"/>
  <c r="I72" i="87"/>
  <c r="G91" i="87"/>
  <c r="I68" i="87"/>
  <c r="G88" i="87"/>
  <c r="E87" i="87"/>
  <c r="H83" i="87"/>
  <c r="I78" i="87"/>
  <c r="E77" i="87"/>
  <c r="E79" i="87" s="1"/>
  <c r="I66" i="87"/>
  <c r="I64" i="87"/>
  <c r="I63" i="87"/>
  <c r="G86" i="87"/>
  <c r="I62" i="87"/>
  <c r="G83" i="87"/>
  <c r="I70" i="87"/>
  <c r="D263" i="54"/>
  <c r="D268" i="54"/>
  <c r="G67" i="87"/>
  <c r="F67" i="87"/>
  <c r="D67" i="87"/>
  <c r="E97" i="87" l="1"/>
  <c r="I88" i="87"/>
  <c r="H77" i="87"/>
  <c r="H79" i="87" s="1"/>
  <c r="I91" i="87"/>
  <c r="D260" i="54"/>
  <c r="I93" i="87"/>
  <c r="I86" i="87"/>
  <c r="I89" i="87"/>
  <c r="I94" i="87"/>
  <c r="I96" i="87"/>
  <c r="I90" i="87"/>
  <c r="I95" i="87"/>
  <c r="F77" i="87"/>
  <c r="F79" i="87" s="1"/>
  <c r="F87" i="87"/>
  <c r="G77" i="87"/>
  <c r="G79" i="87" s="1"/>
  <c r="G87" i="87"/>
  <c r="D77" i="87"/>
  <c r="D79" i="87" s="1"/>
  <c r="D87" i="87"/>
  <c r="I83" i="87"/>
  <c r="H97" i="87"/>
  <c r="H115" i="87" s="1"/>
  <c r="I67" i="87"/>
  <c r="H116" i="87" l="1"/>
  <c r="H107" i="87"/>
  <c r="H104" i="87"/>
  <c r="H111" i="87"/>
  <c r="H109" i="87"/>
  <c r="H114" i="87"/>
  <c r="E100" i="87"/>
  <c r="E110" i="87"/>
  <c r="E113" i="87"/>
  <c r="E106" i="87"/>
  <c r="E105" i="87"/>
  <c r="E111" i="87"/>
  <c r="E117" i="87"/>
  <c r="E107" i="87"/>
  <c r="E104" i="87"/>
  <c r="E115" i="87"/>
  <c r="E116" i="87"/>
  <c r="E112" i="87"/>
  <c r="E114" i="87"/>
  <c r="E109" i="87"/>
  <c r="E108" i="87"/>
  <c r="H110" i="87"/>
  <c r="H113" i="87"/>
  <c r="H106" i="87"/>
  <c r="H105" i="87"/>
  <c r="H112" i="87"/>
  <c r="H108" i="87"/>
  <c r="H117" i="87"/>
  <c r="I79" i="87"/>
  <c r="F97" i="87"/>
  <c r="I87" i="87"/>
  <c r="D97" i="87"/>
  <c r="G97" i="87"/>
  <c r="I77" i="87"/>
  <c r="H100" i="87"/>
  <c r="F269" i="54"/>
  <c r="I335" i="54"/>
  <c r="I334" i="54"/>
  <c r="I333" i="54"/>
  <c r="I331" i="54"/>
  <c r="I330" i="54"/>
  <c r="I329" i="54"/>
  <c r="I328" i="54"/>
  <c r="I327" i="54"/>
  <c r="I326" i="54"/>
  <c r="I325" i="54"/>
  <c r="I324" i="54"/>
  <c r="I322" i="54"/>
  <c r="I321" i="54"/>
  <c r="I320" i="54"/>
  <c r="I319" i="54"/>
  <c r="D106" i="87" l="1"/>
  <c r="D113" i="87"/>
  <c r="D105" i="87"/>
  <c r="D104" i="87"/>
  <c r="D116" i="87"/>
  <c r="D115" i="87"/>
  <c r="D112" i="87"/>
  <c r="D114" i="87"/>
  <c r="D107" i="87"/>
  <c r="D111" i="87"/>
  <c r="D110" i="87"/>
  <c r="D117" i="87"/>
  <c r="D109" i="87"/>
  <c r="F100" i="87"/>
  <c r="F110" i="87"/>
  <c r="F113" i="87"/>
  <c r="F106" i="87"/>
  <c r="F105" i="87"/>
  <c r="F115" i="87"/>
  <c r="F109" i="87"/>
  <c r="F114" i="87"/>
  <c r="F107" i="87"/>
  <c r="F117" i="87"/>
  <c r="F112" i="87"/>
  <c r="F104" i="87"/>
  <c r="F116" i="87"/>
  <c r="F111" i="87"/>
  <c r="D108" i="87"/>
  <c r="G110" i="87"/>
  <c r="G105" i="87"/>
  <c r="G113" i="87"/>
  <c r="G106" i="87"/>
  <c r="G116" i="87"/>
  <c r="G114" i="87"/>
  <c r="G111" i="87"/>
  <c r="G112" i="87"/>
  <c r="G109" i="87"/>
  <c r="G107" i="87"/>
  <c r="G117" i="87"/>
  <c r="G115" i="87"/>
  <c r="G104" i="87"/>
  <c r="G108" i="87"/>
  <c r="F108" i="87"/>
  <c r="E124" i="87"/>
  <c r="H124" i="87"/>
  <c r="E125" i="87"/>
  <c r="H125" i="87"/>
  <c r="H118" i="87"/>
  <c r="H119" i="87"/>
  <c r="E119" i="87"/>
  <c r="D100" i="87"/>
  <c r="E118" i="87"/>
  <c r="G100" i="87"/>
  <c r="I100" i="87" s="1"/>
  <c r="I183" i="87"/>
  <c r="I97" i="87"/>
  <c r="D124" i="87" l="1"/>
  <c r="D125" i="87"/>
  <c r="G124" i="87"/>
  <c r="F124" i="87"/>
  <c r="F125" i="87"/>
  <c r="G125" i="87"/>
  <c r="G118" i="87"/>
  <c r="E120" i="87"/>
  <c r="H120" i="87"/>
  <c r="F118" i="87"/>
  <c r="F119" i="87"/>
  <c r="G119" i="87"/>
  <c r="D118" i="87"/>
  <c r="D119" i="87"/>
  <c r="E45" i="55"/>
  <c r="E44" i="55"/>
  <c r="E43" i="55"/>
  <c r="E42" i="55"/>
  <c r="E38" i="55"/>
  <c r="E37" i="55"/>
  <c r="E15" i="55"/>
  <c r="E14" i="55"/>
  <c r="E13" i="55"/>
  <c r="E41" i="55"/>
  <c r="E40" i="55"/>
  <c r="E39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2" i="55"/>
  <c r="E11" i="55"/>
  <c r="E10" i="55"/>
  <c r="D120" i="87" l="1"/>
  <c r="G120" i="87"/>
  <c r="F120" i="87"/>
  <c r="E457" i="87"/>
  <c r="E456" i="87"/>
  <c r="E455" i="87"/>
  <c r="E454" i="87"/>
  <c r="E451" i="87"/>
  <c r="E450" i="87"/>
  <c r="E449" i="87"/>
  <c r="E453" i="87"/>
  <c r="E458" i="87" l="1"/>
  <c r="F457" i="87" l="1"/>
  <c r="F455" i="87"/>
  <c r="F454" i="87"/>
  <c r="F451" i="87"/>
  <c r="F452" i="87"/>
  <c r="F456" i="87"/>
  <c r="F448" i="87"/>
  <c r="F450" i="87"/>
  <c r="F449" i="87"/>
  <c r="F453" i="87"/>
  <c r="J9" i="82"/>
  <c r="F458" i="87" l="1"/>
  <c r="H314" i="54" l="1"/>
  <c r="G314" i="54"/>
  <c r="G315" i="54" s="1"/>
  <c r="F314" i="54"/>
  <c r="F315" i="54" s="1"/>
  <c r="E314" i="54"/>
  <c r="E315" i="54" s="1"/>
  <c r="I13" i="64" l="1"/>
  <c r="I12" i="64"/>
  <c r="I11" i="64"/>
  <c r="I9" i="64"/>
  <c r="H12" i="64"/>
  <c r="H11" i="64"/>
  <c r="H9" i="64"/>
  <c r="G12" i="64"/>
  <c r="G11" i="64"/>
  <c r="G9" i="64"/>
  <c r="F13" i="64"/>
  <c r="K13" i="64" s="1"/>
  <c r="F12" i="64"/>
  <c r="F11" i="64"/>
  <c r="F9" i="64"/>
  <c r="K12" i="64" l="1"/>
  <c r="K9" i="64"/>
  <c r="K11" i="64"/>
  <c r="E285" i="54"/>
  <c r="E284" i="54"/>
  <c r="E283" i="54"/>
  <c r="E282" i="54"/>
  <c r="E281" i="54"/>
  <c r="E280" i="54"/>
  <c r="E279" i="54"/>
  <c r="E278" i="54"/>
  <c r="E277" i="54"/>
  <c r="E276" i="54"/>
  <c r="E275" i="54"/>
  <c r="E274" i="54"/>
  <c r="E273" i="54"/>
  <c r="G277" i="54" l="1"/>
  <c r="G281" i="54"/>
  <c r="G273" i="54"/>
  <c r="G274" i="54"/>
  <c r="G278" i="54"/>
  <c r="G282" i="54"/>
  <c r="G275" i="54"/>
  <c r="G279" i="54"/>
  <c r="G283" i="54"/>
  <c r="G276" i="54"/>
  <c r="G280" i="54"/>
  <c r="G284" i="54"/>
  <c r="H352" i="87"/>
  <c r="H351" i="87"/>
  <c r="H350" i="87"/>
  <c r="H349" i="87"/>
  <c r="H348" i="87"/>
  <c r="H347" i="87"/>
  <c r="H346" i="87"/>
  <c r="H345" i="87"/>
  <c r="H344" i="87"/>
  <c r="H343" i="87"/>
  <c r="H342" i="87"/>
  <c r="H341" i="87"/>
  <c r="G286" i="54" l="1"/>
  <c r="G413" i="87"/>
  <c r="G408" i="87"/>
  <c r="G411" i="87"/>
  <c r="G407" i="87"/>
  <c r="G414" i="87"/>
  <c r="G410" i="87"/>
  <c r="G406" i="87"/>
  <c r="G409" i="87"/>
  <c r="G405" i="87"/>
  <c r="G412" i="87"/>
  <c r="H327" i="87"/>
  <c r="H328" i="87"/>
  <c r="H329" i="87"/>
  <c r="H330" i="87"/>
  <c r="H331" i="87"/>
  <c r="H332" i="87"/>
  <c r="H333" i="87"/>
  <c r="H334" i="87"/>
  <c r="H335" i="87"/>
  <c r="H336" i="87"/>
  <c r="H337" i="87"/>
  <c r="H326" i="87"/>
  <c r="G416" i="87" l="1"/>
  <c r="F416" i="87"/>
  <c r="O369" i="87"/>
  <c r="I20" i="94" s="1"/>
  <c r="L359" i="87"/>
  <c r="F10" i="94" s="1"/>
  <c r="M359" i="87"/>
  <c r="G10" i="94" s="1"/>
  <c r="N359" i="87"/>
  <c r="H10" i="94" s="1"/>
  <c r="O359" i="87"/>
  <c r="I10" i="94" s="1"/>
  <c r="L360" i="87"/>
  <c r="F11" i="94" s="1"/>
  <c r="M360" i="87"/>
  <c r="G11" i="94" s="1"/>
  <c r="N360" i="87"/>
  <c r="H11" i="94" s="1"/>
  <c r="O360" i="87"/>
  <c r="I11" i="94" s="1"/>
  <c r="L361" i="87"/>
  <c r="F12" i="94" s="1"/>
  <c r="M361" i="87"/>
  <c r="G12" i="94" s="1"/>
  <c r="N361" i="87"/>
  <c r="H12" i="94" s="1"/>
  <c r="O361" i="87"/>
  <c r="I12" i="94" s="1"/>
  <c r="L362" i="87"/>
  <c r="F13" i="94" s="1"/>
  <c r="M362" i="87"/>
  <c r="G13" i="94" s="1"/>
  <c r="N362" i="87"/>
  <c r="H13" i="94" s="1"/>
  <c r="O362" i="87"/>
  <c r="I13" i="94" s="1"/>
  <c r="L363" i="87"/>
  <c r="F14" i="94" s="1"/>
  <c r="M363" i="87"/>
  <c r="G14" i="94" s="1"/>
  <c r="N363" i="87"/>
  <c r="H14" i="94" s="1"/>
  <c r="O363" i="87"/>
  <c r="I14" i="94" s="1"/>
  <c r="L364" i="87"/>
  <c r="F15" i="94" s="1"/>
  <c r="M364" i="87"/>
  <c r="G15" i="94" s="1"/>
  <c r="N364" i="87"/>
  <c r="H15" i="94" s="1"/>
  <c r="O364" i="87"/>
  <c r="I15" i="94" s="1"/>
  <c r="L365" i="87"/>
  <c r="F16" i="94" s="1"/>
  <c r="M365" i="87"/>
  <c r="G16" i="94" s="1"/>
  <c r="N365" i="87"/>
  <c r="H16" i="94" s="1"/>
  <c r="O365" i="87"/>
  <c r="I16" i="94" s="1"/>
  <c r="L366" i="87"/>
  <c r="F17" i="94" s="1"/>
  <c r="M366" i="87"/>
  <c r="G17" i="94" s="1"/>
  <c r="N366" i="87"/>
  <c r="H17" i="94" s="1"/>
  <c r="O366" i="87"/>
  <c r="I17" i="94" s="1"/>
  <c r="L367" i="87"/>
  <c r="F18" i="94" s="1"/>
  <c r="M367" i="87"/>
  <c r="G18" i="94" s="1"/>
  <c r="N367" i="87"/>
  <c r="H18" i="94" s="1"/>
  <c r="O367" i="87"/>
  <c r="I18" i="94" s="1"/>
  <c r="L368" i="87"/>
  <c r="F19" i="94" s="1"/>
  <c r="M368" i="87"/>
  <c r="G19" i="94" s="1"/>
  <c r="N368" i="87"/>
  <c r="H19" i="94" s="1"/>
  <c r="O368" i="87"/>
  <c r="I19" i="94" s="1"/>
  <c r="L369" i="87"/>
  <c r="F20" i="94" s="1"/>
  <c r="M369" i="87"/>
  <c r="G20" i="94" s="1"/>
  <c r="N369" i="87"/>
  <c r="H20" i="94" s="1"/>
  <c r="M358" i="87"/>
  <c r="G9" i="94" s="1"/>
  <c r="N358" i="87"/>
  <c r="H9" i="94" s="1"/>
  <c r="O358" i="87"/>
  <c r="I9" i="94" s="1"/>
  <c r="L358" i="87"/>
  <c r="F9" i="94" s="1"/>
  <c r="H19" i="90" l="1"/>
  <c r="I19" i="90"/>
  <c r="G16" i="90"/>
  <c r="H16" i="90"/>
  <c r="I16" i="90"/>
  <c r="G13" i="90"/>
  <c r="H13" i="90"/>
  <c r="I13" i="90"/>
  <c r="G10" i="90"/>
  <c r="H10" i="90"/>
  <c r="I10" i="90"/>
  <c r="G43" i="73" l="1"/>
  <c r="H43" i="73"/>
  <c r="G9" i="90"/>
  <c r="G11" i="90" s="1"/>
  <c r="F40" i="73"/>
  <c r="G18" i="90"/>
  <c r="F49" i="73"/>
  <c r="I9" i="90"/>
  <c r="I11" i="90" s="1"/>
  <c r="H40" i="73"/>
  <c r="I18" i="90"/>
  <c r="I20" i="90" s="1"/>
  <c r="H49" i="73"/>
  <c r="H9" i="90"/>
  <c r="H11" i="90" s="1"/>
  <c r="G40" i="73"/>
  <c r="H18" i="90"/>
  <c r="H20" i="90" s="1"/>
  <c r="G49" i="73"/>
  <c r="G15" i="90"/>
  <c r="G17" i="90" s="1"/>
  <c r="F46" i="73"/>
  <c r="G12" i="90"/>
  <c r="G14" i="90" s="1"/>
  <c r="F43" i="73"/>
  <c r="I15" i="90"/>
  <c r="I17" i="90" s="1"/>
  <c r="H46" i="73"/>
  <c r="H15" i="90"/>
  <c r="H17" i="90" s="1"/>
  <c r="G46" i="73"/>
  <c r="H12" i="90"/>
  <c r="H14" i="90" s="1"/>
  <c r="I12" i="90"/>
  <c r="I14" i="90" s="1"/>
  <c r="G19" i="90"/>
  <c r="G20" i="90" l="1"/>
  <c r="F11" i="81"/>
  <c r="G11" i="81"/>
  <c r="H11" i="81"/>
  <c r="I55" i="87" l="1"/>
  <c r="I54" i="87"/>
  <c r="I53" i="87"/>
  <c r="H52" i="87"/>
  <c r="L11" i="86"/>
  <c r="L10" i="86"/>
  <c r="L9" i="86"/>
  <c r="I51" i="87"/>
  <c r="I50" i="87"/>
  <c r="J11" i="86"/>
  <c r="J10" i="86"/>
  <c r="J9" i="86"/>
  <c r="I43" i="87"/>
  <c r="I42" i="87"/>
  <c r="I35" i="87"/>
  <c r="I34" i="87"/>
  <c r="I33" i="87"/>
  <c r="I32" i="87"/>
  <c r="I30" i="87"/>
  <c r="H11" i="86"/>
  <c r="H10" i="86"/>
  <c r="H9" i="86"/>
  <c r="I28" i="87"/>
  <c r="I27" i="87"/>
  <c r="I26" i="87"/>
  <c r="I25" i="87"/>
  <c r="I20" i="87"/>
  <c r="I18" i="87"/>
  <c r="I17" i="87"/>
  <c r="I16" i="87"/>
  <c r="I15" i="87"/>
  <c r="I14" i="87"/>
  <c r="I13" i="87"/>
  <c r="I12" i="87"/>
  <c r="I11" i="87"/>
  <c r="I9" i="87"/>
  <c r="I8" i="87"/>
  <c r="I7" i="87"/>
  <c r="H45" i="87" l="1"/>
  <c r="H46" i="87" s="1"/>
  <c r="F11" i="86"/>
  <c r="F80" i="87"/>
  <c r="G80" i="87"/>
  <c r="F10" i="86"/>
  <c r="E80" i="87"/>
  <c r="F9" i="86"/>
  <c r="D80" i="87"/>
  <c r="I11" i="86"/>
  <c r="H12" i="86"/>
  <c r="I12" i="86" s="1"/>
  <c r="L12" i="86"/>
  <c r="M12" i="86" s="1"/>
  <c r="F12" i="86"/>
  <c r="K10" i="86"/>
  <c r="J12" i="86"/>
  <c r="K12" i="86" s="1"/>
  <c r="M11" i="86"/>
  <c r="K11" i="86"/>
  <c r="I10" i="86"/>
  <c r="M10" i="86"/>
  <c r="I52" i="87"/>
  <c r="I10" i="87"/>
  <c r="I29" i="87"/>
  <c r="H57" i="87"/>
  <c r="H19" i="87"/>
  <c r="I19" i="87" s="1"/>
  <c r="H37" i="87"/>
  <c r="I44" i="87"/>
  <c r="J13" i="86" l="1"/>
  <c r="K13" i="86" s="1"/>
  <c r="J370" i="87"/>
  <c r="I46" i="87"/>
  <c r="I45" i="87"/>
  <c r="G10" i="86"/>
  <c r="G11" i="86"/>
  <c r="G12" i="86"/>
  <c r="H21" i="87"/>
  <c r="H370" i="87" s="1"/>
  <c r="I57" i="87"/>
  <c r="H58" i="87"/>
  <c r="K370" i="87" s="1"/>
  <c r="H38" i="87"/>
  <c r="I370" i="87" s="1"/>
  <c r="I37" i="87"/>
  <c r="H80" i="87" l="1"/>
  <c r="I38" i="87"/>
  <c r="H13" i="86"/>
  <c r="I13" i="86" s="1"/>
  <c r="I21" i="87"/>
  <c r="F13" i="86"/>
  <c r="G13" i="86" s="1"/>
  <c r="I58" i="87"/>
  <c r="L13" i="86"/>
  <c r="M13" i="86" s="1"/>
  <c r="F20" i="61"/>
  <c r="G141" i="54"/>
  <c r="F19" i="61" s="1"/>
  <c r="G140" i="54"/>
  <c r="F18" i="61" s="1"/>
  <c r="G139" i="54"/>
  <c r="F17" i="61" s="1"/>
  <c r="G138" i="54"/>
  <c r="F16" i="61" s="1"/>
  <c r="G137" i="54"/>
  <c r="F15" i="61" s="1"/>
  <c r="G136" i="54"/>
  <c r="F14" i="61" s="1"/>
  <c r="G135" i="54"/>
  <c r="F13" i="61" s="1"/>
  <c r="G134" i="54"/>
  <c r="F12" i="61" s="1"/>
  <c r="G133" i="54"/>
  <c r="F11" i="61" s="1"/>
  <c r="G132" i="54"/>
  <c r="F10" i="61" s="1"/>
  <c r="G131" i="54"/>
  <c r="F9" i="61" s="1"/>
  <c r="E131" i="54"/>
  <c r="E132" i="54" s="1"/>
  <c r="E133" i="54" s="1"/>
  <c r="E134" i="54" s="1"/>
  <c r="E135" i="54" s="1"/>
  <c r="E136" i="54" s="1"/>
  <c r="E137" i="54" s="1"/>
  <c r="E138" i="54" s="1"/>
  <c r="E139" i="54" s="1"/>
  <c r="E140" i="54" s="1"/>
  <c r="E141" i="54" s="1"/>
  <c r="E142" i="54" s="1"/>
  <c r="H131" i="54"/>
  <c r="H132" i="54" s="1"/>
  <c r="D366" i="54"/>
  <c r="E366" i="54"/>
  <c r="D368" i="54"/>
  <c r="E368" i="54"/>
  <c r="F369" i="54"/>
  <c r="F370" i="54"/>
  <c r="F371" i="54"/>
  <c r="F372" i="54"/>
  <c r="F373" i="54"/>
  <c r="F374" i="54"/>
  <c r="F375" i="54"/>
  <c r="D376" i="54"/>
  <c r="E376" i="54"/>
  <c r="F377" i="54"/>
  <c r="F378" i="54"/>
  <c r="F379" i="54"/>
  <c r="F380" i="54"/>
  <c r="F381" i="54"/>
  <c r="F382" i="54"/>
  <c r="F383" i="54"/>
  <c r="F384" i="54"/>
  <c r="F385" i="54"/>
  <c r="F386" i="54"/>
  <c r="F387" i="54"/>
  <c r="F388" i="54"/>
  <c r="D389" i="54"/>
  <c r="E389" i="54"/>
  <c r="F390" i="54"/>
  <c r="F366" i="54" l="1"/>
  <c r="I184" i="87"/>
  <c r="H186" i="87"/>
  <c r="I132" i="54"/>
  <c r="G10" i="61" s="1"/>
  <c r="I131" i="54"/>
  <c r="G9" i="61" s="1"/>
  <c r="F389" i="54"/>
  <c r="F368" i="54"/>
  <c r="H133" i="54"/>
  <c r="E391" i="54"/>
  <c r="F376" i="54"/>
  <c r="D391" i="54"/>
  <c r="J13" i="82"/>
  <c r="J12" i="82"/>
  <c r="J11" i="82"/>
  <c r="J10" i="82"/>
  <c r="I133" i="54" l="1"/>
  <c r="G11" i="61" s="1"/>
  <c r="H134" i="54"/>
  <c r="F391" i="54"/>
  <c r="F392" i="54" s="1"/>
  <c r="J10" i="78"/>
  <c r="I11" i="78"/>
  <c r="F11" i="78"/>
  <c r="H11" i="78" s="1"/>
  <c r="J11" i="78" l="1"/>
  <c r="H135" i="54"/>
  <c r="I134" i="54"/>
  <c r="G12" i="61" s="1"/>
  <c r="I438" i="74"/>
  <c r="I437" i="74"/>
  <c r="I436" i="74"/>
  <c r="I435" i="74"/>
  <c r="I434" i="74"/>
  <c r="I433" i="74"/>
  <c r="I432" i="74"/>
  <c r="I431" i="74"/>
  <c r="I430" i="74"/>
  <c r="I429" i="74"/>
  <c r="I428" i="74"/>
  <c r="I426" i="74"/>
  <c r="I425" i="74"/>
  <c r="I424" i="74"/>
  <c r="I423" i="74"/>
  <c r="I422" i="74"/>
  <c r="I421" i="74"/>
  <c r="I420" i="74"/>
  <c r="I419" i="74"/>
  <c r="I418" i="74"/>
  <c r="I417" i="74"/>
  <c r="I416" i="74"/>
  <c r="I415" i="74"/>
  <c r="I414" i="74"/>
  <c r="I413" i="74"/>
  <c r="I412" i="74"/>
  <c r="I411" i="74"/>
  <c r="I410" i="74"/>
  <c r="I409" i="74"/>
  <c r="I408" i="74"/>
  <c r="I407" i="74"/>
  <c r="I406" i="74"/>
  <c r="I405" i="74"/>
  <c r="I404" i="74"/>
  <c r="I403" i="74"/>
  <c r="I402" i="74"/>
  <c r="I401" i="74"/>
  <c r="I400" i="74"/>
  <c r="I399" i="74"/>
  <c r="I398" i="74"/>
  <c r="I397" i="74"/>
  <c r="I396" i="74"/>
  <c r="I395" i="74"/>
  <c r="I394" i="74"/>
  <c r="I393" i="74"/>
  <c r="I392" i="74"/>
  <c r="I391" i="74"/>
  <c r="I390" i="74"/>
  <c r="I389" i="74"/>
  <c r="I388" i="74"/>
  <c r="I387" i="74"/>
  <c r="I386" i="74"/>
  <c r="I385" i="74"/>
  <c r="I384" i="74"/>
  <c r="I383" i="74"/>
  <c r="I382" i="74"/>
  <c r="I381" i="74"/>
  <c r="I380" i="74"/>
  <c r="I379" i="74"/>
  <c r="H136" i="54" l="1"/>
  <c r="I135" i="54"/>
  <c r="G13" i="61" s="1"/>
  <c r="G356" i="74"/>
  <c r="G326" i="74"/>
  <c r="G295" i="74"/>
  <c r="G265" i="74"/>
  <c r="G234" i="74"/>
  <c r="G203" i="74"/>
  <c r="G173" i="74"/>
  <c r="G142" i="74"/>
  <c r="G112" i="74"/>
  <c r="G81" i="74"/>
  <c r="G53" i="74"/>
  <c r="G22" i="74"/>
  <c r="H137" i="54" l="1"/>
  <c r="I136" i="54"/>
  <c r="G14" i="61" s="1"/>
  <c r="E374" i="74"/>
  <c r="F374" i="74" s="1"/>
  <c r="F373" i="74"/>
  <c r="F371" i="74"/>
  <c r="F370" i="74"/>
  <c r="F369" i="74"/>
  <c r="F368" i="74"/>
  <c r="F367" i="74"/>
  <c r="F366" i="74"/>
  <c r="F365" i="74"/>
  <c r="F364" i="74"/>
  <c r="F363" i="74"/>
  <c r="F362" i="74"/>
  <c r="F361" i="74"/>
  <c r="F360" i="74"/>
  <c r="F359" i="74"/>
  <c r="F358" i="74"/>
  <c r="F357" i="74"/>
  <c r="F356" i="74"/>
  <c r="F355" i="74"/>
  <c r="F354" i="74"/>
  <c r="F353" i="74"/>
  <c r="F352" i="74"/>
  <c r="F351" i="74"/>
  <c r="F350" i="74"/>
  <c r="F349" i="74"/>
  <c r="F348" i="74"/>
  <c r="F347" i="74"/>
  <c r="F346" i="74"/>
  <c r="F345" i="74"/>
  <c r="F344" i="74"/>
  <c r="F343" i="74"/>
  <c r="F342" i="74"/>
  <c r="F341" i="74"/>
  <c r="F340" i="74"/>
  <c r="F339" i="74"/>
  <c r="F338" i="74"/>
  <c r="F337" i="74"/>
  <c r="F336" i="74"/>
  <c r="F335" i="74"/>
  <c r="F334" i="74"/>
  <c r="F333" i="74"/>
  <c r="F332" i="74"/>
  <c r="F331" i="74"/>
  <c r="F330" i="74"/>
  <c r="F329" i="74"/>
  <c r="F328" i="74"/>
  <c r="F327" i="74"/>
  <c r="F326" i="74"/>
  <c r="F325" i="74"/>
  <c r="F324" i="74"/>
  <c r="F323" i="74"/>
  <c r="F322" i="74"/>
  <c r="F321" i="74"/>
  <c r="F320" i="74"/>
  <c r="F319" i="74"/>
  <c r="F318" i="74"/>
  <c r="F317" i="74"/>
  <c r="F316" i="74"/>
  <c r="F315" i="74"/>
  <c r="F314" i="74"/>
  <c r="F313" i="74"/>
  <c r="F312" i="74"/>
  <c r="F311" i="74"/>
  <c r="F310" i="74"/>
  <c r="F309" i="74"/>
  <c r="F308" i="74"/>
  <c r="F307" i="74"/>
  <c r="F306" i="74"/>
  <c r="F305" i="74"/>
  <c r="F304" i="74"/>
  <c r="F303" i="74"/>
  <c r="F302" i="74"/>
  <c r="F301" i="74"/>
  <c r="F300" i="74"/>
  <c r="F299" i="74"/>
  <c r="F298" i="74"/>
  <c r="F297" i="74"/>
  <c r="F296" i="74"/>
  <c r="F295" i="74"/>
  <c r="F294" i="74"/>
  <c r="F293" i="74"/>
  <c r="F292" i="74"/>
  <c r="F291" i="74"/>
  <c r="F290" i="74"/>
  <c r="F289" i="74"/>
  <c r="F288" i="74"/>
  <c r="F287" i="74"/>
  <c r="F286" i="74"/>
  <c r="F285" i="74"/>
  <c r="F284" i="74"/>
  <c r="F283" i="74"/>
  <c r="F282" i="74"/>
  <c r="F281" i="74"/>
  <c r="F280" i="74"/>
  <c r="F279" i="74"/>
  <c r="F278" i="74"/>
  <c r="F277" i="74"/>
  <c r="F276" i="74"/>
  <c r="F275" i="74"/>
  <c r="F274" i="74"/>
  <c r="F273" i="74"/>
  <c r="F272" i="74"/>
  <c r="F271" i="74"/>
  <c r="F270" i="74"/>
  <c r="F269" i="74"/>
  <c r="F268" i="74"/>
  <c r="F267" i="74"/>
  <c r="F266" i="74"/>
  <c r="F265" i="74"/>
  <c r="F264" i="74"/>
  <c r="F263" i="74"/>
  <c r="F262" i="74"/>
  <c r="F261" i="74"/>
  <c r="F260" i="74"/>
  <c r="F259" i="74"/>
  <c r="F258" i="74"/>
  <c r="F257" i="74"/>
  <c r="F256" i="74"/>
  <c r="F255" i="74"/>
  <c r="F254" i="74"/>
  <c r="F253" i="74"/>
  <c r="F252" i="74"/>
  <c r="F251" i="74"/>
  <c r="F250" i="74"/>
  <c r="F249" i="74"/>
  <c r="F248" i="74"/>
  <c r="F247" i="74"/>
  <c r="F246" i="74"/>
  <c r="F245" i="74"/>
  <c r="F244" i="74"/>
  <c r="F243" i="74"/>
  <c r="F242" i="74"/>
  <c r="F241" i="74"/>
  <c r="F240" i="74"/>
  <c r="F239" i="74"/>
  <c r="F238" i="74"/>
  <c r="F237" i="74"/>
  <c r="F236" i="74"/>
  <c r="F235" i="74"/>
  <c r="F234" i="74"/>
  <c r="F233" i="74"/>
  <c r="F232" i="74"/>
  <c r="F231" i="74"/>
  <c r="F230" i="74"/>
  <c r="F229" i="74"/>
  <c r="F228" i="74"/>
  <c r="F227" i="74"/>
  <c r="F226" i="74"/>
  <c r="F225" i="74"/>
  <c r="F224" i="74"/>
  <c r="F223" i="74"/>
  <c r="F222" i="74"/>
  <c r="F221" i="74"/>
  <c r="F220" i="74"/>
  <c r="F219" i="74"/>
  <c r="F218" i="74"/>
  <c r="F217" i="74"/>
  <c r="F216" i="74"/>
  <c r="F215" i="74"/>
  <c r="F214" i="74"/>
  <c r="F213" i="74"/>
  <c r="F212" i="74"/>
  <c r="F211" i="74"/>
  <c r="F210" i="74"/>
  <c r="F209" i="74"/>
  <c r="F208" i="74"/>
  <c r="F207" i="74"/>
  <c r="F206" i="74"/>
  <c r="F205" i="74"/>
  <c r="F204" i="74"/>
  <c r="F203" i="74"/>
  <c r="F202" i="74"/>
  <c r="F201" i="74"/>
  <c r="F200" i="74"/>
  <c r="F199" i="74"/>
  <c r="F198" i="74"/>
  <c r="F197" i="74"/>
  <c r="F196" i="74"/>
  <c r="F195" i="74"/>
  <c r="F194" i="74"/>
  <c r="F193" i="74"/>
  <c r="F192" i="74"/>
  <c r="F191" i="74"/>
  <c r="F190" i="74"/>
  <c r="F189" i="74"/>
  <c r="F188" i="74"/>
  <c r="F187" i="74"/>
  <c r="F186" i="74"/>
  <c r="F185" i="74"/>
  <c r="F184" i="74"/>
  <c r="F183" i="74"/>
  <c r="F182" i="74"/>
  <c r="F181" i="74"/>
  <c r="F180" i="74"/>
  <c r="F179" i="74"/>
  <c r="F178" i="74"/>
  <c r="F177" i="74"/>
  <c r="F176" i="74"/>
  <c r="F175" i="74"/>
  <c r="F174" i="74"/>
  <c r="F173" i="74"/>
  <c r="F172" i="74"/>
  <c r="F171" i="74"/>
  <c r="F170" i="74"/>
  <c r="F169" i="74"/>
  <c r="F168" i="74"/>
  <c r="F167" i="74"/>
  <c r="F166" i="74"/>
  <c r="F165" i="74"/>
  <c r="F164" i="74"/>
  <c r="F163" i="74"/>
  <c r="F162" i="74"/>
  <c r="F161" i="74"/>
  <c r="F160" i="74"/>
  <c r="F159" i="74"/>
  <c r="F158" i="74"/>
  <c r="F157" i="74"/>
  <c r="F156" i="74"/>
  <c r="F155" i="74"/>
  <c r="F154" i="74"/>
  <c r="F153" i="74"/>
  <c r="F152" i="74"/>
  <c r="F151" i="74"/>
  <c r="F150" i="74"/>
  <c r="F149" i="74"/>
  <c r="F148" i="74"/>
  <c r="F147" i="74"/>
  <c r="F146" i="74"/>
  <c r="F145" i="74"/>
  <c r="F144" i="74"/>
  <c r="F143" i="74"/>
  <c r="F142" i="74"/>
  <c r="F141" i="74"/>
  <c r="F140" i="74"/>
  <c r="F139" i="74"/>
  <c r="F138" i="74"/>
  <c r="F137" i="74"/>
  <c r="F136" i="74"/>
  <c r="F135" i="74"/>
  <c r="F134" i="74"/>
  <c r="F133" i="74"/>
  <c r="F132" i="74"/>
  <c r="F131" i="74"/>
  <c r="F130" i="74"/>
  <c r="F129" i="74"/>
  <c r="F128" i="74"/>
  <c r="F127" i="74"/>
  <c r="F126" i="74"/>
  <c r="F125" i="74"/>
  <c r="F124" i="74"/>
  <c r="F123" i="74"/>
  <c r="F122" i="74"/>
  <c r="F121" i="74"/>
  <c r="F120" i="74"/>
  <c r="F119" i="74"/>
  <c r="F118" i="74"/>
  <c r="F117" i="74"/>
  <c r="F116" i="74"/>
  <c r="F115" i="74"/>
  <c r="F114" i="74"/>
  <c r="F113" i="74"/>
  <c r="F112" i="74"/>
  <c r="F111" i="74"/>
  <c r="F110" i="74"/>
  <c r="F109" i="74"/>
  <c r="F108" i="74"/>
  <c r="F107" i="74"/>
  <c r="F106" i="74"/>
  <c r="F105" i="74"/>
  <c r="F104" i="74"/>
  <c r="F103" i="74"/>
  <c r="F102" i="74"/>
  <c r="F101" i="74"/>
  <c r="F100" i="74"/>
  <c r="F99" i="74"/>
  <c r="F98" i="74"/>
  <c r="F97" i="74"/>
  <c r="F96" i="74"/>
  <c r="F95" i="74"/>
  <c r="F94" i="74"/>
  <c r="F93" i="74"/>
  <c r="F92" i="74"/>
  <c r="F91" i="74"/>
  <c r="F90" i="74"/>
  <c r="F89" i="74"/>
  <c r="F88" i="74"/>
  <c r="F87" i="74"/>
  <c r="F86" i="74"/>
  <c r="F85" i="74"/>
  <c r="F84" i="74"/>
  <c r="F83" i="74"/>
  <c r="F82" i="74"/>
  <c r="F81" i="74"/>
  <c r="F80" i="74"/>
  <c r="F79" i="74"/>
  <c r="F78" i="74"/>
  <c r="F77" i="74"/>
  <c r="F76" i="74"/>
  <c r="F75" i="74"/>
  <c r="F74" i="74"/>
  <c r="F73" i="74"/>
  <c r="F72" i="74"/>
  <c r="F71" i="74"/>
  <c r="F70" i="74"/>
  <c r="F69" i="74"/>
  <c r="F68" i="74"/>
  <c r="F67" i="74"/>
  <c r="F66" i="74"/>
  <c r="F65" i="74"/>
  <c r="F64" i="74"/>
  <c r="F63" i="74"/>
  <c r="F62" i="74"/>
  <c r="F61" i="74"/>
  <c r="F60" i="74"/>
  <c r="F59" i="74"/>
  <c r="F58" i="74"/>
  <c r="F57" i="74"/>
  <c r="F56" i="74"/>
  <c r="F55" i="74"/>
  <c r="F54" i="74"/>
  <c r="F53" i="74"/>
  <c r="F52" i="74"/>
  <c r="F51" i="74"/>
  <c r="F50" i="74"/>
  <c r="F49" i="74"/>
  <c r="F48" i="74"/>
  <c r="F47" i="74"/>
  <c r="F46" i="74"/>
  <c r="F45" i="74"/>
  <c r="F44" i="74"/>
  <c r="F43" i="74"/>
  <c r="F42" i="74"/>
  <c r="F41" i="74"/>
  <c r="F40" i="74"/>
  <c r="F39" i="74"/>
  <c r="F38" i="74"/>
  <c r="F37" i="74"/>
  <c r="F36" i="74"/>
  <c r="F35" i="74"/>
  <c r="F34" i="74"/>
  <c r="F33" i="74"/>
  <c r="F32" i="74"/>
  <c r="F31" i="74"/>
  <c r="F30" i="74"/>
  <c r="F29" i="74"/>
  <c r="F28" i="74"/>
  <c r="F27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F10" i="74"/>
  <c r="F9" i="74"/>
  <c r="F8" i="74"/>
  <c r="H138" i="54" l="1"/>
  <c r="I137" i="54"/>
  <c r="G15" i="61" s="1"/>
  <c r="H139" i="54" l="1"/>
  <c r="I138" i="54"/>
  <c r="G16" i="61" s="1"/>
  <c r="H31" i="73"/>
  <c r="G31" i="73"/>
  <c r="F31" i="73"/>
  <c r="H28" i="73"/>
  <c r="G28" i="73"/>
  <c r="F28" i="73"/>
  <c r="G17" i="73" l="1"/>
  <c r="F17" i="73"/>
  <c r="H17" i="73"/>
  <c r="H21" i="73"/>
  <c r="F21" i="73"/>
  <c r="G21" i="73"/>
  <c r="H30" i="73"/>
  <c r="H32" i="73" s="1"/>
  <c r="H13" i="73"/>
  <c r="G27" i="73"/>
  <c r="G29" i="73" s="1"/>
  <c r="G9" i="81" s="1"/>
  <c r="G9" i="73"/>
  <c r="F30" i="73"/>
  <c r="F32" i="73" s="1"/>
  <c r="F10" i="81" s="1"/>
  <c r="F13" i="73"/>
  <c r="F27" i="73"/>
  <c r="F29" i="73" s="1"/>
  <c r="F9" i="73"/>
  <c r="H27" i="73"/>
  <c r="H9" i="73"/>
  <c r="G30" i="73"/>
  <c r="G13" i="73"/>
  <c r="I10" i="81"/>
  <c r="H140" i="54"/>
  <c r="I139" i="54"/>
  <c r="G17" i="61" s="1"/>
  <c r="I9" i="81" l="1"/>
  <c r="H29" i="73"/>
  <c r="H33" i="73" s="1"/>
  <c r="H10" i="81"/>
  <c r="G32" i="73"/>
  <c r="G10" i="81" s="1"/>
  <c r="I33" i="73"/>
  <c r="H141" i="54"/>
  <c r="I140" i="54"/>
  <c r="G18" i="61" s="1"/>
  <c r="G23" i="73"/>
  <c r="F9" i="81"/>
  <c r="F33" i="73"/>
  <c r="I23" i="73"/>
  <c r="F23" i="73"/>
  <c r="H23" i="73"/>
  <c r="Y22" i="54"/>
  <c r="Y43" i="54"/>
  <c r="G33" i="73" l="1"/>
  <c r="H50" i="73" s="1"/>
  <c r="H9" i="81"/>
  <c r="I50" i="73"/>
  <c r="G50" i="73"/>
  <c r="J50" i="73"/>
  <c r="H142" i="54"/>
  <c r="I141" i="54"/>
  <c r="G19" i="61" s="1"/>
  <c r="H332" i="54"/>
  <c r="G101" i="87"/>
  <c r="G186" i="87" s="1"/>
  <c r="I186" i="87" s="1"/>
  <c r="H315" i="54" l="1"/>
  <c r="H341" i="54"/>
  <c r="H345" i="54"/>
  <c r="H349" i="54"/>
  <c r="H344" i="54"/>
  <c r="H342" i="54"/>
  <c r="H346" i="54"/>
  <c r="H350" i="54"/>
  <c r="H340" i="54"/>
  <c r="H352" i="54"/>
  <c r="H343" i="54"/>
  <c r="H347" i="54"/>
  <c r="H351" i="54"/>
  <c r="H348" i="54"/>
  <c r="I332" i="54"/>
  <c r="I142" i="54"/>
  <c r="G20" i="61" s="1"/>
  <c r="H336" i="54"/>
  <c r="D101" i="87"/>
  <c r="D186" i="87" s="1"/>
  <c r="D196" i="87" s="1"/>
  <c r="E101" i="87"/>
  <c r="E186" i="87" s="1"/>
  <c r="E196" i="87" s="1"/>
  <c r="F101" i="87"/>
  <c r="F186" i="87" s="1"/>
  <c r="F196" i="87" s="1"/>
  <c r="D359" i="54" l="1"/>
  <c r="H359" i="54"/>
  <c r="E359" i="54"/>
  <c r="F359" i="54"/>
  <c r="G359" i="54"/>
  <c r="I336" i="54"/>
  <c r="H354" i="54"/>
  <c r="H353" i="54"/>
  <c r="E353" i="54"/>
  <c r="F353" i="54"/>
  <c r="F354" i="54"/>
  <c r="G354" i="54"/>
  <c r="G353" i="54"/>
  <c r="D353" i="54"/>
  <c r="D354" i="54"/>
  <c r="E354" i="54"/>
  <c r="H360" i="54" l="1"/>
  <c r="G360" i="54"/>
  <c r="E360" i="54"/>
  <c r="F360" i="54"/>
  <c r="D360" i="54"/>
  <c r="E355" i="54"/>
  <c r="H355" i="54"/>
  <c r="F355" i="54"/>
  <c r="D355" i="54"/>
  <c r="G355" i="54"/>
  <c r="E305" i="54" l="1"/>
  <c r="G291" i="54"/>
  <c r="G292" i="54"/>
  <c r="G293" i="54"/>
  <c r="G294" i="54"/>
  <c r="G295" i="54"/>
  <c r="G296" i="54"/>
  <c r="G297" i="54"/>
  <c r="G298" i="54"/>
  <c r="G299" i="54"/>
  <c r="G300" i="54"/>
  <c r="G301" i="54"/>
  <c r="G305" i="54" l="1"/>
  <c r="H154" i="87"/>
  <c r="E426" i="87" s="1"/>
  <c r="W73" i="54"/>
  <c r="Y73" i="54"/>
  <c r="X73" i="54"/>
  <c r="H189" i="87" l="1"/>
  <c r="I154" i="87"/>
  <c r="D296" i="54"/>
  <c r="D300" i="54"/>
  <c r="D291" i="54"/>
  <c r="D302" i="54"/>
  <c r="D299" i="54"/>
  <c r="D297" i="54"/>
  <c r="D292" i="54"/>
  <c r="D298" i="54"/>
  <c r="D293" i="54"/>
  <c r="I189" i="87" l="1"/>
  <c r="D294" i="54"/>
  <c r="F305" i="54" l="1"/>
  <c r="H131" i="87" l="1"/>
  <c r="E373" i="87" s="1"/>
  <c r="H135" i="87"/>
  <c r="E376" i="87" s="1"/>
  <c r="H137" i="87"/>
  <c r="E381" i="87" s="1"/>
  <c r="H138" i="87"/>
  <c r="E382" i="87" s="1"/>
  <c r="H139" i="87"/>
  <c r="E383" i="87" s="1"/>
  <c r="H140" i="87"/>
  <c r="E378" i="87" s="1"/>
  <c r="H141" i="87"/>
  <c r="E379" i="87" s="1"/>
  <c r="H142" i="87"/>
  <c r="E380" i="87" s="1"/>
  <c r="G173" i="87"/>
  <c r="G174" i="87"/>
  <c r="G175" i="87"/>
  <c r="G147" i="87"/>
  <c r="G155" i="87"/>
  <c r="G156" i="87"/>
  <c r="G157" i="87"/>
  <c r="G193" i="87"/>
  <c r="G187" i="87"/>
  <c r="G192" i="87" l="1"/>
  <c r="G191" i="87"/>
  <c r="H143" i="87"/>
  <c r="G195" i="87"/>
  <c r="G194" i="87"/>
  <c r="I135" i="87"/>
  <c r="H174" i="87"/>
  <c r="H156" i="87"/>
  <c r="E428" i="87" s="1"/>
  <c r="H147" i="87"/>
  <c r="E425" i="87" s="1"/>
  <c r="H173" i="87"/>
  <c r="I141" i="87"/>
  <c r="H155" i="87"/>
  <c r="E427" i="87" s="1"/>
  <c r="G182" i="87"/>
  <c r="G190" i="87"/>
  <c r="I140" i="87"/>
  <c r="H193" i="87"/>
  <c r="I137" i="87"/>
  <c r="I131" i="87"/>
  <c r="H182" i="87"/>
  <c r="H157" i="87"/>
  <c r="E429" i="87" s="1"/>
  <c r="I142" i="87"/>
  <c r="I138" i="87"/>
  <c r="G181" i="87"/>
  <c r="G159" i="87"/>
  <c r="G177" i="87"/>
  <c r="I139" i="87"/>
  <c r="H152" i="87"/>
  <c r="E423" i="87" s="1"/>
  <c r="H175" i="87"/>
  <c r="H195" i="87" s="1"/>
  <c r="E241" i="54"/>
  <c r="E251" i="54"/>
  <c r="E242" i="54"/>
  <c r="E247" i="54"/>
  <c r="E244" i="54"/>
  <c r="E248" i="54"/>
  <c r="E249" i="54"/>
  <c r="E245" i="54"/>
  <c r="E240" i="54"/>
  <c r="E243" i="54"/>
  <c r="E250" i="54"/>
  <c r="E246" i="54"/>
  <c r="Y23" i="54"/>
  <c r="E384" i="87" l="1"/>
  <c r="H187" i="87"/>
  <c r="I187" i="87" s="1"/>
  <c r="H192" i="87"/>
  <c r="I192" i="87" s="1"/>
  <c r="H191" i="87"/>
  <c r="I195" i="87"/>
  <c r="E430" i="87"/>
  <c r="F423" i="87" s="1"/>
  <c r="I143" i="87"/>
  <c r="I155" i="87"/>
  <c r="I175" i="87"/>
  <c r="H177" i="87"/>
  <c r="I173" i="87"/>
  <c r="G196" i="87"/>
  <c r="I193" i="87"/>
  <c r="H194" i="87"/>
  <c r="I157" i="87"/>
  <c r="I156" i="87"/>
  <c r="I152" i="87"/>
  <c r="I182" i="87"/>
  <c r="H190" i="87"/>
  <c r="H181" i="87"/>
  <c r="H159" i="87"/>
  <c r="I147" i="87"/>
  <c r="I174" i="87"/>
  <c r="X23" i="54"/>
  <c r="X43" i="54"/>
  <c r="X22" i="54"/>
  <c r="X44" i="54"/>
  <c r="Y44" i="54"/>
  <c r="E252" i="54"/>
  <c r="F250" i="54" s="1"/>
  <c r="F381" i="87" l="1"/>
  <c r="F374" i="87"/>
  <c r="F379" i="87"/>
  <c r="F376" i="87"/>
  <c r="F378" i="87"/>
  <c r="F382" i="87"/>
  <c r="F375" i="87"/>
  <c r="F383" i="87"/>
  <c r="F380" i="87"/>
  <c r="F373" i="87"/>
  <c r="F240" i="54"/>
  <c r="F427" i="87"/>
  <c r="F247" i="54"/>
  <c r="F243" i="54"/>
  <c r="D243" i="54" s="1"/>
  <c r="F429" i="87"/>
  <c r="F245" i="54"/>
  <c r="F242" i="54"/>
  <c r="F424" i="87"/>
  <c r="F421" i="87"/>
  <c r="F422" i="87"/>
  <c r="F426" i="87"/>
  <c r="F244" i="54"/>
  <c r="F425" i="87"/>
  <c r="F428" i="87"/>
  <c r="F246" i="54"/>
  <c r="D246" i="54" s="1"/>
  <c r="F251" i="54"/>
  <c r="F249" i="54"/>
  <c r="D249" i="54" s="1"/>
  <c r="F241" i="54"/>
  <c r="D241" i="54" s="1"/>
  <c r="F248" i="54"/>
  <c r="D248" i="54" s="1"/>
  <c r="AA44" i="54"/>
  <c r="AA43" i="54"/>
  <c r="I177" i="87"/>
  <c r="I159" i="87"/>
  <c r="I191" i="87"/>
  <c r="I181" i="87"/>
  <c r="H196" i="87"/>
  <c r="I196" i="87" s="1"/>
  <c r="I194" i="87"/>
  <c r="I190" i="87"/>
  <c r="C11" i="99"/>
  <c r="C11" i="96"/>
  <c r="C11" i="66"/>
  <c r="E286" i="54"/>
  <c r="D242" i="54"/>
  <c r="D247" i="54"/>
  <c r="F276" i="54" l="1"/>
  <c r="F285" i="54"/>
  <c r="F280" i="54"/>
  <c r="D280" i="54" s="1"/>
  <c r="F281" i="54"/>
  <c r="D281" i="54" s="1"/>
  <c r="F277" i="54"/>
  <c r="F273" i="54"/>
  <c r="F278" i="54"/>
  <c r="F275" i="54"/>
  <c r="D275" i="54" s="1"/>
  <c r="F283" i="54"/>
  <c r="F274" i="54"/>
  <c r="D274" i="54" s="1"/>
  <c r="F282" i="54"/>
  <c r="D282" i="54" s="1"/>
  <c r="F279" i="54"/>
  <c r="F284" i="54"/>
  <c r="F384" i="87"/>
  <c r="F430" i="87"/>
  <c r="D276" i="54"/>
  <c r="D244" i="54"/>
  <c r="D279" i="54"/>
  <c r="D283" i="54"/>
  <c r="D285" i="54"/>
  <c r="K13" i="57"/>
  <c r="K12" i="57"/>
  <c r="K11" i="57"/>
  <c r="K10" i="57"/>
  <c r="J9" i="57"/>
  <c r="I9" i="57"/>
  <c r="H9" i="57"/>
  <c r="F9" i="57"/>
  <c r="F252" i="54" l="1"/>
  <c r="D277" i="54"/>
  <c r="K9" i="57"/>
  <c r="V81" i="54"/>
  <c r="D125" i="54" s="1"/>
  <c r="F125" i="54" s="1"/>
  <c r="U81" i="54"/>
  <c r="D124" i="54" s="1"/>
  <c r="F124" i="54" s="1"/>
  <c r="T81" i="54"/>
  <c r="D123" i="54" s="1"/>
  <c r="F123" i="54" s="1"/>
  <c r="S81" i="54"/>
  <c r="R81" i="54"/>
  <c r="D121" i="54" s="1"/>
  <c r="F121" i="54" s="1"/>
  <c r="Q81" i="54"/>
  <c r="D120" i="54" s="1"/>
  <c r="F120" i="54" s="1"/>
  <c r="P81" i="54"/>
  <c r="D119" i="54" s="1"/>
  <c r="F119" i="54" s="1"/>
  <c r="O81" i="54"/>
  <c r="D118" i="54" s="1"/>
  <c r="F118" i="54" s="1"/>
  <c r="N81" i="54"/>
  <c r="M81" i="54"/>
  <c r="D116" i="54" s="1"/>
  <c r="F116" i="54" s="1"/>
  <c r="L81" i="54"/>
  <c r="D115" i="54" s="1"/>
  <c r="F115" i="54" s="1"/>
  <c r="K81" i="54"/>
  <c r="D114" i="54" s="1"/>
  <c r="F114" i="54" s="1"/>
  <c r="J81" i="54"/>
  <c r="D113" i="54" s="1"/>
  <c r="F113" i="54" s="1"/>
  <c r="I81" i="54"/>
  <c r="H81" i="54"/>
  <c r="D111" i="54" s="1"/>
  <c r="F111" i="54" s="1"/>
  <c r="G81" i="54"/>
  <c r="F81" i="54"/>
  <c r="D109" i="54" s="1"/>
  <c r="F109" i="54" s="1"/>
  <c r="E81" i="54"/>
  <c r="D108" i="54" s="1"/>
  <c r="F108" i="54" s="1"/>
  <c r="D81" i="54"/>
  <c r="D107" i="54" s="1"/>
  <c r="F107" i="54" s="1"/>
  <c r="Y80" i="54"/>
  <c r="X80" i="54"/>
  <c r="W80" i="54"/>
  <c r="Y79" i="54"/>
  <c r="X79" i="54"/>
  <c r="W79" i="54"/>
  <c r="Y78" i="54"/>
  <c r="X78" i="54"/>
  <c r="W78" i="54"/>
  <c r="Y77" i="54"/>
  <c r="X77" i="54"/>
  <c r="W77" i="54"/>
  <c r="Y76" i="54"/>
  <c r="X76" i="54"/>
  <c r="W76" i="54"/>
  <c r="Y75" i="54"/>
  <c r="X75" i="54"/>
  <c r="Y74" i="54"/>
  <c r="X74" i="54"/>
  <c r="W74" i="54"/>
  <c r="Y72" i="54"/>
  <c r="X72" i="54"/>
  <c r="W72" i="54"/>
  <c r="Y71" i="54"/>
  <c r="X71" i="54"/>
  <c r="W71" i="54"/>
  <c r="Y70" i="54"/>
  <c r="X70" i="54"/>
  <c r="W70" i="54"/>
  <c r="Y69" i="54"/>
  <c r="X69" i="54"/>
  <c r="W69" i="54"/>
  <c r="Y68" i="54"/>
  <c r="X68" i="54"/>
  <c r="W68" i="54"/>
  <c r="Y67" i="54"/>
  <c r="X67" i="54"/>
  <c r="W67" i="54"/>
  <c r="V63" i="54"/>
  <c r="U63" i="54"/>
  <c r="T63" i="54"/>
  <c r="S63" i="54"/>
  <c r="G178" i="87" s="1"/>
  <c r="R63" i="54"/>
  <c r="Q63" i="54"/>
  <c r="P63" i="54"/>
  <c r="O63" i="54"/>
  <c r="N63" i="54"/>
  <c r="G167" i="87" s="1"/>
  <c r="M63" i="54"/>
  <c r="L63" i="54"/>
  <c r="K63" i="54"/>
  <c r="J63" i="54"/>
  <c r="I63" i="54"/>
  <c r="G160" i="87" s="1"/>
  <c r="H63" i="54"/>
  <c r="G63" i="54"/>
  <c r="G144" i="87" s="1"/>
  <c r="F63" i="54"/>
  <c r="E63" i="54"/>
  <c r="D63" i="54"/>
  <c r="Y62" i="54"/>
  <c r="X62" i="54"/>
  <c r="W62" i="54"/>
  <c r="Y61" i="54"/>
  <c r="X61" i="54"/>
  <c r="W61" i="54"/>
  <c r="Y60" i="54"/>
  <c r="X60" i="54"/>
  <c r="W60" i="54"/>
  <c r="Y59" i="54"/>
  <c r="X59" i="54"/>
  <c r="W59" i="54"/>
  <c r="Y58" i="54"/>
  <c r="X58" i="54"/>
  <c r="W58" i="54"/>
  <c r="Y57" i="54"/>
  <c r="X57" i="54"/>
  <c r="W57" i="54"/>
  <c r="Z75" i="54" s="1"/>
  <c r="Y56" i="54"/>
  <c r="X56" i="54"/>
  <c r="W56" i="54"/>
  <c r="Y55" i="54"/>
  <c r="AB73" i="54" s="1"/>
  <c r="X55" i="54"/>
  <c r="W55" i="54"/>
  <c r="Z73" i="54" s="1"/>
  <c r="Y54" i="54"/>
  <c r="X54" i="54"/>
  <c r="W54" i="54"/>
  <c r="Y53" i="54"/>
  <c r="X53" i="54"/>
  <c r="W53" i="54"/>
  <c r="Y52" i="54"/>
  <c r="X52" i="54"/>
  <c r="W52" i="54"/>
  <c r="Y51" i="54"/>
  <c r="X51" i="54"/>
  <c r="W51" i="54"/>
  <c r="Y50" i="54"/>
  <c r="X50" i="54"/>
  <c r="W50" i="54"/>
  <c r="Y49" i="54"/>
  <c r="X49" i="54"/>
  <c r="W49" i="54"/>
  <c r="W44" i="54"/>
  <c r="W43" i="54"/>
  <c r="V42" i="54"/>
  <c r="V45" i="54" s="1"/>
  <c r="U42" i="54"/>
  <c r="T42" i="54"/>
  <c r="S42" i="54"/>
  <c r="R42" i="54"/>
  <c r="R45" i="54" s="1"/>
  <c r="Q42" i="54"/>
  <c r="P42" i="54"/>
  <c r="P45" i="54" s="1"/>
  <c r="N42" i="54"/>
  <c r="M42" i="54"/>
  <c r="M45" i="54" s="1"/>
  <c r="L42" i="54"/>
  <c r="L45" i="54" s="1"/>
  <c r="K42" i="54"/>
  <c r="J42" i="54"/>
  <c r="I42" i="54"/>
  <c r="I45" i="54" s="1"/>
  <c r="H42" i="54"/>
  <c r="H45" i="54" s="1"/>
  <c r="G42" i="54"/>
  <c r="F42" i="54"/>
  <c r="E42" i="54"/>
  <c r="D42" i="54"/>
  <c r="Y41" i="54"/>
  <c r="X41" i="54"/>
  <c r="W41" i="54"/>
  <c r="Y40" i="54"/>
  <c r="X40" i="54"/>
  <c r="W40" i="54"/>
  <c r="Y39" i="54"/>
  <c r="X39" i="54"/>
  <c r="W39" i="54"/>
  <c r="Y38" i="54"/>
  <c r="X38" i="54"/>
  <c r="W38" i="54"/>
  <c r="Y37" i="54"/>
  <c r="X37" i="54"/>
  <c r="W37" i="54"/>
  <c r="Y36" i="54"/>
  <c r="X36" i="54"/>
  <c r="W36" i="54"/>
  <c r="Y35" i="54"/>
  <c r="X35" i="54"/>
  <c r="W35" i="54"/>
  <c r="Y34" i="54"/>
  <c r="X34" i="54"/>
  <c r="W34" i="54"/>
  <c r="Y33" i="54"/>
  <c r="X33" i="54"/>
  <c r="W33" i="54"/>
  <c r="Y32" i="54"/>
  <c r="X32" i="54"/>
  <c r="W32" i="54"/>
  <c r="Y31" i="54"/>
  <c r="X31" i="54"/>
  <c r="W31" i="54"/>
  <c r="Y30" i="54"/>
  <c r="X30" i="54"/>
  <c r="W30" i="54"/>
  <c r="Y29" i="54"/>
  <c r="X29" i="54"/>
  <c r="W29" i="54"/>
  <c r="Y28" i="54"/>
  <c r="X28" i="54"/>
  <c r="W28" i="54"/>
  <c r="V21" i="54"/>
  <c r="V24" i="54" s="1"/>
  <c r="U21" i="54"/>
  <c r="U24" i="54" s="1"/>
  <c r="T21" i="54"/>
  <c r="T24" i="54" s="1"/>
  <c r="S21" i="54"/>
  <c r="S24" i="54" s="1"/>
  <c r="G59" i="87" s="1"/>
  <c r="Q21" i="54"/>
  <c r="Q24" i="54" s="1"/>
  <c r="P21" i="54"/>
  <c r="P24" i="54" s="1"/>
  <c r="O21" i="54"/>
  <c r="O24" i="54" s="1"/>
  <c r="N21" i="54"/>
  <c r="N24" i="54" s="1"/>
  <c r="G47" i="87" s="1"/>
  <c r="M21" i="54"/>
  <c r="M24" i="54" s="1"/>
  <c r="L21" i="54"/>
  <c r="L24" i="54" s="1"/>
  <c r="K21" i="54"/>
  <c r="K24" i="54" s="1"/>
  <c r="J21" i="54"/>
  <c r="I21" i="54"/>
  <c r="I24" i="54" s="1"/>
  <c r="G39" i="87" s="1"/>
  <c r="H21" i="54"/>
  <c r="H24" i="54" s="1"/>
  <c r="G21" i="54"/>
  <c r="G24" i="54" s="1"/>
  <c r="G22" i="87" s="1"/>
  <c r="F21" i="54"/>
  <c r="F24" i="54" s="1"/>
  <c r="E21" i="54"/>
  <c r="E24" i="54" s="1"/>
  <c r="D21" i="54"/>
  <c r="D24" i="54" s="1"/>
  <c r="Y20" i="54"/>
  <c r="X20" i="54"/>
  <c r="W20" i="54"/>
  <c r="Y19" i="54"/>
  <c r="X19" i="54"/>
  <c r="W19" i="54"/>
  <c r="Y18" i="54"/>
  <c r="X18" i="54"/>
  <c r="W18" i="54"/>
  <c r="Y17" i="54"/>
  <c r="X17" i="54"/>
  <c r="W17" i="54"/>
  <c r="Y16" i="54"/>
  <c r="X16" i="54"/>
  <c r="W16" i="54"/>
  <c r="Y15" i="54"/>
  <c r="X15" i="54"/>
  <c r="W15" i="54"/>
  <c r="Y14" i="54"/>
  <c r="X14" i="54"/>
  <c r="W14" i="54"/>
  <c r="Y13" i="54"/>
  <c r="X13" i="54"/>
  <c r="W13" i="54"/>
  <c r="Y12" i="54"/>
  <c r="X12" i="54"/>
  <c r="W12" i="54"/>
  <c r="Y11" i="54"/>
  <c r="X11" i="54"/>
  <c r="W11" i="54"/>
  <c r="Y10" i="54"/>
  <c r="W10" i="54"/>
  <c r="Y9" i="54"/>
  <c r="X9" i="54"/>
  <c r="W9" i="54"/>
  <c r="Y8" i="54"/>
  <c r="X8" i="54"/>
  <c r="W8" i="54"/>
  <c r="Y7" i="54"/>
  <c r="X7" i="54"/>
  <c r="W7" i="54"/>
  <c r="W83" i="54" l="1"/>
  <c r="Z31" i="54"/>
  <c r="AA36" i="54"/>
  <c r="Z39" i="54"/>
  <c r="AA29" i="54"/>
  <c r="Z32" i="54"/>
  <c r="AA33" i="54"/>
  <c r="Z36" i="54"/>
  <c r="AA37" i="54"/>
  <c r="Z40" i="54"/>
  <c r="AA41" i="54"/>
  <c r="V46" i="54"/>
  <c r="Y46" i="54"/>
  <c r="AA31" i="54"/>
  <c r="Z34" i="54"/>
  <c r="AA39" i="54"/>
  <c r="L46" i="54"/>
  <c r="W25" i="54"/>
  <c r="Y25" i="54"/>
  <c r="Z29" i="54"/>
  <c r="Z37" i="54"/>
  <c r="M46" i="54"/>
  <c r="Z28" i="54"/>
  <c r="W46" i="54"/>
  <c r="AA32" i="54"/>
  <c r="Z35" i="54"/>
  <c r="AA40" i="54"/>
  <c r="O46" i="54"/>
  <c r="Z43" i="54"/>
  <c r="Z30" i="54"/>
  <c r="AA35" i="54"/>
  <c r="Z38" i="54"/>
  <c r="H46" i="54"/>
  <c r="P46" i="54"/>
  <c r="Z44" i="54"/>
  <c r="AA30" i="54"/>
  <c r="Z33" i="54"/>
  <c r="AA38" i="54"/>
  <c r="Z41" i="54"/>
  <c r="X46" i="54"/>
  <c r="AA28" i="54"/>
  <c r="H39" i="87"/>
  <c r="I46" i="54"/>
  <c r="Y64" i="54"/>
  <c r="Z78" i="54"/>
  <c r="W63" i="54"/>
  <c r="AB72" i="54"/>
  <c r="AB77" i="54"/>
  <c r="Z79" i="54"/>
  <c r="AB71" i="54"/>
  <c r="Z74" i="54"/>
  <c r="AA79" i="54"/>
  <c r="AB80" i="54"/>
  <c r="X83" i="54"/>
  <c r="AA67" i="54"/>
  <c r="Z70" i="54"/>
  <c r="AA80" i="54"/>
  <c r="Z69" i="54"/>
  <c r="AA75" i="54"/>
  <c r="AA74" i="54"/>
  <c r="AA76" i="54"/>
  <c r="Y83" i="54"/>
  <c r="AB67" i="54"/>
  <c r="AA70" i="54"/>
  <c r="W64" i="54"/>
  <c r="Z68" i="54"/>
  <c r="AA69" i="54"/>
  <c r="AB70" i="54"/>
  <c r="Z72" i="54"/>
  <c r="AB75" i="54"/>
  <c r="Z77" i="54"/>
  <c r="AA78" i="54"/>
  <c r="AB79" i="54"/>
  <c r="X64" i="54"/>
  <c r="Z67" i="54"/>
  <c r="AA68" i="54"/>
  <c r="Z71" i="54"/>
  <c r="AA72" i="54"/>
  <c r="AB74" i="54"/>
  <c r="Z76" i="54"/>
  <c r="AA77" i="54"/>
  <c r="AB78" i="54"/>
  <c r="Z80" i="54"/>
  <c r="D117" i="54"/>
  <c r="F117" i="54" s="1"/>
  <c r="H167" i="87"/>
  <c r="D110" i="54"/>
  <c r="F110" i="54" s="1"/>
  <c r="H144" i="87"/>
  <c r="D122" i="54"/>
  <c r="F122" i="54" s="1"/>
  <c r="H178" i="87"/>
  <c r="D112" i="54"/>
  <c r="F112" i="54" s="1"/>
  <c r="H160" i="87"/>
  <c r="E89" i="54"/>
  <c r="D89" i="54"/>
  <c r="D93" i="54"/>
  <c r="E93" i="54"/>
  <c r="E97" i="54"/>
  <c r="D97" i="54"/>
  <c r="E90" i="54"/>
  <c r="D90" i="54"/>
  <c r="E94" i="54"/>
  <c r="D94" i="54"/>
  <c r="E96" i="54"/>
  <c r="D99" i="54"/>
  <c r="D103" i="54"/>
  <c r="E103" i="54"/>
  <c r="G82" i="54"/>
  <c r="K82" i="54"/>
  <c r="O82" i="54"/>
  <c r="S82" i="54"/>
  <c r="F82" i="54"/>
  <c r="J82" i="54"/>
  <c r="N82" i="54"/>
  <c r="R82" i="54"/>
  <c r="V82" i="54"/>
  <c r="D82" i="54"/>
  <c r="H82" i="54"/>
  <c r="L82" i="54"/>
  <c r="P82" i="54"/>
  <c r="T82" i="54"/>
  <c r="E82" i="54"/>
  <c r="I82" i="54"/>
  <c r="M82" i="54"/>
  <c r="Q82" i="54"/>
  <c r="U82" i="54"/>
  <c r="Y24" i="54"/>
  <c r="F286" i="54"/>
  <c r="X63" i="54"/>
  <c r="Y81" i="54"/>
  <c r="AF74" i="54" s="1"/>
  <c r="Y63" i="54"/>
  <c r="X26" i="54"/>
  <c r="W21" i="54"/>
  <c r="W24" i="54" s="1"/>
  <c r="X25" i="54"/>
  <c r="W26" i="54"/>
  <c r="R24" i="54"/>
  <c r="R46" i="54" s="1"/>
  <c r="Q45" i="54"/>
  <c r="W42" i="54"/>
  <c r="X81" i="54"/>
  <c r="AE73" i="54" s="1"/>
  <c r="X21" i="54"/>
  <c r="Y21" i="54"/>
  <c r="J24" i="54"/>
  <c r="X42" i="54"/>
  <c r="D45" i="54"/>
  <c r="T45" i="54"/>
  <c r="W81" i="54"/>
  <c r="AD74" i="54" s="1"/>
  <c r="Y42" i="54"/>
  <c r="E45" i="54"/>
  <c r="K45" i="54"/>
  <c r="U45" i="54"/>
  <c r="S45" i="54"/>
  <c r="G45" i="54"/>
  <c r="F45" i="54"/>
  <c r="J45" i="54"/>
  <c r="N45" i="54"/>
  <c r="Y84" i="54" l="1"/>
  <c r="D96" i="54"/>
  <c r="F96" i="54" s="1"/>
  <c r="X84" i="54"/>
  <c r="U46" i="54"/>
  <c r="F46" i="54"/>
  <c r="K46" i="54"/>
  <c r="T46" i="54"/>
  <c r="Q46" i="54"/>
  <c r="E46" i="54"/>
  <c r="D46" i="54"/>
  <c r="W84" i="54"/>
  <c r="AD68" i="54"/>
  <c r="AE79" i="54"/>
  <c r="AD78" i="54"/>
  <c r="AD77" i="54"/>
  <c r="AD70" i="54"/>
  <c r="AD76" i="54"/>
  <c r="AE76" i="54"/>
  <c r="AE74" i="54"/>
  <c r="AE67" i="54"/>
  <c r="AE72" i="54"/>
  <c r="AD75" i="54"/>
  <c r="AD73" i="54"/>
  <c r="AD80" i="54"/>
  <c r="AD72" i="54"/>
  <c r="AD67" i="54"/>
  <c r="AE70" i="54"/>
  <c r="AE75" i="54"/>
  <c r="AE80" i="54"/>
  <c r="AD71" i="54"/>
  <c r="AE77" i="54"/>
  <c r="AE69" i="54"/>
  <c r="AE78" i="54"/>
  <c r="AD69" i="54"/>
  <c r="AE71" i="54"/>
  <c r="AD79" i="54"/>
  <c r="AE68" i="54"/>
  <c r="J46" i="54"/>
  <c r="AA42" i="54"/>
  <c r="Z83" i="54"/>
  <c r="H22" i="87"/>
  <c r="G46" i="54"/>
  <c r="H47" i="87"/>
  <c r="N46" i="54"/>
  <c r="H59" i="87"/>
  <c r="S46" i="54"/>
  <c r="W45" i="54"/>
  <c r="Z42" i="54"/>
  <c r="AB83" i="54"/>
  <c r="AF70" i="54"/>
  <c r="AB81" i="54"/>
  <c r="AF73" i="54"/>
  <c r="AF78" i="54"/>
  <c r="AF75" i="54"/>
  <c r="AA83" i="54"/>
  <c r="AF72" i="54"/>
  <c r="AA81" i="54"/>
  <c r="AF76" i="54"/>
  <c r="Z81" i="54"/>
  <c r="W82" i="54"/>
  <c r="AF69" i="54"/>
  <c r="AF79" i="54"/>
  <c r="AF67" i="54"/>
  <c r="AF80" i="54"/>
  <c r="AF77" i="54"/>
  <c r="AF68" i="54"/>
  <c r="F89" i="54"/>
  <c r="F90" i="54"/>
  <c r="F93" i="54"/>
  <c r="D91" i="54"/>
  <c r="E91" i="54"/>
  <c r="D87" i="54"/>
  <c r="E87" i="54"/>
  <c r="E102" i="54"/>
  <c r="D102" i="54"/>
  <c r="E85" i="54"/>
  <c r="D85" i="54"/>
  <c r="E98" i="54"/>
  <c r="D98" i="54"/>
  <c r="D88" i="54"/>
  <c r="E88" i="54"/>
  <c r="D92" i="54"/>
  <c r="E92" i="54"/>
  <c r="D95" i="54"/>
  <c r="E95" i="54"/>
  <c r="D100" i="54"/>
  <c r="E100" i="54"/>
  <c r="E86" i="54"/>
  <c r="D86" i="54"/>
  <c r="E99" i="54"/>
  <c r="F99" i="54" s="1"/>
  <c r="F94" i="54"/>
  <c r="E101" i="54"/>
  <c r="D101" i="54"/>
  <c r="F103" i="54"/>
  <c r="F97" i="54"/>
  <c r="Y82" i="54"/>
  <c r="X82" i="54"/>
  <c r="X45" i="54"/>
  <c r="H143" i="54" s="1"/>
  <c r="X24" i="54"/>
  <c r="G337" i="54" s="1"/>
  <c r="Y45" i="54"/>
  <c r="AS21" i="54"/>
  <c r="H102" i="87" l="1"/>
  <c r="AE83" i="54"/>
  <c r="H337" i="54"/>
  <c r="AF83" i="54"/>
  <c r="E143" i="54"/>
  <c r="Z45" i="54"/>
  <c r="AA45" i="54"/>
  <c r="AE81" i="54"/>
  <c r="AD81" i="54"/>
  <c r="AD83" i="54"/>
  <c r="AF71" i="54"/>
  <c r="AF81" i="54" s="1"/>
  <c r="F101" i="54"/>
  <c r="F98" i="54"/>
  <c r="F88" i="54"/>
  <c r="F92" i="54"/>
  <c r="F91" i="54"/>
  <c r="F87" i="54"/>
  <c r="F95" i="54"/>
  <c r="F86" i="54"/>
  <c r="F100" i="54"/>
  <c r="F85" i="54"/>
  <c r="F102" i="54"/>
  <c r="X25" i="107"/>
  <c r="X69" i="107" s="1"/>
  <c r="AS22" i="107" l="1"/>
</calcChain>
</file>

<file path=xl/sharedStrings.xml><?xml version="1.0" encoding="utf-8"?>
<sst xmlns="http://schemas.openxmlformats.org/spreadsheetml/2006/main" count="2395" uniqueCount="431">
  <si>
    <t>-</t>
  </si>
  <si>
    <t>GWh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</si>
  <si>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</si>
  <si>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</si>
  <si>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</si>
  <si>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</si>
  <si>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</si>
  <si>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</si>
  <si>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</si>
  <si>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</si>
  <si>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</si>
  <si>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</si>
  <si>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</si>
  <si>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</si>
  <si>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</si>
  <si>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Laboralidad</t>
  </si>
  <si>
    <t>Temperatura</t>
  </si>
  <si>
    <t>E</t>
  </si>
  <si>
    <t>F</t>
  </si>
  <si>
    <t>M</t>
  </si>
  <si>
    <t>A</t>
  </si>
  <si>
    <t>J</t>
  </si>
  <si>
    <t>S</t>
  </si>
  <si>
    <t>O</t>
  </si>
  <si>
    <t>N</t>
  </si>
  <si>
    <t>D</t>
  </si>
  <si>
    <t>Hidráulica</t>
  </si>
  <si>
    <t>Nuclear</t>
  </si>
  <si>
    <t>Carbón</t>
  </si>
  <si>
    <t>TOTAL</t>
  </si>
  <si>
    <t>Capacidad</t>
  </si>
  <si>
    <t>MW</t>
  </si>
  <si>
    <t>Total</t>
  </si>
  <si>
    <t>Circuito 400 kV (km)</t>
  </si>
  <si>
    <t>Otras empresas</t>
  </si>
  <si>
    <t xml:space="preserve"> </t>
  </si>
  <si>
    <t>Islas Canarias</t>
  </si>
  <si>
    <t>Baleares</t>
  </si>
  <si>
    <t>Canarias</t>
  </si>
  <si>
    <t>Melilla</t>
  </si>
  <si>
    <t>Demanda (b.c.)</t>
  </si>
  <si>
    <t>Total nacional</t>
  </si>
  <si>
    <t>Ceuta</t>
  </si>
  <si>
    <t>Red Eléctrica</t>
  </si>
  <si>
    <t>Ciclo combinado</t>
  </si>
  <si>
    <t>Fuel / gas</t>
  </si>
  <si>
    <t>Generación auxiliar</t>
  </si>
  <si>
    <t>Sistema peninsular</t>
  </si>
  <si>
    <t>Sin corregir</t>
  </si>
  <si>
    <t>Turbina de gas</t>
  </si>
  <si>
    <t>Eólica</t>
  </si>
  <si>
    <t>Solar fotovoltaica</t>
  </si>
  <si>
    <t>Turbina de vapor</t>
  </si>
  <si>
    <t>Mensual (%)</t>
  </si>
  <si>
    <t>Circuito ≤ 220 kV (km)</t>
  </si>
  <si>
    <t xml:space="preserve"> ≤ 220 kV</t>
  </si>
  <si>
    <t>Península</t>
  </si>
  <si>
    <t>400 kV</t>
  </si>
  <si>
    <t>Total líneas (km)</t>
  </si>
  <si>
    <t>Líneas aéreas (km)</t>
  </si>
  <si>
    <t>Cable submarino (km)</t>
  </si>
  <si>
    <t>Cable subterráneo (km)</t>
  </si>
  <si>
    <t>Transformación (MVA)</t>
  </si>
  <si>
    <t>Enlace Península-Baleares</t>
  </si>
  <si>
    <t>Demanda horaria (MWh)</t>
  </si>
  <si>
    <t>Cataluña</t>
  </si>
  <si>
    <t>Solar térmica</t>
  </si>
  <si>
    <t>Turbinación bombeo</t>
  </si>
  <si>
    <t>Hidroeólica</t>
  </si>
  <si>
    <t>Índice</t>
  </si>
  <si>
    <t>País Vasco</t>
  </si>
  <si>
    <t>Aragón</t>
  </si>
  <si>
    <t>Generación</t>
  </si>
  <si>
    <t>Cogeneración</t>
  </si>
  <si>
    <t>Asturias</t>
  </si>
  <si>
    <t>Otras renovables</t>
  </si>
  <si>
    <t>Demanda corregida</t>
  </si>
  <si>
    <t>Corregida</t>
  </si>
  <si>
    <t>Saldo intercambios internacionales</t>
  </si>
  <si>
    <t>Instalaciones de la red de transporte de energía eléctrica en España</t>
  </si>
  <si>
    <t>Castilla y León</t>
  </si>
  <si>
    <t>C. Valenciana</t>
  </si>
  <si>
    <t>Madrid</t>
  </si>
  <si>
    <t>Castilla-La Mancha</t>
  </si>
  <si>
    <t>Evolución de la demanda eléctrica peninsular</t>
  </si>
  <si>
    <t>Energía producible hidráulica peninsular</t>
  </si>
  <si>
    <t>El Sistema Eléctrico Español</t>
  </si>
  <si>
    <t>Andalucía</t>
  </si>
  <si>
    <t>Cantabria</t>
  </si>
  <si>
    <t>(GWh)</t>
  </si>
  <si>
    <t>Residuos no renovables</t>
  </si>
  <si>
    <t>Residuos renovables</t>
  </si>
  <si>
    <t>Extremadura</t>
  </si>
  <si>
    <t>Galicia</t>
  </si>
  <si>
    <t>La Rioja</t>
  </si>
  <si>
    <t>Murcia</t>
  </si>
  <si>
    <t>Navarra</t>
  </si>
  <si>
    <t>(MW)</t>
  </si>
  <si>
    <t>Fuel/gas</t>
  </si>
  <si>
    <t>Peninsular</t>
  </si>
  <si>
    <t>No peninsular</t>
  </si>
  <si>
    <t>Consumos bombeo </t>
  </si>
  <si>
    <t>Saldo Intercambio </t>
  </si>
  <si>
    <t>Nuclear </t>
  </si>
  <si>
    <t>Carbón </t>
  </si>
  <si>
    <t>Fuel/gas </t>
  </si>
  <si>
    <t>Ciclo combinado </t>
  </si>
  <si>
    <t xml:space="preserve">• </t>
  </si>
  <si>
    <t>Datos provisionales pendientes de auditoría en curso.</t>
  </si>
  <si>
    <t>Evolución de la red de transporte de energía eléctrica en España</t>
  </si>
  <si>
    <t>(km de circuito)</t>
  </si>
  <si>
    <t>Balance eléctrico, potencia instalada y red de transporte</t>
  </si>
  <si>
    <t>Demanda b.c.</t>
  </si>
  <si>
    <r>
      <rPr>
        <b/>
        <sz val="8"/>
        <color theme="0"/>
        <rFont val="Symbol"/>
        <family val="1"/>
        <charset val="2"/>
      </rPr>
      <t>D</t>
    </r>
    <r>
      <rPr>
        <b/>
        <sz val="8"/>
        <color theme="0"/>
        <rFont val="Arial"/>
        <family val="2"/>
      </rPr>
      <t xml:space="preserve"> Anual (%)</t>
    </r>
  </si>
  <si>
    <t>Componentes (%)</t>
  </si>
  <si>
    <t>(%)</t>
  </si>
  <si>
    <t>Total Kilómetros de circuito</t>
  </si>
  <si>
    <t>Evolución de la red de transporte en España (km de circuito)</t>
  </si>
  <si>
    <t>Mensual</t>
  </si>
  <si>
    <t>Acumulado</t>
  </si>
  <si>
    <t>Evolución mensual de la demanda eléctrica peninsular</t>
  </si>
  <si>
    <t>Variación anual de la demanda eléctrica peninsular. Año móvil  (%)</t>
  </si>
  <si>
    <t>Variación de la demanda</t>
  </si>
  <si>
    <t>Máximos anuales de demanda peninsular</t>
  </si>
  <si>
    <t>Demanda diaria (GWh)</t>
  </si>
  <si>
    <t>Máximos anuales de demanda peninsular en invierno</t>
  </si>
  <si>
    <t>Máximos anuales de demanda peninsular en verano</t>
  </si>
  <si>
    <t>Bruto</t>
  </si>
  <si>
    <t>Corregido</t>
  </si>
  <si>
    <t>General</t>
  </si>
  <si>
    <t>Industria</t>
  </si>
  <si>
    <t>Otros</t>
  </si>
  <si>
    <t>Variación mensual del IRE corregido. Año móvil (%)</t>
  </si>
  <si>
    <t>Servicios</t>
  </si>
  <si>
    <t>6 de septiembre</t>
  </si>
  <si>
    <t>13 de julio</t>
  </si>
  <si>
    <t>8 de febrero</t>
  </si>
  <si>
    <t>3 de agosto</t>
  </si>
  <si>
    <t>18 de febrero</t>
  </si>
  <si>
    <t>19 de enero</t>
  </si>
  <si>
    <r>
      <t xml:space="preserve">Variación mensual del IRE corregido
</t>
    </r>
    <r>
      <rPr>
        <sz val="8"/>
        <color indexed="8"/>
        <rFont val="Arial"/>
        <family val="2"/>
      </rPr>
      <t>Año móvil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</si>
  <si>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</si>
  <si>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t>Turbinación bombeo (1)</t>
  </si>
  <si>
    <t>Saldo importador intercambios internacionales</t>
  </si>
  <si>
    <t>Consumo en bombeo</t>
  </si>
  <si>
    <t xml:space="preserve">Evolución de la generación eléctrica peninsular renovable y no renovable 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</si>
  <si>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</si>
  <si>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</si>
  <si>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Evolución de la generación eléctrica peninsular renovable y no renovable (%)</t>
  </si>
  <si>
    <t>Generación renovable</t>
  </si>
  <si>
    <t>Generación no renovable</t>
  </si>
  <si>
    <t>Generación total</t>
  </si>
  <si>
    <t>Balance de energía eléctrica sistema peninsular (GWh)</t>
  </si>
  <si>
    <t>Consumos en bombeo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</si>
  <si>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Turbinación de bombeo puro + estimación de turbinación de bombeo mixto.</t>
    </r>
  </si>
  <si>
    <t>Evolución de la generación eléctrica peninsular renovable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</si>
  <si>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(1)</t>
    </r>
  </si>
  <si>
    <t>Evolución de la generación eléctrica peninsular no renovable</t>
  </si>
  <si>
    <t>Probabilidad de ser superada (%)</t>
  </si>
  <si>
    <t>Producible</t>
  </si>
  <si>
    <t xml:space="preserve">medio  </t>
  </si>
  <si>
    <t>histórico</t>
  </si>
  <si>
    <t>% Llenado</t>
  </si>
  <si>
    <t xml:space="preserve">Capacidad </t>
  </si>
  <si>
    <t>Estadístico</t>
  </si>
  <si>
    <t>% Reservas / Capacidad</t>
  </si>
  <si>
    <t>Reservas</t>
  </si>
  <si>
    <t xml:space="preserve">máxima </t>
  </si>
  <si>
    <t>Máximo</t>
  </si>
  <si>
    <t>Mínimo</t>
  </si>
  <si>
    <t>Medio</t>
  </si>
  <si>
    <t>2016 Enero</t>
  </si>
  <si>
    <t>2016 Febrero</t>
  </si>
  <si>
    <t>2016 Marzo</t>
  </si>
  <si>
    <t>2016 Abril</t>
  </si>
  <si>
    <t>2016 Mayo</t>
  </si>
  <si>
    <t>2016 Junio</t>
  </si>
  <si>
    <t>2016 Julio</t>
  </si>
  <si>
    <t>2016 Agosto</t>
  </si>
  <si>
    <t>2016 Septiembre</t>
  </si>
  <si>
    <t>2016 Octubre</t>
  </si>
  <si>
    <t>2016 Noviembre</t>
  </si>
  <si>
    <t>2016 Diciembre</t>
  </si>
  <si>
    <t>2017 Enero</t>
  </si>
  <si>
    <t>2017 Febrero</t>
  </si>
  <si>
    <t>2017 Marzo</t>
  </si>
  <si>
    <t>2017 Abril</t>
  </si>
  <si>
    <t>2017 Mayo</t>
  </si>
  <si>
    <t>2017 Junio</t>
  </si>
  <si>
    <t>2017 Julio</t>
  </si>
  <si>
    <t>2017 Agosto</t>
  </si>
  <si>
    <t>2017 Septiembre</t>
  </si>
  <si>
    <t>2017 Octubre</t>
  </si>
  <si>
    <t>2017 Noviembre</t>
  </si>
  <si>
    <t>2017 Diciembre</t>
  </si>
  <si>
    <t>2018 Enero</t>
  </si>
  <si>
    <t>2018 Febrero</t>
  </si>
  <si>
    <t>2018 Marzo</t>
  </si>
  <si>
    <t>2018 Abril</t>
  </si>
  <si>
    <t>2018 Mayo</t>
  </si>
  <si>
    <t>2018 Junio</t>
  </si>
  <si>
    <t>2018 Julio</t>
  </si>
  <si>
    <t>2018 Agosto</t>
  </si>
  <si>
    <t>2018 Septiembre</t>
  </si>
  <si>
    <t>2018 Octubre</t>
  </si>
  <si>
    <t>2018 Noviembre</t>
  </si>
  <si>
    <t>2018 Diciembre</t>
  </si>
  <si>
    <t>Régimen anual</t>
  </si>
  <si>
    <t>Régimen hiperanual</t>
  </si>
  <si>
    <t>Conjunto</t>
  </si>
  <si>
    <r>
      <t>Evolución de las reservas hidroeléctricas peninsulares</t>
    </r>
    <r>
      <rPr>
        <b/>
        <sz val="8"/>
        <color indexed="8"/>
        <rFont val="Arial"/>
        <family val="2"/>
      </rPr>
      <t xml:space="preserve">
</t>
    </r>
  </si>
  <si>
    <t>Máximo y mínimo estadístico: media de los valores máximos y mínimos de los últimos 20 años.</t>
  </si>
  <si>
    <t>Evolución de la red de transporte peninsular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</si>
  <si>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Datos provisionales pendientes de auditoría en curso.</t>
    </r>
  </si>
  <si>
    <t>Evolución de la red de transporte de energía eléctrica peninsular</t>
  </si>
  <si>
    <t>Capacidad de transformación (MVA)</t>
  </si>
  <si>
    <t>Circuito ≤ 220 Kv (km)</t>
  </si>
  <si>
    <t>Francia</t>
  </si>
  <si>
    <t>Portugal</t>
  </si>
  <si>
    <t>Andorra</t>
  </si>
  <si>
    <t>Marruecos</t>
  </si>
  <si>
    <t>Saldos de los intercambios internacionales físicos de energía eléctrica</t>
  </si>
  <si>
    <t>Saldo positivo: importador, saldo negativo; exportador</t>
  </si>
  <si>
    <t>Entrada</t>
  </si>
  <si>
    <t>Salida</t>
  </si>
  <si>
    <t>Saldo</t>
  </si>
  <si>
    <t>Adrall-Margineda</t>
  </si>
  <si>
    <t>Irún-Errondenia</t>
  </si>
  <si>
    <t>Arkale-Argia</t>
  </si>
  <si>
    <t>Hernani-Argia</t>
  </si>
  <si>
    <t>Biescas-Pragneres</t>
  </si>
  <si>
    <t>Benós-Lac D'Oo</t>
  </si>
  <si>
    <t>Santa Llogaia-Baixas</t>
  </si>
  <si>
    <t>Vic-Baixas</t>
  </si>
  <si>
    <t>Cartelle-Lindoso</t>
  </si>
  <si>
    <t>Conchas-Lindoso</t>
  </si>
  <si>
    <t>Aldeadávila-Lagoaça</t>
  </si>
  <si>
    <t>Aldeadávila-Pocinho 1</t>
  </si>
  <si>
    <t>Aldeadávila-Pocinho 2</t>
  </si>
  <si>
    <t>Saucelle-Pocinho</t>
  </si>
  <si>
    <t>Cedillo-Falagueira</t>
  </si>
  <si>
    <t>Badajoz-Alcáçovas</t>
  </si>
  <si>
    <t>Brovales-Alqueva</t>
  </si>
  <si>
    <t>Encinasola-Barrancos</t>
  </si>
  <si>
    <t>Puebla de Guzman-Tavira</t>
  </si>
  <si>
    <t>P. de la Cruz_Melloussa</t>
  </si>
  <si>
    <t>Acumulado (%)</t>
  </si>
  <si>
    <t>Islas Baleares</t>
  </si>
  <si>
    <t>Sistemas no peninsulares</t>
  </si>
  <si>
    <t>Balance de energía eléctrica sistema Islas Baleares (GWh)</t>
  </si>
  <si>
    <t>Motores diésel</t>
  </si>
  <si>
    <t>Balance de energía eléctrica sistema Islas Canarias (GWh)</t>
  </si>
  <si>
    <t>Balance de energía eléctrica sistema Ceuta (GWh)</t>
  </si>
  <si>
    <t>Balance de energía eléctrica sistema Melilla (GWh)</t>
  </si>
  <si>
    <r>
      <t xml:space="preserve">Variación anual de la demanda eléctrica peninsular
</t>
    </r>
    <r>
      <rPr>
        <sz val="8"/>
        <color indexed="8"/>
        <rFont val="Arial"/>
        <family val="2"/>
      </rPr>
      <t>Año móvil</t>
    </r>
  </si>
  <si>
    <t>Variación anual de la demanda eléctrica Islas Baleares (Año móvil)  (%)</t>
  </si>
  <si>
    <t>Variación anual de la demanda eléctrica Islas Canarias (Año móvil)  (%)</t>
  </si>
  <si>
    <t>Evolución de la red de transporte de energía eléctrica no peninsular</t>
  </si>
  <si>
    <t>Circuito 220 kV (km)</t>
  </si>
  <si>
    <t>Evolución de la red de transporte no penisular (km de circuito)</t>
  </si>
  <si>
    <t>Evolución de la red de transporte penisular (km de circuito)</t>
  </si>
  <si>
    <t>Variación respecto al mismo período del año anterior.</t>
  </si>
  <si>
    <t>Evolución mensual de la demanda eléctrica no peninsular</t>
  </si>
  <si>
    <t>(MWh)</t>
  </si>
  <si>
    <t>Demanda diaria (MWh)</t>
  </si>
  <si>
    <t>Invierno (enero-mayo/octubre-diciembre)</t>
  </si>
  <si>
    <t>Verano (junio-septiembre)</t>
  </si>
  <si>
    <t>Rosal de la Frontera-Ficalho</t>
  </si>
  <si>
    <t>17 de febrero (20-21 h)</t>
  </si>
  <si>
    <t>6 de septiembre (13-14 h)</t>
  </si>
  <si>
    <t>18 de enero (20-21 h)</t>
  </si>
  <si>
    <t>13 de julio (13-14 h)</t>
  </si>
  <si>
    <t>8 de febrero (20-21 h)</t>
  </si>
  <si>
    <t>3 de agosto (13-14 h)</t>
  </si>
  <si>
    <t>Datos brutos</t>
  </si>
  <si>
    <t>Datos corregidos de laboralidad</t>
  </si>
  <si>
    <t>Corregidos de laboralidad y temperatura</t>
  </si>
  <si>
    <t>Otras activ.</t>
  </si>
  <si>
    <t>IRE: Componentes de la variación (%)</t>
  </si>
  <si>
    <t>(20-21 h)</t>
  </si>
  <si>
    <t>MWh</t>
  </si>
  <si>
    <t>Carbon</t>
  </si>
  <si>
    <t>Total Emisiones (tCO2)</t>
  </si>
  <si>
    <t>Factor emisión (tCO2/MWh)</t>
  </si>
  <si>
    <t>Evolución de la demanda eléctrica no peninsular</t>
  </si>
  <si>
    <r>
      <t xml:space="preserve">Variación anual de la demanda eléctrica 
</t>
    </r>
    <r>
      <rPr>
        <sz val="8"/>
        <color indexed="8"/>
        <rFont val="Arial"/>
        <family val="2"/>
      </rPr>
      <t>Islas Baleares (Año móvil)</t>
    </r>
  </si>
  <si>
    <r>
      <t xml:space="preserve">Variación anual de la demanda eléctrica 
</t>
    </r>
    <r>
      <rPr>
        <sz val="8"/>
        <color indexed="8"/>
        <rFont val="Arial"/>
        <family val="2"/>
      </rPr>
      <t>Islas Canarias (Año móvil)</t>
    </r>
  </si>
  <si>
    <t>Balance de energía eléctrica no peninsular (GWh)</t>
  </si>
  <si>
    <t>Balance de energía eléctrica nacional (GWh)</t>
  </si>
  <si>
    <t>Saldo intercambios internacionales físicos</t>
  </si>
  <si>
    <t>Evolución de la potencia instalada Islas Baleares (MW)</t>
  </si>
  <si>
    <t>Evolución de la potencia instalada Islas Canarias (MW)</t>
  </si>
  <si>
    <t>Evolución de la potencia instalada Ceuta (MW)</t>
  </si>
  <si>
    <t>Evolución de la potencia instalada Melilla (MW)</t>
  </si>
  <si>
    <t>Evolución de la potencia instalada no peninsular (MW)</t>
  </si>
  <si>
    <t>Comunidad Valenciana</t>
  </si>
  <si>
    <t>Castilla León</t>
  </si>
  <si>
    <t>Demanda eléctrica por CC.AA. y variación respecto al año anterior</t>
  </si>
  <si>
    <t>Demanda (GWh)</t>
  </si>
  <si>
    <t>Variación (%)</t>
  </si>
  <si>
    <t>Potencia (MW)</t>
  </si>
  <si>
    <t xml:space="preserve"> &gt; 10.000</t>
  </si>
  <si>
    <t xml:space="preserve"> &gt; 4.000 a ≤ 10.000</t>
  </si>
  <si>
    <t>≤  1.000 MW</t>
  </si>
  <si>
    <r>
      <rPr>
        <sz val="8"/>
        <color rgb="FF004563"/>
        <rFont val="Calibri"/>
        <family val="2"/>
      </rPr>
      <t xml:space="preserve"> &gt;</t>
    </r>
    <r>
      <rPr>
        <sz val="8"/>
        <color rgb="FF004563"/>
        <rFont val="Arial"/>
        <family val="2"/>
      </rPr>
      <t xml:space="preserve"> 1.000 a </t>
    </r>
    <r>
      <rPr>
        <sz val="8"/>
        <color rgb="FF004563"/>
        <rFont val="Calibri"/>
        <family val="2"/>
      </rPr>
      <t xml:space="preserve">≤ </t>
    </r>
    <r>
      <rPr>
        <sz val="8"/>
        <color rgb="FF004563"/>
        <rFont val="Arial"/>
        <family val="2"/>
      </rPr>
      <t>4.000 MW</t>
    </r>
  </si>
  <si>
    <t>Circuito 132 kV (km)</t>
  </si>
  <si>
    <t>Circuito ≤ 132 kV (km)</t>
  </si>
  <si>
    <t>Datos de kilómetros de circuito acumulados a 31 de diciembre de cada año. Incluye los activos de la red de transporte del resto de empresas.</t>
  </si>
  <si>
    <t>Datos de kilómetros de circuito y de capacidad de transformación acumulados a 31 de diciembre de cada año. Incluye los activos de la red de transporte del resto de empresas.</t>
  </si>
  <si>
    <r>
      <t xml:space="preserve">Cobertura de la demanda eléctrica peninsular 
</t>
    </r>
    <r>
      <rPr>
        <sz val="8"/>
        <color indexed="8"/>
        <rFont val="Arial"/>
        <family val="2"/>
      </rPr>
      <t>Año 2019</t>
    </r>
  </si>
  <si>
    <r>
      <t xml:space="preserve">Cobertura de la demanda  eléctrica 
</t>
    </r>
    <r>
      <rPr>
        <sz val="8"/>
        <color indexed="8"/>
        <rFont val="Arial"/>
        <family val="2"/>
      </rPr>
      <t>Islas Canarias</t>
    </r>
    <r>
      <rPr>
        <b/>
        <sz val="8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 xml:space="preserve">Año 2019
</t>
    </r>
  </si>
  <si>
    <t>Balance de energía eléctrica nacional por CC.AA. 2019 (GWh)</t>
  </si>
  <si>
    <t>Desglose de potencia instalada a 31.12.2019. Sistema eléctrico nacional por CC.AA. (MW)</t>
  </si>
  <si>
    <t>Cobertura de la demanda anual de energía eléctrica peninsular 2019</t>
  </si>
  <si>
    <t>2019 Diciembre</t>
  </si>
  <si>
    <t>2019 Enero</t>
  </si>
  <si>
    <t>2019 Febrero</t>
  </si>
  <si>
    <t>2019 Marzo</t>
  </si>
  <si>
    <t>2019 Abril</t>
  </si>
  <si>
    <t>2019 Mayo</t>
  </si>
  <si>
    <t>2019 Junio</t>
  </si>
  <si>
    <t>2019 Julio</t>
  </si>
  <si>
    <t>2019 Agosto</t>
  </si>
  <si>
    <t>2019 Septiembre</t>
  </si>
  <si>
    <t>2019 Octubre</t>
  </si>
  <si>
    <t>2019 Noviembre</t>
  </si>
  <si>
    <t xml:space="preserve">Cobertura de la demanda  eléctrica. Islas Baleares (Año 2019)
</t>
  </si>
  <si>
    <t>Potencia instalada a 31.12.2019. Sistema eléctrico Islas Canarias</t>
  </si>
  <si>
    <t xml:space="preserve">Cobertura de la demanda  eléctrica. Islas Canarias (Año 2019)
</t>
  </si>
  <si>
    <t>Aereo</t>
  </si>
  <si>
    <t>Subterráneo</t>
  </si>
  <si>
    <t>Resto empresas</t>
  </si>
  <si>
    <t>11 de enero</t>
  </si>
  <si>
    <t>24 de julio</t>
  </si>
  <si>
    <t>22 enero</t>
  </si>
  <si>
    <t>10 de enero (20-21 h)</t>
  </si>
  <si>
    <t>24 de julio (13-14 h)</t>
  </si>
  <si>
    <t>23 enero (20-21 h)</t>
  </si>
  <si>
    <r>
      <t>Generación sin emisiones CO</t>
    </r>
    <r>
      <rPr>
        <b/>
        <vertAlign val="subscript"/>
        <sz val="8"/>
        <color rgb="FF004563"/>
        <rFont val="Arial"/>
        <family val="2"/>
      </rPr>
      <t>2</t>
    </r>
  </si>
  <si>
    <r>
      <t>Generación con emisiones CO</t>
    </r>
    <r>
      <rPr>
        <b/>
        <vertAlign val="subscript"/>
        <sz val="8"/>
        <color rgb="FF004563"/>
        <rFont val="Arial"/>
        <family val="2"/>
      </rPr>
      <t>2</t>
    </r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</si>
  <si>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</si>
  <si>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</si>
  <si>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Evolución de la generación eléctrica nacional renovable y no renovable (%)</t>
  </si>
  <si>
    <t>Renovables: hidráulica, hidroeólica, eólica, solar fotovoltaica, solar térmica, otras renovables y residuos renovables.</t>
  </si>
  <si>
    <t>Sin emisiones CO2: hidráulica, turbinación bombeo, nuclear, hidroeólica, eólica, solar fotovoltaica, solar térmica, otras renovables y residuos renovables.</t>
  </si>
  <si>
    <r>
      <t xml:space="preserve">Solar fotovoltaica </t>
    </r>
    <r>
      <rPr>
        <vertAlign val="superscript"/>
        <sz val="8"/>
        <color rgb="FF004563"/>
        <rFont val="Arial"/>
        <family val="2"/>
      </rPr>
      <t>(1)</t>
    </r>
  </si>
  <si>
    <t>Renovable</t>
  </si>
  <si>
    <t>No renovable</t>
  </si>
  <si>
    <t>Avance 2020</t>
  </si>
  <si>
    <r>
      <t xml:space="preserve">2020 </t>
    </r>
    <r>
      <rPr>
        <b/>
        <vertAlign val="superscript"/>
        <sz val="8"/>
        <color rgb="FF004563"/>
        <rFont val="Arial"/>
        <family val="2"/>
      </rPr>
      <t>(1)</t>
    </r>
  </si>
  <si>
    <r>
      <t xml:space="preserve">2020 </t>
    </r>
    <r>
      <rPr>
        <b/>
        <vertAlign val="superscript"/>
        <sz val="8"/>
        <color theme="0"/>
        <rFont val="Arial"/>
        <family val="2"/>
      </rPr>
      <t>(1)</t>
    </r>
  </si>
  <si>
    <t>Información elaborada con datos a 13/01/2021</t>
  </si>
  <si>
    <t>Potencia instalada por CC.AA. a 31.12.2020</t>
  </si>
  <si>
    <t>Datos de kilómetros de circuito y de capacidad de transformación acumulados a 31 de diciembre de 2020. Incluye los activos de la red de transporte del resto de empresas.</t>
  </si>
  <si>
    <r>
      <t xml:space="preserve">Variación mensual de la demanda eléctrica peninsular
</t>
    </r>
    <r>
      <rPr>
        <sz val="8"/>
        <color indexed="8"/>
        <rFont val="Arial"/>
        <family val="2"/>
      </rPr>
      <t>Año 2020</t>
    </r>
  </si>
  <si>
    <r>
      <t xml:space="preserve">Componentes de la variación de la demanda eléctrica mensual peninsular
</t>
    </r>
    <r>
      <rPr>
        <sz val="8"/>
        <color indexed="8"/>
        <rFont val="Arial"/>
        <family val="2"/>
      </rPr>
      <t>Año 2020</t>
    </r>
  </si>
  <si>
    <r>
      <t xml:space="preserve">IRE: Componentes de la variación
</t>
    </r>
    <r>
      <rPr>
        <sz val="8"/>
        <color indexed="8"/>
        <rFont val="Arial"/>
        <family val="2"/>
      </rPr>
      <t>Año 2020</t>
    </r>
  </si>
  <si>
    <r>
      <t xml:space="preserve">Potencia eléctrica instalada peninsular
</t>
    </r>
    <r>
      <rPr>
        <sz val="8"/>
        <color indexed="8"/>
        <rFont val="Arial"/>
        <family val="2"/>
      </rPr>
      <t>a 31 de diciembre de 2020</t>
    </r>
    <r>
      <rPr>
        <b/>
        <sz val="8"/>
        <color indexed="8"/>
        <rFont val="Arial"/>
        <family val="2"/>
      </rPr>
      <t xml:space="preserve">
</t>
    </r>
  </si>
  <si>
    <r>
      <t xml:space="preserve">Cobertura de la demanda eléctrica peninsular 
</t>
    </r>
    <r>
      <rPr>
        <sz val="8"/>
        <color indexed="8"/>
        <rFont val="Arial"/>
        <family val="2"/>
      </rPr>
      <t>Año 2020</t>
    </r>
  </si>
  <si>
    <r>
      <t xml:space="preserve">Cobertura de la demanda  eléctrica. 
</t>
    </r>
    <r>
      <rPr>
        <sz val="8"/>
        <color indexed="8"/>
        <rFont val="Arial"/>
        <family val="2"/>
      </rPr>
      <t>Máxima horaria peninsular 2020</t>
    </r>
  </si>
  <si>
    <t>Energía producible hidráulica diaria peninsular 2020 comparada con el producible medio histórico</t>
  </si>
  <si>
    <r>
      <t xml:space="preserve">Reservas hidroeléctricas peninsulares 
</t>
    </r>
    <r>
      <rPr>
        <sz val="8"/>
        <color indexed="8"/>
        <rFont val="Arial"/>
        <family val="2"/>
      </rPr>
      <t>a 31 de diciembre de 2020</t>
    </r>
  </si>
  <si>
    <r>
      <t xml:space="preserve">Intercambios internacionales físicos de energía eléctrica
</t>
    </r>
    <r>
      <rPr>
        <sz val="8"/>
        <color indexed="8"/>
        <rFont val="Arial"/>
        <family val="2"/>
      </rPr>
      <t>Año 2020</t>
    </r>
  </si>
  <si>
    <r>
      <t xml:space="preserve">Componentes de la variación de la demanda eléctrica mensual 
</t>
    </r>
    <r>
      <rPr>
        <sz val="8"/>
        <color indexed="8"/>
        <rFont val="Arial"/>
        <family val="2"/>
      </rPr>
      <t>Islas Baleares (Año 2020)</t>
    </r>
  </si>
  <si>
    <r>
      <t xml:space="preserve">Componentes de la variación de la demanda eléctrica mensual 
</t>
    </r>
    <r>
      <rPr>
        <sz val="8"/>
        <color indexed="8"/>
        <rFont val="Arial"/>
        <family val="2"/>
      </rPr>
      <t>Islas Canarias (Año 2020)</t>
    </r>
  </si>
  <si>
    <r>
      <t xml:space="preserve">Variación mensual de la demanda eléctrica no peninsular 
</t>
    </r>
    <r>
      <rPr>
        <sz val="8"/>
        <color indexed="8"/>
        <rFont val="Arial"/>
        <family val="2"/>
      </rPr>
      <t>Año 2020</t>
    </r>
  </si>
  <si>
    <r>
      <t xml:space="preserve">Máximos anuales de demanda no peninsular
</t>
    </r>
    <r>
      <rPr>
        <sz val="8"/>
        <color indexed="8"/>
        <rFont val="Arial"/>
        <family val="2"/>
      </rPr>
      <t>Año 2020</t>
    </r>
  </si>
  <si>
    <r>
      <t>Potencia eléctrica instalada</t>
    </r>
    <r>
      <rPr>
        <sz val="8"/>
        <color indexed="8"/>
        <rFont val="Arial"/>
        <family val="2"/>
      </rPr>
      <t xml:space="preserve">
</t>
    </r>
    <r>
      <rPr>
        <b/>
        <sz val="8"/>
        <color indexed="8"/>
        <rFont val="Arial"/>
        <family val="2"/>
      </rPr>
      <t xml:space="preserve">Islas Baleares
</t>
    </r>
    <r>
      <rPr>
        <sz val="8"/>
        <color rgb="FF004563"/>
        <rFont val="Arial"/>
        <family val="2"/>
      </rPr>
      <t>a 31 de diciembre de 2020</t>
    </r>
  </si>
  <si>
    <r>
      <t xml:space="preserve">Cobertura de la demanda  eléctrica 
</t>
    </r>
    <r>
      <rPr>
        <sz val="8"/>
        <color indexed="8"/>
        <rFont val="Arial"/>
        <family val="2"/>
      </rPr>
      <t>Islas Canarias</t>
    </r>
    <r>
      <rPr>
        <b/>
        <sz val="8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 xml:space="preserve">Año 2020
</t>
    </r>
  </si>
  <si>
    <t>Balance de energía eléctrica nacional por CC.AA. 2020 (GWh)</t>
  </si>
  <si>
    <t>Desglose de potencia instalada a 31.12.2020. Sistema eléctrico nacional por CC.AA. (MW)</t>
  </si>
  <si>
    <t>Potencia instalada a 31.12.2020 por CC.AA. (MW)</t>
  </si>
  <si>
    <t>Componentes de la variación de la demanda eléctrica mensual peninsular. Año 2020 (%)</t>
  </si>
  <si>
    <t>Potencia instalada a 31.12.2020. Sistema eléctrico peninsular</t>
  </si>
  <si>
    <t>Cobertura de la demanda anual de energía eléctrica peninsular 2020</t>
  </si>
  <si>
    <t>Cobertura de la demanda eléctrica. Máxima horaria peninsular 20 de enero de 2020 (20-21 h)</t>
  </si>
  <si>
    <t>%20/19</t>
  </si>
  <si>
    <r>
      <t>Evolución de las emisiones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eq. asociadas a la generación eléctrica peninsular (tCO</t>
    </r>
    <r>
      <rPr>
        <b/>
        <vertAlign val="subscript"/>
        <sz val="8"/>
        <color indexed="8"/>
        <rFont val="Arial"/>
        <family val="2"/>
      </rPr>
      <t xml:space="preserve">2 </t>
    </r>
    <r>
      <rPr>
        <b/>
        <sz val="8"/>
        <color rgb="FF004563"/>
        <rFont val="Arial"/>
        <family val="2"/>
      </rPr>
      <t>eq.</t>
    </r>
    <r>
      <rPr>
        <b/>
        <sz val="8"/>
        <color indexed="8"/>
        <rFont val="Arial"/>
        <family val="2"/>
      </rPr>
      <t>)</t>
    </r>
  </si>
  <si>
    <t>Intercambios internacionales físicos de energía eléctrica. Año 2020 (GWh)</t>
  </si>
  <si>
    <t>20 de enero (20-21 h)</t>
  </si>
  <si>
    <t>30 de julio (13-14 h)</t>
  </si>
  <si>
    <t>21 de enero</t>
  </si>
  <si>
    <t>30 de julio</t>
  </si>
  <si>
    <t>Balance de energía eléctrica nacional por CC.AA. Variación 2020/2019 (%)</t>
  </si>
  <si>
    <t>Desglose de potencia instalada. Variación 2020/2019. Sistema eléctrico nacional por CC.AA. (%)</t>
  </si>
  <si>
    <t>39.997 MWh</t>
  </si>
  <si>
    <t>20 enero de 2020</t>
  </si>
  <si>
    <r>
      <t>Evolución de las emisiones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eq. asociadas a la generación eléctrica peninsular </t>
    </r>
  </si>
  <si>
    <r>
      <t>(Mill.tCO</t>
    </r>
    <r>
      <rPr>
        <b/>
        <vertAlign val="subscript"/>
        <sz val="8"/>
        <color indexed="8"/>
        <rFont val="Arial"/>
        <family val="2"/>
      </rPr>
      <t xml:space="preserve">2 </t>
    </r>
    <r>
      <rPr>
        <b/>
        <sz val="8"/>
        <color rgb="FF004563"/>
        <rFont val="Arial"/>
        <family val="2"/>
      </rPr>
      <t>eq.</t>
    </r>
    <r>
      <rPr>
        <b/>
        <sz val="8"/>
        <color indexed="8"/>
        <rFont val="Arial"/>
        <family val="2"/>
      </rPr>
      <t>)</t>
    </r>
  </si>
  <si>
    <t>Energía producible hidráulica diaria durante 2020 comparada con el producible medio histórico (GWh)</t>
  </si>
  <si>
    <t>Reservas hidroeléctricas. Evolución 2016-2020 (GWh)</t>
  </si>
  <si>
    <t>2020 Enero</t>
  </si>
  <si>
    <t>2020 Febrero</t>
  </si>
  <si>
    <t>2020 Marzo</t>
  </si>
  <si>
    <t>2020 Abril</t>
  </si>
  <si>
    <t>2020 Mayo</t>
  </si>
  <si>
    <t>2020 Junio</t>
  </si>
  <si>
    <t>2020 Julio</t>
  </si>
  <si>
    <t>2020 Agosto</t>
  </si>
  <si>
    <t>2020 Septiembre</t>
  </si>
  <si>
    <t>2020 Octubre</t>
  </si>
  <si>
    <t>2020 Noviembre</t>
  </si>
  <si>
    <t>2020 Diciembre</t>
  </si>
  <si>
    <t>Componentes de la variación de la demanda eléctrica mensual Islas Baleares. Año 2020 (%)</t>
  </si>
  <si>
    <t>Componentes de la variación de la demanda eléctrica mensual Islas Canarias. Año 2020 (%)</t>
  </si>
  <si>
    <t>% 2020/2019</t>
  </si>
  <si>
    <t>Potencia instalada a 31.12.2020. Sistema eléctrico Islas Baleares</t>
  </si>
  <si>
    <t xml:space="preserve">Cobertura de la demanda  eléctrica. Islas Baleares (Año 2020)
</t>
  </si>
  <si>
    <t xml:space="preserve">Cobertura de la demanda  eléctrica. Islas Canarias (Año 2020)
</t>
  </si>
  <si>
    <r>
      <t xml:space="preserve">Potencia eléctrica instalada
a 31 de diciembre de 2020
</t>
    </r>
    <r>
      <rPr>
        <sz val="8"/>
        <color rgb="FF004563"/>
        <rFont val="Arial"/>
        <family val="2"/>
      </rPr>
      <t>Islas Canarias</t>
    </r>
    <r>
      <rPr>
        <b/>
        <sz val="8"/>
        <color indexed="8"/>
        <rFont val="Arial"/>
        <family val="2"/>
      </rPr>
      <t xml:space="preserve">
</t>
    </r>
  </si>
  <si>
    <r>
      <t xml:space="preserve">Cobertura de la demanda  eléctrica </t>
    </r>
    <r>
      <rPr>
        <sz val="8"/>
        <color indexed="8"/>
        <rFont val="Arial"/>
        <family val="2"/>
      </rPr>
      <t xml:space="preserve">
</t>
    </r>
    <r>
      <rPr>
        <sz val="8"/>
        <color rgb="FF004563"/>
        <rFont val="Arial"/>
        <family val="2"/>
      </rPr>
      <t xml:space="preserve">Islas Baleares
Año 2020
</t>
    </r>
    <r>
      <rPr>
        <sz val="8"/>
        <color indexed="8"/>
        <rFont val="Arial"/>
        <family val="2"/>
      </rPr>
      <t xml:space="preserve">
</t>
    </r>
  </si>
  <si>
    <r>
      <t xml:space="preserve">Cobertura de la demanda  eléctrica </t>
    </r>
    <r>
      <rPr>
        <sz val="8"/>
        <color indexed="8"/>
        <rFont val="Arial"/>
        <family val="2"/>
      </rPr>
      <t xml:space="preserve">
</t>
    </r>
    <r>
      <rPr>
        <sz val="8"/>
        <color rgb="FF004563"/>
        <rFont val="Arial"/>
        <family val="2"/>
      </rPr>
      <t xml:space="preserve">Islas Baleares
Año 2019
</t>
    </r>
    <r>
      <rPr>
        <b/>
        <sz val="8"/>
        <color indexed="8"/>
        <rFont val="Arial"/>
        <family val="2"/>
      </rPr>
      <t xml:space="preserve">
</t>
    </r>
  </si>
  <si>
    <t>13 enero (20-21 h)</t>
  </si>
  <si>
    <t>31 julio (13-14 h)</t>
  </si>
  <si>
    <t>27 agosto (13-14 h)</t>
  </si>
  <si>
    <t>21 enero (21-22 h)</t>
  </si>
  <si>
    <t>11 agosto (13-14 h)</t>
  </si>
  <si>
    <t>5 agosto (13-14 h)</t>
  </si>
  <si>
    <t>13 enero</t>
  </si>
  <si>
    <t>31 julio</t>
  </si>
  <si>
    <t>21 enero</t>
  </si>
  <si>
    <t>27 agosto</t>
  </si>
  <si>
    <t>25 agosto</t>
  </si>
  <si>
    <t>3 agosto</t>
  </si>
  <si>
    <t>≥  -3 %</t>
  </si>
  <si>
    <t>≥ -5,5 a &lt; -3 %</t>
  </si>
  <si>
    <t>≥  -6,5 a &lt; -5,5 %</t>
  </si>
  <si>
    <t>&lt;  -6,5 %</t>
  </si>
  <si>
    <t>Definitivo: Hasta 29/02/2020 </t>
  </si>
  <si>
    <t>Estimado: Hasta 31/12/2020</t>
  </si>
  <si>
    <t>Provisional: Hasta 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</si>
</sst>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0_)"/>
    <numFmt numFmtId="165" formatCode="0.0_)"/>
    <numFmt numFmtId="166" formatCode="0.0"/>
    <numFmt numFmtId="167" formatCode="#,##0.0"/>
    <numFmt numFmtId="168" formatCode="#,##0.000"/>
    <numFmt numFmtId="169" formatCode="0.00_)"/>
    <numFmt numFmtId="170" formatCode="[$-C0A]d\-mmm\-yy;@"/>
    <numFmt numFmtId="171" formatCode="0.0\ \ \ \ _)"/>
    <numFmt numFmtId="172" formatCode="0\ \ \ \ _)"/>
    <numFmt numFmtId="173" formatCode="#,##0\ \ \ _)"/>
    <numFmt numFmtId="174" formatCode="#,##0.0\ \ \ _)"/>
    <numFmt numFmtId="175" formatCode="#,##0\ _)"/>
    <numFmt numFmtId="176" formatCode="#,##0.00\ _)"/>
    <numFmt numFmtId="177" formatCode="mmm\-yyyy"/>
    <numFmt numFmtId="178" formatCode="#,##0.0000"/>
    <numFmt numFmtId="179" formatCode="#,##0.00000"/>
    <numFmt numFmtId="180" formatCode="0.000"/>
    <numFmt numFmtId="181" formatCode="0.0\ \ \ _)"/>
    <numFmt numFmtId="182" formatCode="0.0000_)"/>
    <numFmt numFmtId="183" formatCode="0.00000_)"/>
    <numFmt numFmtId="184" formatCode="0.00000000"/>
    <numFmt numFmtId="185" formatCode="#,##0.000000"/>
    <numFmt numFmtId="186" formatCode="0.000000"/>
    <numFmt numFmtId="187" formatCode="0.000000000"/>
    <numFmt numFmtId="188" formatCode="#,##0.0000000"/>
  </numFmts>
  <fonts count="64">
    <font>
      <sz val="10"/>
      <name val="Avant Gard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vant Garde"/>
    </font>
    <font>
      <sz val="10"/>
      <name val="Geneva"/>
      <family val="2"/>
    </font>
    <font>
      <sz val="10"/>
      <name val="Arial"/>
      <family val="2"/>
    </font>
    <font>
      <sz val="8"/>
      <color indexed="32"/>
      <name val="Arial"/>
      <family val="2"/>
    </font>
    <font>
      <sz val="10"/>
      <color indexed="3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32"/>
      <name val="Avant Garde"/>
    </font>
    <font>
      <b/>
      <sz val="8"/>
      <color indexed="32"/>
      <name val="Arial"/>
      <family val="2"/>
    </font>
    <font>
      <sz val="9"/>
      <name val="Avant Garde"/>
    </font>
    <font>
      <b/>
      <sz val="10"/>
      <color rgb="FF004563"/>
      <name val="Arial"/>
      <family val="2"/>
    </font>
    <font>
      <sz val="8"/>
      <color rgb="FF004563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04563"/>
      <name val="Arial"/>
      <family val="2"/>
    </font>
    <font>
      <sz val="10"/>
      <name val="Geneva"/>
    </font>
    <font>
      <b/>
      <sz val="8"/>
      <color indexed="9"/>
      <name val="Arial"/>
      <family val="2"/>
    </font>
    <font>
      <sz val="8"/>
      <color indexed="56"/>
      <name val="Arial"/>
      <family val="2"/>
    </font>
    <font>
      <vertAlign val="superscript"/>
      <sz val="8"/>
      <color rgb="FF004563"/>
      <name val="Arial"/>
      <family val="2"/>
    </font>
    <font>
      <vertAlign val="superscript"/>
      <sz val="8"/>
      <color indexed="8"/>
      <name val="Arial"/>
      <family val="2"/>
    </font>
    <font>
      <sz val="8"/>
      <color rgb="FFFF0000"/>
      <name val="Arial"/>
      <family val="2"/>
    </font>
    <font>
      <sz val="8"/>
      <color indexed="9"/>
      <name val="Arial"/>
      <family val="2"/>
    </font>
    <font>
      <sz val="10"/>
      <color rgb="FF004563"/>
      <name val="Geneva"/>
    </font>
    <font>
      <sz val="8"/>
      <color theme="0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Geneva"/>
    </font>
    <font>
      <sz val="10"/>
      <color indexed="56"/>
      <name val="Geneva"/>
    </font>
    <font>
      <b/>
      <sz val="10"/>
      <color indexed="8"/>
      <name val="Geneva"/>
    </font>
    <font>
      <b/>
      <sz val="8"/>
      <color theme="0"/>
      <name val="Symbol"/>
      <family val="1"/>
      <charset val="2"/>
    </font>
    <font>
      <sz val="10"/>
      <color indexed="10"/>
      <name val="Geneva"/>
      <family val="2"/>
    </font>
    <font>
      <b/>
      <vertAlign val="superscript"/>
      <sz val="8"/>
      <color rgb="FF004563"/>
      <name val="Arial"/>
      <family val="2"/>
    </font>
    <font>
      <sz val="8"/>
      <color indexed="10"/>
      <name val="Arial"/>
      <family val="2"/>
    </font>
    <font>
      <sz val="8"/>
      <color rgb="FFFFF9E9"/>
      <name val="Arial"/>
      <family val="2"/>
    </font>
    <font>
      <b/>
      <vertAlign val="subscript"/>
      <sz val="8"/>
      <color indexed="8"/>
      <name val="Arial"/>
      <family val="2"/>
    </font>
    <font>
      <b/>
      <vertAlign val="superscript"/>
      <sz val="8"/>
      <color theme="0"/>
      <name val="Arial"/>
      <family val="2"/>
    </font>
    <font>
      <sz val="10"/>
      <color theme="1"/>
      <name val="Geneva"/>
      <family val="2"/>
    </font>
    <font>
      <u/>
      <sz val="10"/>
      <color rgb="FFFF0000"/>
      <name val="Avant Garde"/>
    </font>
    <font>
      <sz val="10"/>
      <color indexed="10"/>
      <name val="Arial"/>
      <family val="2"/>
    </font>
    <font>
      <sz val="8"/>
      <color theme="0" tint="-0.499984740745262"/>
      <name val="Arial"/>
      <family val="2"/>
    </font>
    <font>
      <sz val="8"/>
      <name val="Geneva"/>
    </font>
    <font>
      <sz val="10"/>
      <color rgb="FF004563"/>
      <name val="Geneva"/>
      <family val="2"/>
    </font>
    <font>
      <sz val="10"/>
      <color theme="0"/>
      <name val="Avant Garde"/>
    </font>
    <font>
      <sz val="8"/>
      <color theme="0"/>
      <name val="Geneva"/>
    </font>
    <font>
      <sz val="10"/>
      <color theme="0"/>
      <name val="Geneva"/>
    </font>
    <font>
      <sz val="11"/>
      <color rgb="FF9C6500"/>
      <name val="Calibri"/>
      <family val="2"/>
      <scheme val="minor"/>
    </font>
    <font>
      <sz val="8"/>
      <color rgb="FF004563"/>
      <name val="Calibri"/>
      <family val="2"/>
    </font>
    <font>
      <sz val="10"/>
      <color rgb="FFFF0000"/>
      <name val="Avant Garde"/>
    </font>
    <font>
      <sz val="10"/>
      <color rgb="FF004563"/>
      <name val="Avant Garde"/>
    </font>
    <font>
      <sz val="10"/>
      <color theme="0"/>
      <name val="Arial"/>
      <family val="2"/>
    </font>
    <font>
      <b/>
      <vertAlign val="subscript"/>
      <sz val="8"/>
      <color rgb="FF004563"/>
      <name val="Arial"/>
      <family val="2"/>
    </font>
    <font>
      <sz val="11"/>
      <color theme="1"/>
      <name val="Calibri"/>
      <family val="2"/>
    </font>
    <font>
      <sz val="8"/>
      <name val="Avant Garde"/>
    </font>
    <font>
      <sz val="9"/>
      <color rgb="FF00456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A0A0A0"/>
      </bottom>
      <diagonal/>
    </border>
    <border>
      <left/>
      <right/>
      <top style="thin">
        <color rgb="FFA0A0A0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21">
    <xf numFmtId="0" fontId="0" fillId="0" borderId="0"/>
    <xf numFmtId="0" fontId="5" fillId="0" borderId="0"/>
    <xf numFmtId="170" fontId="19" fillId="0" borderId="0"/>
    <xf numFmtId="0" fontId="6" fillId="0" borderId="0"/>
    <xf numFmtId="0" fontId="5" fillId="0" borderId="0"/>
    <xf numFmtId="0" fontId="22" fillId="0" borderId="0"/>
    <xf numFmtId="0" fontId="6" fillId="0" borderId="0"/>
    <xf numFmtId="164" fontId="22" fillId="0" borderId="0"/>
    <xf numFmtId="0" fontId="6" fillId="0" borderId="0"/>
    <xf numFmtId="0" fontId="6" fillId="0" borderId="0"/>
    <xf numFmtId="0" fontId="5" fillId="0" borderId="0"/>
    <xf numFmtId="0" fontId="22" fillId="0" borderId="0"/>
    <xf numFmtId="0" fontId="35" fillId="0" borderId="0" applyNumberFormat="0" applyFill="0" applyBorder="0" applyAlignment="0" applyProtection="0">
      <alignment vertical="top"/>
      <protection locked="0"/>
    </xf>
    <xf numFmtId="164" fontId="22" fillId="0" borderId="0"/>
    <xf numFmtId="0" fontId="6" fillId="0" borderId="0"/>
    <xf numFmtId="0" fontId="6" fillId="0" borderId="0"/>
    <xf numFmtId="0" fontId="6" fillId="0" borderId="0"/>
    <xf numFmtId="164" fontId="22" fillId="0" borderId="0"/>
    <xf numFmtId="0" fontId="3" fillId="0" borderId="0"/>
    <xf numFmtId="0" fontId="55" fillId="8" borderId="0" applyNumberFormat="0" applyBorder="0" applyAlignment="0" applyProtection="0"/>
    <xf numFmtId="0" fontId="2" fillId="0" borderId="0"/>
  </cellStyleXfs>
  <cellXfs count="559">
    <xf numFmtId="0" fontId="0" fillId="0" borderId="0" xfId="0"/>
    <xf numFmtId="0" fontId="9" fillId="0" borderId="0" xfId="0" applyFont="1"/>
    <xf numFmtId="0" fontId="9" fillId="0" borderId="0" xfId="0" applyFont="1" applyFill="1"/>
    <xf numFmtId="0" fontId="12" fillId="0" borderId="0" xfId="0" applyFont="1" applyFill="1"/>
    <xf numFmtId="0" fontId="11" fillId="0" borderId="0" xfId="6" applyFont="1" applyFill="1" applyAlignment="1" applyProtection="1">
      <alignment horizontal="right"/>
    </xf>
    <xf numFmtId="0" fontId="11" fillId="0" borderId="0" xfId="6" applyFont="1" applyFill="1" applyAlignment="1" applyProtection="1">
      <alignment horizontal="right"/>
    </xf>
    <xf numFmtId="0" fontId="11" fillId="0" borderId="0" xfId="5" applyFont="1" applyFill="1" applyBorder="1" applyAlignment="1" applyProtection="1"/>
    <xf numFmtId="164" fontId="13" fillId="0" borderId="0" xfId="7" applyFont="1" applyFill="1" applyBorder="1" applyAlignment="1" applyProtection="1">
      <alignment vertical="top" wrapText="1"/>
    </xf>
    <xf numFmtId="0" fontId="13" fillId="0" borderId="0" xfId="8" applyFont="1" applyFill="1" applyBorder="1" applyAlignment="1" applyProtection="1">
      <alignment vertical="top" wrapText="1"/>
    </xf>
    <xf numFmtId="0" fontId="18" fillId="3" borderId="0" xfId="9" applyFont="1" applyFill="1" applyBorder="1" applyAlignment="1"/>
    <xf numFmtId="164" fontId="12" fillId="3" borderId="0" xfId="7" applyFont="1" applyFill="1" applyBorder="1" applyAlignment="1" applyProtection="1">
      <alignment horizontal="left"/>
    </xf>
    <xf numFmtId="0" fontId="13" fillId="0" borderId="0" xfId="5" applyFont="1" applyFill="1" applyBorder="1" applyAlignment="1" applyProtection="1">
      <alignment vertical="top" wrapText="1"/>
    </xf>
    <xf numFmtId="3" fontId="13" fillId="3" borderId="4" xfId="10" applyNumberFormat="1" applyFont="1" applyFill="1" applyBorder="1" applyProtection="1"/>
    <xf numFmtId="0" fontId="18" fillId="0" borderId="0" xfId="8" applyFont="1" applyFill="1" applyBorder="1" applyProtection="1"/>
    <xf numFmtId="0" fontId="21" fillId="0" borderId="0" xfId="8" applyFont="1" applyFill="1" applyBorder="1" applyAlignment="1" applyProtection="1">
      <alignment horizontal="right"/>
    </xf>
    <xf numFmtId="0" fontId="17" fillId="0" borderId="0" xfId="6" applyFont="1" applyFill="1" applyAlignment="1" applyProtection="1">
      <alignment horizontal="right"/>
    </xf>
    <xf numFmtId="0" fontId="17" fillId="0" borderId="0" xfId="11" applyFont="1" applyFill="1" applyBorder="1" applyAlignment="1" applyProtection="1"/>
    <xf numFmtId="0" fontId="18" fillId="0" borderId="0" xfId="8" applyFont="1" applyFill="1" applyProtection="1"/>
    <xf numFmtId="3" fontId="18" fillId="3" borderId="0" xfId="9" applyNumberFormat="1" applyFont="1" applyFill="1" applyBorder="1" applyAlignment="1"/>
    <xf numFmtId="166" fontId="18" fillId="0" borderId="0" xfId="8" applyNumberFormat="1" applyFont="1" applyFill="1" applyProtection="1"/>
    <xf numFmtId="3" fontId="18" fillId="0" borderId="0" xfId="8" applyNumberFormat="1" applyFont="1" applyFill="1" applyProtection="1"/>
    <xf numFmtId="0" fontId="18" fillId="0" borderId="0" xfId="11" applyFont="1"/>
    <xf numFmtId="0" fontId="21" fillId="0" borderId="2" xfId="9" applyFont="1" applyFill="1" applyBorder="1" applyAlignment="1"/>
    <xf numFmtId="0" fontId="21" fillId="3" borderId="4" xfId="9" applyFont="1" applyFill="1" applyBorder="1" applyAlignment="1"/>
    <xf numFmtId="0" fontId="21" fillId="3" borderId="2" xfId="9" applyFont="1" applyFill="1" applyBorder="1" applyAlignment="1">
      <alignment horizontal="right" textRotation="90"/>
    </xf>
    <xf numFmtId="0" fontId="21" fillId="3" borderId="4" xfId="9" applyFont="1" applyFill="1" applyBorder="1" applyAlignment="1">
      <alignment horizontal="right" textRotation="90"/>
    </xf>
    <xf numFmtId="0" fontId="18" fillId="0" borderId="0" xfId="8" applyFont="1" applyFill="1" applyAlignment="1" applyProtection="1">
      <alignment textRotation="90"/>
    </xf>
    <xf numFmtId="3" fontId="18" fillId="3" borderId="0" xfId="9" applyNumberFormat="1" applyFont="1" applyFill="1" applyBorder="1" applyAlignment="1">
      <alignment horizontal="right"/>
    </xf>
    <xf numFmtId="3" fontId="30" fillId="0" borderId="0" xfId="8" applyNumberFormat="1" applyFont="1" applyFill="1" applyProtection="1"/>
    <xf numFmtId="166" fontId="27" fillId="0" borderId="0" xfId="8" applyNumberFormat="1" applyFont="1" applyFill="1" applyProtection="1"/>
    <xf numFmtId="0" fontId="21" fillId="3" borderId="2" xfId="9" applyFont="1" applyFill="1" applyBorder="1" applyAlignment="1"/>
    <xf numFmtId="3" fontId="21" fillId="3" borderId="2" xfId="9" applyNumberFormat="1" applyFont="1" applyFill="1" applyBorder="1" applyAlignment="1"/>
    <xf numFmtId="3" fontId="21" fillId="3" borderId="2" xfId="9" applyNumberFormat="1" applyFont="1" applyFill="1" applyBorder="1" applyAlignment="1">
      <alignment horizontal="right"/>
    </xf>
    <xf numFmtId="0" fontId="30" fillId="0" borderId="0" xfId="8" applyFont="1" applyFill="1" applyProtection="1"/>
    <xf numFmtId="3" fontId="21" fillId="3" borderId="4" xfId="9" applyNumberFormat="1" applyFont="1" applyFill="1" applyBorder="1" applyAlignment="1"/>
    <xf numFmtId="3" fontId="21" fillId="3" borderId="4" xfId="9" applyNumberFormat="1" applyFont="1" applyFill="1" applyBorder="1" applyAlignment="1">
      <alignment horizontal="right"/>
    </xf>
    <xf numFmtId="3" fontId="18" fillId="0" borderId="0" xfId="11" applyNumberFormat="1" applyFont="1"/>
    <xf numFmtId="168" fontId="18" fillId="0" borderId="0" xfId="11" applyNumberFormat="1" applyFont="1"/>
    <xf numFmtId="3" fontId="18" fillId="0" borderId="2" xfId="9" applyNumberFormat="1" applyFont="1" applyFill="1" applyBorder="1" applyAlignment="1"/>
    <xf numFmtId="3" fontId="30" fillId="0" borderId="2" xfId="9" applyNumberFormat="1" applyFont="1" applyFill="1" applyBorder="1" applyAlignment="1"/>
    <xf numFmtId="1" fontId="18" fillId="0" borderId="0" xfId="8" applyNumberFormat="1" applyFont="1" applyFill="1" applyProtection="1"/>
    <xf numFmtId="167" fontId="18" fillId="0" borderId="0" xfId="8" applyNumberFormat="1" applyFont="1" applyFill="1" applyProtection="1"/>
    <xf numFmtId="168" fontId="18" fillId="0" borderId="0" xfId="8" applyNumberFormat="1" applyFont="1" applyFill="1" applyProtection="1"/>
    <xf numFmtId="0" fontId="27" fillId="0" borderId="0" xfId="8" applyFont="1" applyFill="1" applyProtection="1"/>
    <xf numFmtId="3" fontId="21" fillId="0" borderId="0" xfId="10" applyNumberFormat="1" applyFont="1" applyFill="1" applyBorder="1" applyProtection="1"/>
    <xf numFmtId="0" fontId="22" fillId="0" borderId="0" xfId="11" applyFill="1" applyProtection="1"/>
    <xf numFmtId="0" fontId="5" fillId="0" borderId="0" xfId="11" applyFont="1" applyFill="1" applyProtection="1"/>
    <xf numFmtId="0" fontId="31" fillId="0" borderId="0" xfId="11" applyFont="1" applyFill="1" applyBorder="1" applyProtection="1"/>
    <xf numFmtId="0" fontId="11" fillId="0" borderId="0" xfId="11" applyFont="1" applyFill="1" applyBorder="1" applyAlignment="1" applyProtection="1"/>
    <xf numFmtId="0" fontId="32" fillId="0" borderId="0" xfId="11" applyFont="1" applyFill="1" applyBorder="1" applyProtection="1"/>
    <xf numFmtId="0" fontId="13" fillId="0" borderId="0" xfId="11" applyFont="1" applyFill="1" applyBorder="1" applyAlignment="1" applyProtection="1"/>
    <xf numFmtId="0" fontId="13" fillId="0" borderId="0" xfId="11" applyFont="1" applyFill="1" applyBorder="1" applyAlignment="1" applyProtection="1">
      <alignment horizontal="right" vertical="center"/>
    </xf>
    <xf numFmtId="0" fontId="32" fillId="3" borderId="0" xfId="11" applyFont="1" applyFill="1" applyBorder="1" applyAlignment="1" applyProtection="1">
      <alignment horizontal="left" indent="1"/>
    </xf>
    <xf numFmtId="0" fontId="33" fillId="0" borderId="0" xfId="11" applyFont="1" applyFill="1" applyBorder="1" applyAlignment="1" applyProtection="1">
      <alignment horizontal="right"/>
    </xf>
    <xf numFmtId="0" fontId="34" fillId="3" borderId="0" xfId="11" applyFont="1" applyFill="1" applyBorder="1" applyAlignment="1" applyProtection="1">
      <alignment horizontal="right" vertical="center"/>
    </xf>
    <xf numFmtId="0" fontId="13" fillId="3" borderId="0" xfId="12" applyFont="1" applyFill="1" applyBorder="1" applyAlignment="1" applyProtection="1">
      <alignment horizontal="left"/>
    </xf>
    <xf numFmtId="0" fontId="22" fillId="0" borderId="0" xfId="11"/>
    <xf numFmtId="0" fontId="13" fillId="3" borderId="0" xfId="12" applyFont="1" applyFill="1" applyBorder="1" applyAlignment="1" applyProtection="1">
      <alignment horizontal="justify" vertical="center" wrapText="1"/>
    </xf>
    <xf numFmtId="0" fontId="10" fillId="0" borderId="0" xfId="11" applyFont="1" applyFill="1" applyBorder="1" applyAlignment="1" applyProtection="1"/>
    <xf numFmtId="164" fontId="0" fillId="0" borderId="0" xfId="13" applyFont="1" applyFill="1" applyProtection="1"/>
    <xf numFmtId="164" fontId="36" fillId="0" borderId="0" xfId="13" applyFont="1" applyFill="1" applyBorder="1" applyProtection="1"/>
    <xf numFmtId="164" fontId="37" fillId="0" borderId="0" xfId="13" applyFont="1" applyFill="1" applyBorder="1" applyProtection="1"/>
    <xf numFmtId="164" fontId="13" fillId="0" borderId="0" xfId="13" applyFont="1" applyFill="1" applyBorder="1" applyAlignment="1" applyProtection="1"/>
    <xf numFmtId="164" fontId="13" fillId="0" borderId="0" xfId="13" applyFont="1" applyFill="1" applyBorder="1" applyAlignment="1" applyProtection="1">
      <alignment horizontal="left" vertical="center" indent="1"/>
    </xf>
    <xf numFmtId="164" fontId="37" fillId="0" borderId="0" xfId="13" applyFont="1" applyFill="1" applyBorder="1" applyAlignment="1" applyProtection="1">
      <alignment horizontal="left" indent="1"/>
    </xf>
    <xf numFmtId="164" fontId="13" fillId="3" borderId="0" xfId="13" applyFont="1" applyFill="1" applyBorder="1" applyAlignment="1" applyProtection="1">
      <alignment horizontal="left"/>
    </xf>
    <xf numFmtId="164" fontId="37" fillId="3" borderId="0" xfId="13" applyFont="1" applyFill="1" applyBorder="1" applyAlignment="1" applyProtection="1">
      <alignment horizontal="left" indent="1"/>
    </xf>
    <xf numFmtId="164" fontId="0" fillId="0" borderId="0" xfId="13" applyFont="1" applyFill="1" applyBorder="1" applyProtection="1"/>
    <xf numFmtId="164" fontId="29" fillId="0" borderId="0" xfId="13" applyFont="1" applyFill="1" applyBorder="1" applyAlignment="1" applyProtection="1">
      <alignment horizontal="left"/>
    </xf>
    <xf numFmtId="164" fontId="0" fillId="0" borderId="0" xfId="13" applyNumberFormat="1" applyFont="1" applyFill="1" applyBorder="1" applyProtection="1"/>
    <xf numFmtId="164" fontId="12" fillId="0" borderId="0" xfId="11" applyNumberFormat="1" applyFont="1" applyFill="1" applyBorder="1" applyAlignment="1" applyProtection="1">
      <alignment horizontal="left" wrapText="1"/>
    </xf>
    <xf numFmtId="169" fontId="13" fillId="0" borderId="0" xfId="13" applyNumberFormat="1" applyFont="1" applyFill="1" applyBorder="1" applyAlignment="1" applyProtection="1">
      <alignment horizontal="left" vertical="center" indent="1"/>
    </xf>
    <xf numFmtId="164" fontId="12" fillId="0" borderId="0" xfId="11" applyNumberFormat="1" applyFont="1" applyFill="1" applyBorder="1" applyAlignment="1" applyProtection="1">
      <alignment vertical="center" wrapText="1"/>
    </xf>
    <xf numFmtId="0" fontId="6" fillId="0" borderId="0" xfId="14" applyFill="1" applyProtection="1"/>
    <xf numFmtId="0" fontId="11" fillId="0" borderId="0" xfId="14" applyFont="1" applyFill="1" applyAlignment="1" applyProtection="1">
      <alignment horizontal="right"/>
    </xf>
    <xf numFmtId="0" fontId="38" fillId="0" borderId="0" xfId="14" applyFont="1" applyFill="1" applyAlignment="1" applyProtection="1">
      <alignment horizontal="right"/>
    </xf>
    <xf numFmtId="164" fontId="11" fillId="0" borderId="0" xfId="7" applyFont="1" applyFill="1" applyAlignment="1" applyProtection="1"/>
    <xf numFmtId="0" fontId="37" fillId="0" borderId="0" xfId="14" applyFont="1" applyFill="1" applyBorder="1" applyProtection="1"/>
    <xf numFmtId="0" fontId="36" fillId="0" borderId="0" xfId="14" applyFont="1" applyFill="1" applyBorder="1" applyProtection="1"/>
    <xf numFmtId="0" fontId="13" fillId="0" borderId="0" xfId="14" applyFont="1" applyFill="1" applyBorder="1" applyAlignment="1" applyProtection="1"/>
    <xf numFmtId="164" fontId="0" fillId="0" borderId="0" xfId="7" applyFont="1"/>
    <xf numFmtId="0" fontId="13" fillId="0" borderId="0" xfId="14" applyFont="1" applyFill="1" applyBorder="1" applyAlignment="1" applyProtection="1">
      <alignment horizontal="left" vertical="center" indent="1"/>
    </xf>
    <xf numFmtId="0" fontId="37" fillId="0" borderId="0" xfId="14" applyFont="1" applyFill="1" applyBorder="1" applyAlignment="1" applyProtection="1">
      <alignment horizontal="left" indent="1"/>
    </xf>
    <xf numFmtId="0" fontId="28" fillId="2" borderId="0" xfId="14" applyFont="1" applyFill="1" applyBorder="1" applyProtection="1"/>
    <xf numFmtId="0" fontId="23" fillId="2" borderId="2" xfId="14" applyFont="1" applyFill="1" applyBorder="1" applyAlignment="1" applyProtection="1">
      <alignment horizontal="right"/>
    </xf>
    <xf numFmtId="0" fontId="23" fillId="2" borderId="2" xfId="14" applyFont="1" applyFill="1" applyBorder="1" applyProtection="1"/>
    <xf numFmtId="0" fontId="23" fillId="2" borderId="0" xfId="14" applyFont="1" applyFill="1" applyBorder="1" applyAlignment="1" applyProtection="1">
      <alignment horizontal="right"/>
    </xf>
    <xf numFmtId="0" fontId="8" fillId="0" borderId="0" xfId="14" applyFont="1" applyFill="1" applyProtection="1"/>
    <xf numFmtId="0" fontId="23" fillId="2" borderId="0" xfId="14" applyFont="1" applyFill="1" applyBorder="1" applyProtection="1"/>
    <xf numFmtId="0" fontId="13" fillId="3" borderId="0" xfId="14" applyFont="1" applyFill="1" applyProtection="1"/>
    <xf numFmtId="3" fontId="13" fillId="3" borderId="0" xfId="14" applyNumberFormat="1" applyFont="1" applyFill="1" applyProtection="1"/>
    <xf numFmtId="3" fontId="12" fillId="0" borderId="0" xfId="14" applyNumberFormat="1" applyFont="1" applyFill="1" applyProtection="1"/>
    <xf numFmtId="3" fontId="8" fillId="0" borderId="0" xfId="14" applyNumberFormat="1" applyFont="1" applyFill="1" applyProtection="1"/>
    <xf numFmtId="0" fontId="12" fillId="3" borderId="0" xfId="14" applyFont="1" applyFill="1" applyProtection="1"/>
    <xf numFmtId="3" fontId="12" fillId="3" borderId="0" xfId="14" applyNumberFormat="1" applyFont="1" applyFill="1" applyProtection="1"/>
    <xf numFmtId="167" fontId="12" fillId="0" borderId="0" xfId="14" applyNumberFormat="1" applyFont="1" applyFill="1" applyProtection="1"/>
    <xf numFmtId="166" fontId="8" fillId="0" borderId="0" xfId="14" applyNumberFormat="1" applyFont="1" applyFill="1" applyProtection="1"/>
    <xf numFmtId="1" fontId="8" fillId="0" borderId="0" xfId="14" applyNumberFormat="1" applyFont="1" applyFill="1" applyProtection="1"/>
    <xf numFmtId="0" fontId="13" fillId="0" borderId="0" xfId="14" applyFont="1" applyFill="1" applyBorder="1" applyAlignment="1" applyProtection="1">
      <alignment horizontal="left"/>
    </xf>
    <xf numFmtId="0" fontId="12" fillId="3" borderId="0" xfId="14" applyFont="1" applyFill="1" applyBorder="1" applyProtection="1"/>
    <xf numFmtId="0" fontId="13" fillId="3" borderId="2" xfId="14" applyFont="1" applyFill="1" applyBorder="1" applyProtection="1"/>
    <xf numFmtId="3" fontId="13" fillId="3" borderId="2" xfId="14" applyNumberFormat="1" applyFont="1" applyFill="1" applyBorder="1" applyProtection="1"/>
    <xf numFmtId="0" fontId="7" fillId="0" borderId="0" xfId="14" applyFont="1" applyFill="1" applyBorder="1" applyProtection="1"/>
    <xf numFmtId="3" fontId="7" fillId="0" borderId="0" xfId="14" applyNumberFormat="1" applyFont="1" applyFill="1" applyProtection="1"/>
    <xf numFmtId="0" fontId="8" fillId="0" borderId="0" xfId="14" applyFont="1" applyFill="1" applyBorder="1" applyProtection="1"/>
    <xf numFmtId="0" fontId="13" fillId="0" borderId="0" xfId="14" applyFont="1" applyFill="1" applyBorder="1" applyProtection="1"/>
    <xf numFmtId="3" fontId="15" fillId="0" borderId="0" xfId="14" applyNumberFormat="1" applyFont="1" applyFill="1" applyProtection="1"/>
    <xf numFmtId="164" fontId="22" fillId="0" borderId="0" xfId="7"/>
    <xf numFmtId="164" fontId="11" fillId="0" borderId="0" xfId="7" applyFont="1" applyFill="1" applyBorder="1" applyAlignment="1" applyProtection="1"/>
    <xf numFmtId="0" fontId="20" fillId="4" borderId="0" xfId="15" applyFont="1" applyFill="1" applyBorder="1" applyAlignment="1" applyProtection="1">
      <alignment horizontal="left"/>
    </xf>
    <xf numFmtId="164" fontId="20" fillId="4" borderId="6" xfId="7" applyFont="1" applyFill="1" applyBorder="1" applyProtection="1"/>
    <xf numFmtId="2" fontId="20" fillId="4" borderId="6" xfId="7" applyNumberFormat="1" applyFont="1" applyFill="1" applyBorder="1" applyAlignment="1" applyProtection="1">
      <alignment horizontal="right"/>
    </xf>
    <xf numFmtId="164" fontId="20" fillId="4" borderId="6" xfId="7" applyFont="1" applyFill="1" applyBorder="1" applyAlignment="1" applyProtection="1">
      <alignment horizontal="center"/>
    </xf>
    <xf numFmtId="171" fontId="12" fillId="3" borderId="0" xfId="7" applyNumberFormat="1" applyFont="1" applyFill="1" applyBorder="1" applyAlignment="1" applyProtection="1">
      <alignment horizontal="right"/>
    </xf>
    <xf numFmtId="164" fontId="12" fillId="3" borderId="6" xfId="7" applyFont="1" applyFill="1" applyBorder="1" applyAlignment="1" applyProtection="1">
      <alignment horizontal="left"/>
    </xf>
    <xf numFmtId="171" fontId="12" fillId="3" borderId="6" xfId="7" applyNumberFormat="1" applyFont="1" applyFill="1" applyBorder="1" applyAlignment="1" applyProtection="1">
      <alignment horizontal="right"/>
    </xf>
    <xf numFmtId="164" fontId="12" fillId="0" borderId="0" xfId="7" applyFont="1" applyFill="1" applyBorder="1" applyAlignment="1" applyProtection="1">
      <alignment horizontal="left"/>
    </xf>
    <xf numFmtId="171" fontId="12" fillId="0" borderId="0" xfId="7" applyNumberFormat="1" applyFont="1" applyFill="1" applyBorder="1" applyAlignment="1" applyProtection="1">
      <alignment horizontal="right"/>
    </xf>
    <xf numFmtId="164" fontId="13" fillId="0" borderId="0" xfId="11" applyNumberFormat="1" applyFont="1" applyFill="1" applyBorder="1" applyAlignment="1" applyProtection="1">
      <alignment vertical="top" wrapText="1"/>
    </xf>
    <xf numFmtId="0" fontId="13" fillId="0" borderId="0" xfId="15" applyFont="1" applyFill="1" applyBorder="1" applyAlignment="1" applyProtection="1">
      <alignment vertical="top" wrapText="1"/>
    </xf>
    <xf numFmtId="164" fontId="22" fillId="0" borderId="0" xfId="7" applyFill="1" applyProtection="1"/>
    <xf numFmtId="164" fontId="32" fillId="0" borderId="0" xfId="7" applyFont="1" applyFill="1" applyBorder="1" applyProtection="1"/>
    <xf numFmtId="164" fontId="31" fillId="0" borderId="0" xfId="7" applyFont="1" applyFill="1" applyBorder="1" applyProtection="1"/>
    <xf numFmtId="164" fontId="13" fillId="0" borderId="0" xfId="7" applyFont="1" applyFill="1" applyBorder="1" applyAlignment="1" applyProtection="1"/>
    <xf numFmtId="164" fontId="13" fillId="0" borderId="0" xfId="7" applyFont="1" applyFill="1" applyBorder="1" applyAlignment="1" applyProtection="1">
      <alignment horizontal="left" vertical="center" indent="1"/>
    </xf>
    <xf numFmtId="164" fontId="32" fillId="0" borderId="0" xfId="7" applyFont="1" applyFill="1" applyBorder="1" applyAlignment="1" applyProtection="1">
      <alignment horizontal="left" indent="1"/>
    </xf>
    <xf numFmtId="0" fontId="13" fillId="3" borderId="0" xfId="3" applyFont="1" applyFill="1" applyBorder="1" applyAlignment="1" applyProtection="1">
      <alignment horizontal="left"/>
    </xf>
    <xf numFmtId="164" fontId="13" fillId="0" borderId="0" xfId="7" applyFont="1" applyFill="1" applyBorder="1" applyAlignment="1" applyProtection="1">
      <alignment horizontal="left"/>
    </xf>
    <xf numFmtId="164" fontId="40" fillId="0" borderId="0" xfId="7" applyFont="1" applyFill="1" applyBorder="1" applyProtection="1"/>
    <xf numFmtId="164" fontId="12" fillId="0" borderId="0" xfId="7" applyFont="1" applyFill="1" applyBorder="1" applyAlignment="1" applyProtection="1">
      <alignment horizontal="left" vertical="center"/>
    </xf>
    <xf numFmtId="164" fontId="12" fillId="0" borderId="0" xfId="7" applyFont="1" applyFill="1" applyBorder="1" applyAlignment="1" applyProtection="1">
      <alignment horizontal="left" vertical="center" indent="1"/>
    </xf>
    <xf numFmtId="164" fontId="32" fillId="3" borderId="0" xfId="7" applyFont="1" applyFill="1" applyBorder="1" applyAlignment="1" applyProtection="1">
      <alignment horizontal="left" indent="1"/>
    </xf>
    <xf numFmtId="164" fontId="16" fillId="0" borderId="0" xfId="7" applyFont="1" applyFill="1" applyProtection="1"/>
    <xf numFmtId="16" fontId="22" fillId="0" borderId="0" xfId="7" applyNumberFormat="1"/>
    <xf numFmtId="0" fontId="18" fillId="3" borderId="3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Protection="1"/>
    <xf numFmtId="3" fontId="18" fillId="3" borderId="0" xfId="1" applyNumberFormat="1" applyFont="1" applyFill="1" applyProtection="1"/>
    <xf numFmtId="0" fontId="21" fillId="3" borderId="0" xfId="1" applyFont="1" applyFill="1" applyProtection="1"/>
    <xf numFmtId="3" fontId="21" fillId="3" borderId="0" xfId="1" applyNumberFormat="1" applyFont="1" applyFill="1" applyProtection="1"/>
    <xf numFmtId="0" fontId="18" fillId="3" borderId="0" xfId="1" applyFont="1" applyFill="1" applyBorder="1" applyAlignment="1" applyProtection="1">
      <alignment vertical="center"/>
    </xf>
    <xf numFmtId="0" fontId="21" fillId="3" borderId="1" xfId="1" applyFont="1" applyFill="1" applyBorder="1" applyAlignment="1" applyProtection="1">
      <alignment wrapText="1"/>
    </xf>
    <xf numFmtId="0" fontId="21" fillId="3" borderId="1" xfId="1" applyFont="1" applyFill="1" applyBorder="1" applyProtection="1"/>
    <xf numFmtId="0" fontId="18" fillId="3" borderId="1" xfId="1" applyFont="1" applyFill="1" applyBorder="1" applyProtection="1"/>
    <xf numFmtId="3" fontId="21" fillId="3" borderId="1" xfId="1" applyNumberFormat="1" applyFont="1" applyFill="1" applyBorder="1" applyProtection="1"/>
    <xf numFmtId="0" fontId="36" fillId="0" borderId="0" xfId="0" applyFont="1" applyFill="1"/>
    <xf numFmtId="164" fontId="7" fillId="0" borderId="0" xfId="0" applyNumberFormat="1" applyFont="1" applyFill="1" applyProtection="1"/>
    <xf numFmtId="0" fontId="13" fillId="0" borderId="0" xfId="0" applyFont="1" applyFill="1" applyAlignment="1">
      <alignment horizontal="right"/>
    </xf>
    <xf numFmtId="0" fontId="21" fillId="3" borderId="3" xfId="1" applyFont="1" applyFill="1" applyBorder="1" applyAlignment="1" applyProtection="1">
      <alignment horizontal="right"/>
    </xf>
    <xf numFmtId="0" fontId="18" fillId="0" borderId="0" xfId="8" applyFont="1" applyFill="1" applyAlignment="1" applyProtection="1"/>
    <xf numFmtId="0" fontId="18" fillId="3" borderId="0" xfId="8" applyFont="1" applyFill="1" applyProtection="1"/>
    <xf numFmtId="0" fontId="18" fillId="3" borderId="7" xfId="8" applyFont="1" applyFill="1" applyBorder="1" applyProtection="1"/>
    <xf numFmtId="0" fontId="18" fillId="3" borderId="8" xfId="8" applyFont="1" applyFill="1" applyBorder="1" applyProtection="1"/>
    <xf numFmtId="0" fontId="21" fillId="3" borderId="0" xfId="8" applyFont="1" applyFill="1" applyAlignment="1" applyProtection="1">
      <alignment horizontal="right"/>
    </xf>
    <xf numFmtId="0" fontId="21" fillId="3" borderId="8" xfId="8" applyFont="1" applyFill="1" applyBorder="1" applyAlignment="1" applyProtection="1">
      <alignment horizontal="right"/>
    </xf>
    <xf numFmtId="0" fontId="18" fillId="3" borderId="9" xfId="8" applyFont="1" applyFill="1" applyBorder="1" applyProtection="1"/>
    <xf numFmtId="0" fontId="21" fillId="3" borderId="9" xfId="8" applyFont="1" applyFill="1" applyBorder="1" applyAlignment="1" applyProtection="1">
      <alignment horizontal="right"/>
    </xf>
    <xf numFmtId="0" fontId="21" fillId="0" borderId="0" xfId="8" applyFont="1" applyFill="1" applyProtection="1"/>
    <xf numFmtId="166" fontId="18" fillId="3" borderId="0" xfId="8" applyNumberFormat="1" applyFont="1" applyFill="1" applyProtection="1"/>
    <xf numFmtId="166" fontId="18" fillId="3" borderId="8" xfId="8" applyNumberFormat="1" applyFont="1" applyFill="1" applyBorder="1" applyProtection="1"/>
    <xf numFmtId="3" fontId="9" fillId="0" borderId="0" xfId="8" applyNumberFormat="1" applyFont="1" applyFill="1" applyProtection="1"/>
    <xf numFmtId="167" fontId="9" fillId="0" borderId="0" xfId="8" applyNumberFormat="1" applyFont="1" applyFill="1" applyProtection="1"/>
    <xf numFmtId="3" fontId="18" fillId="3" borderId="0" xfId="1" applyNumberFormat="1" applyFont="1" applyFill="1" applyAlignment="1" applyProtection="1">
      <alignment horizontal="right"/>
    </xf>
    <xf numFmtId="0" fontId="11" fillId="0" borderId="0" xfId="6" applyFont="1" applyFill="1" applyAlignment="1" applyProtection="1">
      <alignment horizontal="right"/>
    </xf>
    <xf numFmtId="2" fontId="20" fillId="4" borderId="0" xfId="7" applyNumberFormat="1" applyFont="1" applyFill="1" applyBorder="1" applyAlignment="1" applyProtection="1">
      <alignment horizontal="right"/>
    </xf>
    <xf numFmtId="0" fontId="21" fillId="3" borderId="9" xfId="8" applyFont="1" applyFill="1" applyBorder="1" applyAlignment="1" applyProtection="1">
      <alignment horizontal="right" wrapText="1"/>
    </xf>
    <xf numFmtId="166" fontId="18" fillId="3" borderId="0" xfId="8" applyNumberFormat="1" applyFont="1" applyFill="1" applyAlignment="1" applyProtection="1">
      <alignment horizontal="right"/>
    </xf>
    <xf numFmtId="166" fontId="18" fillId="3" borderId="8" xfId="8" applyNumberFormat="1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right"/>
    </xf>
    <xf numFmtId="3" fontId="12" fillId="5" borderId="0" xfId="0" applyNumberFormat="1" applyFont="1" applyFill="1" applyBorder="1" applyProtection="1"/>
    <xf numFmtId="0" fontId="12" fillId="5" borderId="0" xfId="0" quotePrefix="1" applyFont="1" applyFill="1" applyBorder="1" applyAlignment="1" applyProtection="1">
      <alignment horizontal="right"/>
    </xf>
    <xf numFmtId="0" fontId="12" fillId="5" borderId="2" xfId="0" applyFont="1" applyFill="1" applyBorder="1" applyAlignment="1" applyProtection="1">
      <alignment horizontal="left"/>
    </xf>
    <xf numFmtId="0" fontId="12" fillId="5" borderId="2" xfId="0" quotePrefix="1" applyFont="1" applyFill="1" applyBorder="1" applyAlignment="1" applyProtection="1">
      <alignment horizontal="right"/>
    </xf>
    <xf numFmtId="3" fontId="12" fillId="5" borderId="2" xfId="0" applyNumberFormat="1" applyFont="1" applyFill="1" applyBorder="1" applyProtection="1"/>
    <xf numFmtId="0" fontId="13" fillId="5" borderId="4" xfId="0" applyFont="1" applyFill="1" applyBorder="1" applyAlignment="1" applyProtection="1">
      <alignment horizontal="left"/>
    </xf>
    <xf numFmtId="0" fontId="11" fillId="0" borderId="0" xfId="6" applyFont="1" applyFill="1" applyAlignment="1" applyProtection="1">
      <alignment horizontal="right"/>
    </xf>
    <xf numFmtId="2" fontId="20" fillId="4" borderId="0" xfId="7" applyNumberFormat="1" applyFont="1" applyFill="1" applyBorder="1" applyAlignment="1" applyProtection="1"/>
    <xf numFmtId="172" fontId="12" fillId="3" borderId="0" xfId="7" applyNumberFormat="1" applyFont="1" applyFill="1" applyBorder="1" applyAlignment="1" applyProtection="1">
      <alignment horizontal="left"/>
    </xf>
    <xf numFmtId="172" fontId="12" fillId="3" borderId="6" xfId="7" applyNumberFormat="1" applyFont="1" applyFill="1" applyBorder="1" applyAlignment="1" applyProtection="1">
      <alignment horizontal="left"/>
    </xf>
    <xf numFmtId="172" fontId="13" fillId="3" borderId="0" xfId="7" applyNumberFormat="1" applyFont="1" applyFill="1" applyBorder="1" applyAlignment="1" applyProtection="1">
      <alignment horizontal="left"/>
    </xf>
    <xf numFmtId="171" fontId="13" fillId="3" borderId="0" xfId="7" applyNumberFormat="1" applyFont="1" applyFill="1" applyBorder="1" applyAlignment="1" applyProtection="1">
      <alignment horizontal="right"/>
    </xf>
    <xf numFmtId="166" fontId="18" fillId="0" borderId="0" xfId="8" applyNumberFormat="1" applyFont="1" applyFill="1" applyBorder="1" applyProtection="1"/>
    <xf numFmtId="0" fontId="21" fillId="0" borderId="0" xfId="8" applyFont="1" applyFill="1" applyAlignment="1" applyProtection="1"/>
    <xf numFmtId="164" fontId="5" fillId="0" borderId="0" xfId="7" applyFont="1" applyFill="1" applyBorder="1" applyProtection="1"/>
    <xf numFmtId="0" fontId="6" fillId="0" borderId="0" xfId="16" applyFill="1" applyProtection="1"/>
    <xf numFmtId="0" fontId="36" fillId="0" borderId="0" xfId="16" applyFont="1" applyFill="1" applyBorder="1" applyProtection="1"/>
    <xf numFmtId="0" fontId="37" fillId="0" borderId="0" xfId="16" applyFont="1" applyFill="1" applyBorder="1" applyProtection="1"/>
    <xf numFmtId="0" fontId="13" fillId="0" borderId="0" xfId="16" applyFont="1" applyFill="1" applyBorder="1" applyAlignment="1" applyProtection="1"/>
    <xf numFmtId="0" fontId="13" fillId="0" borderId="0" xfId="16" applyFont="1" applyFill="1" applyBorder="1" applyAlignment="1" applyProtection="1">
      <alignment horizontal="left" vertical="center" indent="1"/>
    </xf>
    <xf numFmtId="0" fontId="37" fillId="0" borderId="0" xfId="16" applyFont="1" applyFill="1" applyBorder="1" applyAlignment="1" applyProtection="1">
      <alignment horizontal="left" indent="1"/>
    </xf>
    <xf numFmtId="0" fontId="13" fillId="0" borderId="0" xfId="16" applyFont="1" applyFill="1" applyBorder="1" applyAlignment="1" applyProtection="1">
      <alignment horizontal="left"/>
    </xf>
    <xf numFmtId="0" fontId="21" fillId="0" borderId="0" xfId="3" applyFont="1" applyFill="1" applyBorder="1" applyAlignment="1" applyProtection="1">
      <alignment vertical="center"/>
    </xf>
    <xf numFmtId="164" fontId="12" fillId="0" borderId="0" xfId="17" applyFont="1" applyFill="1" applyBorder="1" applyAlignment="1" applyProtection="1">
      <alignment horizontal="left" vertical="center"/>
    </xf>
    <xf numFmtId="0" fontId="14" fillId="0" borderId="0" xfId="16" applyFont="1" applyFill="1" applyProtection="1"/>
    <xf numFmtId="0" fontId="42" fillId="0" borderId="0" xfId="14" applyFont="1" applyFill="1" applyBorder="1" applyAlignment="1" applyProtection="1">
      <alignment horizontal="left"/>
    </xf>
    <xf numFmtId="164" fontId="18" fillId="0" borderId="0" xfId="0" applyNumberFormat="1" applyFont="1" applyFill="1" applyAlignment="1">
      <alignment horizontal="left" readingOrder="1"/>
    </xf>
    <xf numFmtId="164" fontId="13" fillId="0" borderId="0" xfId="0" applyNumberFormat="1" applyFont="1" applyAlignment="1">
      <alignment horizontal="left"/>
    </xf>
    <xf numFmtId="0" fontId="12" fillId="3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right" wrapText="1" indent="1"/>
    </xf>
    <xf numFmtId="0" fontId="12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 wrapText="1"/>
    </xf>
    <xf numFmtId="173" fontId="18" fillId="3" borderId="0" xfId="0" applyNumberFormat="1" applyFont="1" applyFill="1" applyBorder="1" applyAlignment="1">
      <alignment horizontal="right"/>
    </xf>
    <xf numFmtId="174" fontId="18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Alignment="1">
      <alignment horizontal="left"/>
    </xf>
    <xf numFmtId="0" fontId="43" fillId="3" borderId="0" xfId="0" applyNumberFormat="1" applyFont="1" applyFill="1" applyAlignment="1">
      <alignment horizontal="left"/>
    </xf>
    <xf numFmtId="0" fontId="13" fillId="3" borderId="4" xfId="0" applyFont="1" applyFill="1" applyBorder="1" applyAlignment="1">
      <alignment horizontal="left"/>
    </xf>
    <xf numFmtId="173" fontId="13" fillId="3" borderId="4" xfId="0" applyNumberFormat="1" applyFont="1" applyFill="1" applyBorder="1" applyAlignment="1">
      <alignment horizontal="right"/>
    </xf>
    <xf numFmtId="173" fontId="21" fillId="3" borderId="4" xfId="0" applyNumberFormat="1" applyFont="1" applyFill="1" applyBorder="1" applyAlignment="1">
      <alignment horizontal="right"/>
    </xf>
    <xf numFmtId="174" fontId="21" fillId="3" borderId="4" xfId="0" applyNumberFormat="1" applyFont="1" applyFill="1" applyBorder="1" applyAlignment="1">
      <alignment horizontal="right"/>
    </xf>
    <xf numFmtId="0" fontId="18" fillId="0" borderId="0" xfId="16" applyFont="1" applyFill="1" applyProtection="1"/>
    <xf numFmtId="0" fontId="12" fillId="3" borderId="0" xfId="0" applyNumberFormat="1" applyFont="1" applyFill="1" applyAlignment="1">
      <alignment horizontal="left" wrapText="1"/>
    </xf>
    <xf numFmtId="164" fontId="13" fillId="3" borderId="4" xfId="0" applyNumberFormat="1" applyFont="1" applyFill="1" applyBorder="1" applyAlignment="1">
      <alignment horizontal="left"/>
    </xf>
    <xf numFmtId="0" fontId="18" fillId="0" borderId="0" xfId="3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/>
    <xf numFmtId="0" fontId="24" fillId="0" borderId="0" xfId="0" applyFont="1" applyFill="1" applyBorder="1" applyProtection="1"/>
    <xf numFmtId="164" fontId="21" fillId="3" borderId="4" xfId="7" applyFont="1" applyFill="1" applyBorder="1" applyAlignment="1" applyProtection="1">
      <alignment horizontal="left"/>
    </xf>
    <xf numFmtId="1" fontId="21" fillId="3" borderId="4" xfId="7" applyNumberFormat="1" applyFont="1" applyFill="1" applyBorder="1" applyAlignment="1" applyProtection="1">
      <alignment horizontal="right" indent="1"/>
    </xf>
    <xf numFmtId="0" fontId="12" fillId="0" borderId="0" xfId="0" applyFont="1" applyFill="1" applyBorder="1" applyAlignment="1" applyProtection="1"/>
    <xf numFmtId="164" fontId="18" fillId="3" borderId="0" xfId="7" applyFont="1" applyFill="1" applyBorder="1" applyAlignment="1" applyProtection="1">
      <alignment horizontal="left"/>
    </xf>
    <xf numFmtId="3" fontId="21" fillId="3" borderId="10" xfId="10" applyNumberFormat="1" applyFont="1" applyFill="1" applyBorder="1" applyProtection="1"/>
    <xf numFmtId="1" fontId="21" fillId="3" borderId="9" xfId="7" applyNumberFormat="1" applyFont="1" applyFill="1" applyBorder="1" applyAlignment="1" applyProtection="1">
      <alignment horizontal="right" indent="1"/>
    </xf>
    <xf numFmtId="3" fontId="18" fillId="3" borderId="0" xfId="7" applyNumberFormat="1" applyFont="1" applyFill="1" applyBorder="1" applyAlignment="1" applyProtection="1">
      <alignment horizontal="right" indent="1"/>
    </xf>
    <xf numFmtId="0" fontId="21" fillId="0" borderId="0" xfId="0" applyFont="1" applyFill="1" applyBorder="1" applyAlignment="1" applyProtection="1"/>
    <xf numFmtId="164" fontId="21" fillId="3" borderId="9" xfId="7" applyFont="1" applyFill="1" applyBorder="1" applyAlignment="1" applyProtection="1">
      <alignment horizontal="left"/>
    </xf>
    <xf numFmtId="3" fontId="21" fillId="3" borderId="8" xfId="10" applyNumberFormat="1" applyFont="1" applyFill="1" applyBorder="1" applyProtection="1"/>
    <xf numFmtId="3" fontId="18" fillId="3" borderId="0" xfId="10" applyNumberFormat="1" applyFont="1" applyFill="1" applyBorder="1" applyProtection="1"/>
    <xf numFmtId="3" fontId="21" fillId="3" borderId="9" xfId="10" applyNumberFormat="1" applyFont="1" applyFill="1" applyBorder="1" applyProtection="1"/>
    <xf numFmtId="3" fontId="21" fillId="3" borderId="8" xfId="10" applyNumberFormat="1" applyFont="1" applyFill="1" applyBorder="1" applyAlignment="1" applyProtection="1">
      <alignment horizontal="right" indent="1"/>
    </xf>
    <xf numFmtId="3" fontId="21" fillId="3" borderId="9" xfId="10" applyNumberFormat="1" applyFont="1" applyFill="1" applyBorder="1" applyAlignment="1" applyProtection="1">
      <alignment horizontal="right" indent="1"/>
    </xf>
    <xf numFmtId="166" fontId="18" fillId="3" borderId="0" xfId="7" applyNumberFormat="1" applyFont="1" applyFill="1" applyBorder="1" applyAlignment="1" applyProtection="1">
      <alignment horizontal="right" indent="1"/>
    </xf>
    <xf numFmtId="167" fontId="21" fillId="3" borderId="10" xfId="10" applyNumberFormat="1" applyFont="1" applyFill="1" applyBorder="1" applyAlignment="1" applyProtection="1">
      <alignment horizontal="right" indent="1"/>
    </xf>
    <xf numFmtId="164" fontId="22" fillId="3" borderId="0" xfId="7" applyFill="1" applyProtection="1"/>
    <xf numFmtId="164" fontId="22" fillId="3" borderId="0" xfId="7" applyFill="1"/>
    <xf numFmtId="169" fontId="13" fillId="0" borderId="0" xfId="13" applyNumberFormat="1" applyFont="1" applyFill="1" applyBorder="1" applyAlignment="1" applyProtection="1">
      <alignment vertical="center"/>
    </xf>
    <xf numFmtId="169" fontId="0" fillId="0" borderId="0" xfId="13" applyNumberFormat="1" applyFont="1" applyFill="1" applyAlignment="1" applyProtection="1"/>
    <xf numFmtId="164" fontId="0" fillId="3" borderId="0" xfId="13" applyFont="1" applyFill="1" applyProtection="1"/>
    <xf numFmtId="169" fontId="13" fillId="3" borderId="0" xfId="13" applyNumberFormat="1" applyFont="1" applyFill="1" applyBorder="1" applyAlignment="1" applyProtection="1">
      <alignment vertical="center"/>
    </xf>
    <xf numFmtId="0" fontId="12" fillId="0" borderId="0" xfId="16" applyFont="1" applyFill="1" applyBorder="1" applyAlignment="1" applyProtection="1">
      <alignment vertical="center" wrapText="1"/>
    </xf>
    <xf numFmtId="0" fontId="12" fillId="0" borderId="0" xfId="14" applyFont="1" applyFill="1" applyBorder="1" applyAlignment="1" applyProtection="1">
      <alignment vertical="center"/>
    </xf>
    <xf numFmtId="0" fontId="13" fillId="0" borderId="0" xfId="0" applyFont="1" applyFill="1" applyAlignment="1">
      <alignment horizontal="left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right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center"/>
    </xf>
    <xf numFmtId="0" fontId="13" fillId="3" borderId="2" xfId="0" quotePrefix="1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14" fontId="12" fillId="3" borderId="0" xfId="0" applyNumberFormat="1" applyFont="1" applyFill="1" applyAlignment="1" applyProtection="1">
      <alignment horizontal="left"/>
      <protection locked="0"/>
    </xf>
    <xf numFmtId="172" fontId="12" fillId="3" borderId="0" xfId="0" applyNumberFormat="1" applyFont="1" applyFill="1" applyAlignment="1">
      <alignment horizontal="right"/>
    </xf>
    <xf numFmtId="3" fontId="13" fillId="3" borderId="4" xfId="10" applyNumberFormat="1" applyFont="1" applyFill="1" applyBorder="1" applyAlignment="1" applyProtection="1">
      <alignment horizontal="right" indent="1"/>
    </xf>
    <xf numFmtId="3" fontId="13" fillId="0" borderId="2" xfId="0" applyNumberFormat="1" applyFont="1" applyFill="1" applyBorder="1" applyProtection="1"/>
    <xf numFmtId="3" fontId="12" fillId="0" borderId="2" xfId="0" applyNumberFormat="1" applyFont="1" applyFill="1" applyBorder="1" applyProtection="1"/>
    <xf numFmtId="0" fontId="12" fillId="0" borderId="2" xfId="0" applyFont="1" applyFill="1" applyBorder="1"/>
    <xf numFmtId="0" fontId="13" fillId="3" borderId="0" xfId="0" applyFont="1" applyFill="1" applyBorder="1" applyAlignment="1">
      <alignment horizontal="center"/>
    </xf>
    <xf numFmtId="0" fontId="27" fillId="0" borderId="0" xfId="0" applyFont="1" applyFill="1"/>
    <xf numFmtId="177" fontId="12" fillId="3" borderId="0" xfId="0" applyNumberFormat="1" applyFont="1" applyFill="1" applyAlignment="1" applyProtection="1">
      <alignment horizontal="left"/>
    </xf>
    <xf numFmtId="175" fontId="12" fillId="3" borderId="0" xfId="0" applyNumberFormat="1" applyFont="1" applyFill="1" applyBorder="1" applyAlignment="1">
      <alignment horizontal="right"/>
    </xf>
    <xf numFmtId="176" fontId="12" fillId="3" borderId="0" xfId="0" applyNumberFormat="1" applyFont="1" applyFill="1"/>
    <xf numFmtId="177" fontId="12" fillId="3" borderId="0" xfId="0" applyNumberFormat="1" applyFont="1" applyFill="1" applyBorder="1" applyAlignment="1" applyProtection="1">
      <alignment horizontal="left"/>
    </xf>
    <xf numFmtId="176" fontId="12" fillId="3" borderId="0" xfId="0" applyNumberFormat="1" applyFont="1" applyFill="1" applyBorder="1"/>
    <xf numFmtId="177" fontId="12" fillId="3" borderId="2" xfId="0" applyNumberFormat="1" applyFont="1" applyFill="1" applyBorder="1" applyAlignment="1" applyProtection="1">
      <alignment horizontal="left"/>
    </xf>
    <xf numFmtId="175" fontId="12" fillId="3" borderId="2" xfId="0" applyNumberFormat="1" applyFont="1" applyFill="1" applyBorder="1" applyAlignment="1">
      <alignment horizontal="right"/>
    </xf>
    <xf numFmtId="176" fontId="12" fillId="3" borderId="2" xfId="0" applyNumberFormat="1" applyFont="1" applyFill="1" applyBorder="1"/>
    <xf numFmtId="0" fontId="12" fillId="0" borderId="0" xfId="0" applyFont="1" applyFill="1" applyAlignment="1" applyProtection="1">
      <alignment horizontal="left"/>
    </xf>
    <xf numFmtId="3" fontId="12" fillId="0" borderId="0" xfId="0" applyNumberFormat="1" applyFont="1" applyFill="1" applyAlignment="1" applyProtection="1">
      <alignment horizontal="right"/>
    </xf>
    <xf numFmtId="0" fontId="7" fillId="0" borderId="0" xfId="0" applyFont="1" applyFill="1" applyProtection="1"/>
    <xf numFmtId="0" fontId="11" fillId="0" borderId="0" xfId="6" applyFont="1" applyFill="1" applyAlignment="1" applyProtection="1">
      <alignment horizontal="right"/>
    </xf>
    <xf numFmtId="164" fontId="12" fillId="0" borderId="0" xfId="11" applyNumberFormat="1" applyFont="1" applyFill="1" applyBorder="1" applyAlignment="1" applyProtection="1">
      <alignment horizontal="left" wrapText="1"/>
    </xf>
    <xf numFmtId="0" fontId="13" fillId="0" borderId="0" xfId="15" applyFont="1" applyFill="1" applyBorder="1" applyAlignment="1" applyProtection="1">
      <alignment horizontal="left" vertical="top" wrapText="1"/>
    </xf>
    <xf numFmtId="2" fontId="20" fillId="4" borderId="0" xfId="7" applyNumberFormat="1" applyFont="1" applyFill="1" applyBorder="1" applyAlignment="1" applyProtection="1">
      <alignment horizontal="right"/>
    </xf>
    <xf numFmtId="2" fontId="20" fillId="4" borderId="6" xfId="7" applyNumberFormat="1" applyFont="1" applyFill="1" applyBorder="1" applyAlignment="1" applyProtection="1">
      <alignment horizontal="right" wrapText="1"/>
    </xf>
    <xf numFmtId="3" fontId="12" fillId="3" borderId="0" xfId="7" applyNumberFormat="1" applyFont="1" applyFill="1" applyBorder="1" applyAlignment="1" applyProtection="1">
      <alignment horizontal="right"/>
    </xf>
    <xf numFmtId="3" fontId="12" fillId="3" borderId="6" xfId="7" applyNumberFormat="1" applyFont="1" applyFill="1" applyBorder="1" applyAlignment="1" applyProtection="1">
      <alignment horizontal="right"/>
    </xf>
    <xf numFmtId="167" fontId="12" fillId="3" borderId="0" xfId="7" applyNumberFormat="1" applyFont="1" applyFill="1" applyBorder="1" applyAlignment="1" applyProtection="1">
      <alignment horizontal="right"/>
    </xf>
    <xf numFmtId="164" fontId="13" fillId="3" borderId="6" xfId="7" applyFont="1" applyFill="1" applyBorder="1" applyAlignment="1" applyProtection="1">
      <alignment horizontal="left"/>
    </xf>
    <xf numFmtId="3" fontId="13" fillId="3" borderId="6" xfId="7" applyNumberFormat="1" applyFont="1" applyFill="1" applyBorder="1" applyAlignment="1" applyProtection="1">
      <alignment horizontal="right"/>
    </xf>
    <xf numFmtId="171" fontId="13" fillId="3" borderId="6" xfId="7" applyNumberFormat="1" applyFont="1" applyFill="1" applyBorder="1" applyAlignment="1" applyProtection="1">
      <alignment horizontal="right"/>
    </xf>
    <xf numFmtId="167" fontId="13" fillId="3" borderId="8" xfId="7" applyNumberFormat="1" applyFont="1" applyFill="1" applyBorder="1" applyAlignment="1" applyProtection="1">
      <alignment horizontal="right"/>
    </xf>
    <xf numFmtId="0" fontId="11" fillId="0" borderId="0" xfId="6" applyFont="1" applyFill="1" applyAlignment="1" applyProtection="1">
      <alignment horizontal="right"/>
    </xf>
    <xf numFmtId="0" fontId="18" fillId="0" borderId="0" xfId="0" applyFont="1" applyFill="1" applyBorder="1" applyAlignment="1" applyProtection="1">
      <alignment wrapText="1"/>
    </xf>
    <xf numFmtId="175" fontId="12" fillId="0" borderId="0" xfId="0" applyNumberFormat="1" applyFont="1" applyFill="1" applyBorder="1" applyAlignment="1">
      <alignment horizontal="right"/>
    </xf>
    <xf numFmtId="164" fontId="12" fillId="0" borderId="0" xfId="11" applyNumberFormat="1" applyFont="1" applyFill="1" applyBorder="1" applyAlignment="1" applyProtection="1">
      <alignment wrapText="1"/>
    </xf>
    <xf numFmtId="0" fontId="21" fillId="3" borderId="0" xfId="1" applyFont="1" applyFill="1" applyBorder="1" applyAlignment="1" applyProtection="1">
      <alignment wrapText="1"/>
    </xf>
    <xf numFmtId="0" fontId="21" fillId="3" borderId="0" xfId="1" applyFont="1" applyFill="1" applyBorder="1" applyProtection="1"/>
    <xf numFmtId="3" fontId="21" fillId="3" borderId="0" xfId="1" applyNumberFormat="1" applyFont="1" applyFill="1" applyBorder="1" applyProtection="1"/>
    <xf numFmtId="2" fontId="20" fillId="4" borderId="0" xfId="7" applyNumberFormat="1" applyFont="1" applyFill="1" applyBorder="1" applyAlignment="1" applyProtection="1">
      <alignment wrapText="1"/>
    </xf>
    <xf numFmtId="1" fontId="20" fillId="4" borderId="6" xfId="7" applyNumberFormat="1" applyFont="1" applyFill="1" applyBorder="1" applyAlignment="1" applyProtection="1">
      <alignment wrapText="1"/>
    </xf>
    <xf numFmtId="1" fontId="20" fillId="4" borderId="6" xfId="7" applyNumberFormat="1" applyFont="1" applyFill="1" applyBorder="1" applyAlignment="1" applyProtection="1">
      <alignment horizontal="right" wrapText="1"/>
    </xf>
    <xf numFmtId="164" fontId="20" fillId="4" borderId="6" xfId="7" applyFont="1" applyFill="1" applyBorder="1" applyAlignment="1" applyProtection="1">
      <alignment horizontal="right"/>
    </xf>
    <xf numFmtId="0" fontId="6" fillId="0" borderId="0" xfId="3" applyFill="1" applyProtection="1"/>
    <xf numFmtId="0" fontId="31" fillId="0" borderId="0" xfId="3" applyFont="1" applyFill="1" applyBorder="1" applyProtection="1"/>
    <xf numFmtId="0" fontId="32" fillId="0" borderId="0" xfId="3" applyFont="1" applyFill="1" applyBorder="1" applyProtection="1"/>
    <xf numFmtId="0" fontId="13" fillId="0" borderId="0" xfId="3" applyFont="1" applyFill="1" applyBorder="1" applyAlignment="1" applyProtection="1"/>
    <xf numFmtId="0" fontId="46" fillId="0" borderId="0" xfId="3" applyFont="1" applyFill="1" applyBorder="1" applyProtection="1"/>
    <xf numFmtId="0" fontId="13" fillId="0" borderId="0" xfId="3" applyFont="1" applyFill="1" applyBorder="1" applyAlignment="1" applyProtection="1">
      <alignment horizontal="left" vertical="center" indent="1"/>
    </xf>
    <xf numFmtId="0" fontId="32" fillId="0" borderId="0" xfId="3" applyFont="1" applyFill="1" applyBorder="1" applyAlignment="1" applyProtection="1">
      <alignment horizontal="left" indent="1"/>
    </xf>
    <xf numFmtId="1" fontId="5" fillId="0" borderId="0" xfId="3" applyNumberFormat="1" applyFont="1" applyFill="1" applyBorder="1" applyAlignment="1" applyProtection="1">
      <alignment horizontal="left" indent="1"/>
    </xf>
    <xf numFmtId="0" fontId="21" fillId="3" borderId="0" xfId="3" applyFont="1" applyFill="1"/>
    <xf numFmtId="3" fontId="21" fillId="3" borderId="0" xfId="3" applyNumberFormat="1" applyFont="1" applyFill="1"/>
    <xf numFmtId="0" fontId="13" fillId="0" borderId="0" xfId="3" applyFont="1" applyFill="1" applyBorder="1" applyAlignment="1" applyProtection="1">
      <alignment vertical="top" wrapText="1"/>
    </xf>
    <xf numFmtId="0" fontId="18" fillId="3" borderId="6" xfId="3" applyFont="1" applyFill="1" applyBorder="1"/>
    <xf numFmtId="3" fontId="18" fillId="3" borderId="6" xfId="3" applyNumberFormat="1" applyFont="1" applyFill="1" applyBorder="1"/>
    <xf numFmtId="0" fontId="32" fillId="3" borderId="0" xfId="3" applyFont="1" applyFill="1" applyBorder="1" applyAlignment="1" applyProtection="1">
      <alignment horizontal="left" indent="1"/>
    </xf>
    <xf numFmtId="0" fontId="18" fillId="3" borderId="0" xfId="3" applyFont="1" applyFill="1"/>
    <xf numFmtId="3" fontId="18" fillId="3" borderId="0" xfId="3" applyNumberFormat="1" applyFont="1" applyFill="1"/>
    <xf numFmtId="0" fontId="47" fillId="0" borderId="0" xfId="3" applyFont="1" applyFill="1" applyProtection="1"/>
    <xf numFmtId="0" fontId="6" fillId="3" borderId="0" xfId="3" applyFill="1" applyProtection="1"/>
    <xf numFmtId="0" fontId="4" fillId="0" borderId="0" xfId="3" applyFont="1" applyFill="1" applyProtection="1"/>
    <xf numFmtId="3" fontId="6" fillId="3" borderId="0" xfId="3" applyNumberFormat="1" applyFill="1" applyProtection="1"/>
    <xf numFmtId="0" fontId="21" fillId="3" borderId="12" xfId="3" applyFont="1" applyFill="1" applyBorder="1"/>
    <xf numFmtId="3" fontId="21" fillId="3" borderId="12" xfId="3" applyNumberFormat="1" applyFont="1" applyFill="1" applyBorder="1"/>
    <xf numFmtId="0" fontId="48" fillId="0" borderId="0" xfId="3" applyFont="1" applyFill="1" applyProtection="1"/>
    <xf numFmtId="0" fontId="6" fillId="0" borderId="0" xfId="3" applyFont="1" applyFill="1" applyProtection="1"/>
    <xf numFmtId="1" fontId="21" fillId="3" borderId="9" xfId="7" applyNumberFormat="1" applyFont="1" applyFill="1" applyBorder="1" applyAlignment="1" applyProtection="1">
      <alignment horizontal="right"/>
    </xf>
    <xf numFmtId="3" fontId="18" fillId="3" borderId="0" xfId="8" applyNumberFormat="1" applyFont="1" applyFill="1" applyProtection="1"/>
    <xf numFmtId="3" fontId="18" fillId="3" borderId="8" xfId="8" applyNumberFormat="1" applyFont="1" applyFill="1" applyBorder="1" applyProtection="1"/>
    <xf numFmtId="3" fontId="21" fillId="0" borderId="0" xfId="10" applyNumberFormat="1" applyFont="1" applyFill="1" applyBorder="1" applyAlignment="1" applyProtection="1">
      <alignment horizontal="right" indent="1"/>
    </xf>
    <xf numFmtId="167" fontId="21" fillId="0" borderId="0" xfId="10" applyNumberFormat="1" applyFont="1" applyFill="1" applyBorder="1" applyAlignment="1" applyProtection="1">
      <alignment horizontal="right" indent="1"/>
    </xf>
    <xf numFmtId="3" fontId="18" fillId="3" borderId="0" xfId="10" applyNumberFormat="1" applyFont="1" applyFill="1" applyBorder="1" applyAlignment="1" applyProtection="1">
      <alignment horizontal="right" indent="1"/>
    </xf>
    <xf numFmtId="167" fontId="18" fillId="3" borderId="0" xfId="10" applyNumberFormat="1" applyFont="1" applyFill="1" applyBorder="1" applyAlignment="1" applyProtection="1">
      <alignment horizontal="right" indent="1"/>
    </xf>
    <xf numFmtId="3" fontId="49" fillId="3" borderId="0" xfId="4" applyNumberFormat="1" applyFont="1" applyFill="1" applyBorder="1" applyAlignment="1" applyProtection="1">
      <alignment horizontal="left" indent="1"/>
    </xf>
    <xf numFmtId="3" fontId="49" fillId="3" borderId="0" xfId="10" applyNumberFormat="1" applyFont="1" applyFill="1" applyBorder="1" applyAlignment="1" applyProtection="1">
      <alignment horizontal="right" indent="1"/>
    </xf>
    <xf numFmtId="167" fontId="49" fillId="3" borderId="0" xfId="10" applyNumberFormat="1" applyFont="1" applyFill="1" applyBorder="1" applyAlignment="1" applyProtection="1">
      <alignment horizontal="right" indent="1"/>
    </xf>
    <xf numFmtId="0" fontId="18" fillId="3" borderId="0" xfId="0" applyFont="1" applyFill="1" applyBorder="1" applyAlignment="1" applyProtection="1">
      <alignment horizontal="left"/>
    </xf>
    <xf numFmtId="167" fontId="21" fillId="3" borderId="8" xfId="10" applyNumberFormat="1" applyFont="1" applyFill="1" applyBorder="1" applyAlignment="1" applyProtection="1">
      <alignment horizontal="right" indent="1"/>
    </xf>
    <xf numFmtId="3" fontId="18" fillId="3" borderId="9" xfId="10" applyNumberFormat="1" applyFont="1" applyFill="1" applyBorder="1" applyProtection="1"/>
    <xf numFmtId="167" fontId="18" fillId="3" borderId="9" xfId="10" applyNumberFormat="1" applyFont="1" applyFill="1" applyBorder="1" applyAlignment="1" applyProtection="1">
      <alignment horizontal="right" indent="1"/>
    </xf>
    <xf numFmtId="167" fontId="21" fillId="3" borderId="9" xfId="10" applyNumberFormat="1" applyFont="1" applyFill="1" applyBorder="1" applyAlignment="1" applyProtection="1">
      <alignment horizontal="right" indent="1"/>
    </xf>
    <xf numFmtId="3" fontId="13" fillId="3" borderId="8" xfId="7" applyNumberFormat="1" applyFont="1" applyFill="1" applyBorder="1" applyAlignment="1" applyProtection="1">
      <alignment horizontal="right"/>
    </xf>
    <xf numFmtId="165" fontId="12" fillId="3" borderId="0" xfId="7" applyNumberFormat="1" applyFont="1" applyFill="1" applyBorder="1" applyAlignment="1" applyProtection="1">
      <alignment horizontal="right"/>
    </xf>
    <xf numFmtId="165" fontId="13" fillId="3" borderId="8" xfId="7" applyNumberFormat="1" applyFont="1" applyFill="1" applyBorder="1" applyAlignment="1" applyProtection="1">
      <alignment horizontal="right"/>
    </xf>
    <xf numFmtId="164" fontId="13" fillId="3" borderId="0" xfId="7" applyFont="1" applyFill="1" applyBorder="1" applyAlignment="1" applyProtection="1">
      <alignment horizontal="left"/>
    </xf>
    <xf numFmtId="3" fontId="13" fillId="3" borderId="0" xfId="7" applyNumberFormat="1" applyFont="1" applyFill="1" applyBorder="1" applyAlignment="1" applyProtection="1">
      <alignment horizontal="right"/>
    </xf>
    <xf numFmtId="0" fontId="21" fillId="3" borderId="8" xfId="1" applyFont="1" applyFill="1" applyBorder="1" applyProtection="1"/>
    <xf numFmtId="3" fontId="21" fillId="3" borderId="8" xfId="1" applyNumberFormat="1" applyFont="1" applyFill="1" applyBorder="1" applyProtection="1"/>
    <xf numFmtId="168" fontId="0" fillId="0" borderId="0" xfId="0" applyNumberFormat="1"/>
    <xf numFmtId="178" fontId="0" fillId="0" borderId="0" xfId="0" applyNumberFormat="1"/>
    <xf numFmtId="3" fontId="0" fillId="0" borderId="0" xfId="0" applyNumberFormat="1"/>
    <xf numFmtId="165" fontId="12" fillId="3" borderId="8" xfId="7" applyNumberFormat="1" applyFont="1" applyFill="1" applyBorder="1" applyAlignment="1" applyProtection="1">
      <alignment horizontal="right"/>
    </xf>
    <xf numFmtId="0" fontId="13" fillId="3" borderId="0" xfId="3" applyFont="1" applyFill="1" applyBorder="1" applyAlignment="1" applyProtection="1">
      <alignment horizontal="center"/>
    </xf>
    <xf numFmtId="0" fontId="21" fillId="3" borderId="0" xfId="0" applyFont="1" applyFill="1" applyAlignment="1">
      <alignment horizontal="right" vertical="center" readingOrder="1"/>
    </xf>
    <xf numFmtId="164" fontId="32" fillId="3" borderId="0" xfId="7" applyFont="1" applyFill="1" applyBorder="1" applyProtection="1"/>
    <xf numFmtId="0" fontId="21" fillId="3" borderId="0" xfId="0" applyFont="1" applyFill="1" applyAlignment="1">
      <alignment horizontal="left" vertical="center" wrapText="1" readingOrder="1"/>
    </xf>
    <xf numFmtId="0" fontId="12" fillId="3" borderId="0" xfId="3" applyFont="1" applyFill="1" applyBorder="1" applyAlignment="1" applyProtection="1">
      <alignment horizontal="right"/>
    </xf>
    <xf numFmtId="164" fontId="12" fillId="3" borderId="0" xfId="7" applyFont="1" applyFill="1" applyBorder="1" applyAlignment="1" applyProtection="1">
      <alignment horizontal="left" vertical="center"/>
    </xf>
    <xf numFmtId="164" fontId="12" fillId="3" borderId="0" xfId="7" applyFont="1" applyFill="1" applyBorder="1" applyAlignment="1" applyProtection="1">
      <alignment horizontal="left" vertical="center" indent="1"/>
    </xf>
    <xf numFmtId="164" fontId="13" fillId="3" borderId="0" xfId="7" applyFont="1" applyFill="1" applyBorder="1" applyAlignment="1" applyProtection="1">
      <alignment horizontal="left" vertical="center" indent="1"/>
    </xf>
    <xf numFmtId="164" fontId="40" fillId="3" borderId="0" xfId="7" applyFont="1" applyFill="1" applyBorder="1" applyProtection="1"/>
    <xf numFmtId="164" fontId="16" fillId="3" borderId="0" xfId="7" applyFont="1" applyFill="1" applyProtection="1"/>
    <xf numFmtId="0" fontId="13" fillId="0" borderId="0" xfId="16" applyFont="1" applyFill="1" applyBorder="1" applyAlignment="1" applyProtection="1">
      <alignment vertical="top" wrapText="1"/>
    </xf>
    <xf numFmtId="178" fontId="18" fillId="0" borderId="0" xfId="8" applyNumberFormat="1" applyFont="1" applyFill="1" applyProtection="1"/>
    <xf numFmtId="179" fontId="18" fillId="0" borderId="0" xfId="8" applyNumberFormat="1" applyFont="1" applyFill="1" applyProtection="1"/>
    <xf numFmtId="0" fontId="22" fillId="0" borderId="0" xfId="16" applyFont="1" applyFill="1" applyBorder="1" applyProtection="1"/>
    <xf numFmtId="1" fontId="18" fillId="3" borderId="8" xfId="8" applyNumberFormat="1" applyFont="1" applyFill="1" applyBorder="1" applyProtection="1"/>
    <xf numFmtId="167" fontId="18" fillId="3" borderId="0" xfId="8" applyNumberFormat="1" applyFont="1" applyFill="1" applyProtection="1"/>
    <xf numFmtId="167" fontId="18" fillId="3" borderId="14" xfId="8" applyNumberFormat="1" applyFont="1" applyFill="1" applyBorder="1" applyProtection="1"/>
    <xf numFmtId="165" fontId="22" fillId="0" borderId="0" xfId="7" applyNumberFormat="1"/>
    <xf numFmtId="172" fontId="12" fillId="0" borderId="0" xfId="0" applyNumberFormat="1" applyFont="1" applyFill="1" applyAlignment="1">
      <alignment horizontal="right"/>
    </xf>
    <xf numFmtId="0" fontId="11" fillId="0" borderId="0" xfId="6" applyFont="1" applyFill="1" applyAlignment="1" applyProtection="1">
      <alignment horizontal="right"/>
    </xf>
    <xf numFmtId="2" fontId="20" fillId="4" borderId="0" xfId="7" applyNumberFormat="1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/>
    </xf>
    <xf numFmtId="165" fontId="50" fillId="0" borderId="0" xfId="7" applyNumberFormat="1" applyFont="1"/>
    <xf numFmtId="165" fontId="22" fillId="0" borderId="0" xfId="7" applyNumberFormat="1" applyFont="1"/>
    <xf numFmtId="0" fontId="21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21" fillId="3" borderId="15" xfId="0" applyFont="1" applyFill="1" applyBorder="1"/>
    <xf numFmtId="0" fontId="21" fillId="3" borderId="14" xfId="0" applyFont="1" applyFill="1" applyBorder="1"/>
    <xf numFmtId="0" fontId="21" fillId="3" borderId="14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center" vertical="center"/>
    </xf>
    <xf numFmtId="166" fontId="18" fillId="3" borderId="14" xfId="8" applyNumberFormat="1" applyFont="1" applyFill="1" applyBorder="1" applyProtection="1"/>
    <xf numFmtId="2" fontId="20" fillId="4" borderId="6" xfId="7" applyNumberFormat="1" applyFont="1" applyFill="1" applyBorder="1" applyAlignment="1" applyProtection="1">
      <alignment horizontal="center"/>
    </xf>
    <xf numFmtId="181" fontId="12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Protection="1"/>
    <xf numFmtId="3" fontId="12" fillId="3" borderId="0" xfId="10" applyNumberFormat="1" applyFont="1" applyFill="1" applyBorder="1" applyAlignment="1" applyProtection="1">
      <alignment horizontal="right" indent="1"/>
    </xf>
    <xf numFmtId="166" fontId="9" fillId="0" borderId="0" xfId="0" applyNumberFormat="1" applyFont="1" applyFill="1" applyBorder="1" applyProtection="1"/>
    <xf numFmtId="167" fontId="9" fillId="0" borderId="0" xfId="0" applyNumberFormat="1" applyFont="1" applyFill="1" applyBorder="1" applyProtection="1"/>
    <xf numFmtId="3" fontId="13" fillId="3" borderId="9" xfId="10" applyNumberFormat="1" applyFont="1" applyFill="1" applyBorder="1" applyAlignment="1" applyProtection="1">
      <alignment horizontal="right" indent="1"/>
    </xf>
    <xf numFmtId="3" fontId="9" fillId="0" borderId="0" xfId="0" applyNumberFormat="1" applyFont="1" applyFill="1" applyBorder="1" applyProtection="1"/>
    <xf numFmtId="3" fontId="13" fillId="0" borderId="0" xfId="10" applyNumberFormat="1" applyFont="1" applyFill="1" applyBorder="1" applyProtection="1"/>
    <xf numFmtId="168" fontId="13" fillId="0" borderId="0" xfId="10" applyNumberFormat="1" applyFont="1" applyFill="1" applyBorder="1" applyAlignment="1" applyProtection="1">
      <alignment horizontal="right" indent="1"/>
    </xf>
    <xf numFmtId="0" fontId="51" fillId="0" borderId="0" xfId="3" applyFont="1" applyFill="1" applyBorder="1" applyProtection="1"/>
    <xf numFmtId="0" fontId="29" fillId="0" borderId="0" xfId="16" applyFont="1" applyFill="1" applyBorder="1" applyProtection="1"/>
    <xf numFmtId="0" fontId="13" fillId="3" borderId="0" xfId="12" applyFont="1" applyFill="1" applyBorder="1" applyAlignment="1" applyProtection="1">
      <alignment horizontal="justify" vertical="center"/>
    </xf>
    <xf numFmtId="164" fontId="18" fillId="0" borderId="0" xfId="7" applyFont="1" applyFill="1" applyBorder="1" applyAlignment="1" applyProtection="1">
      <alignment horizontal="right"/>
    </xf>
    <xf numFmtId="0" fontId="13" fillId="3" borderId="0" xfId="3" applyFont="1" applyFill="1" applyBorder="1" applyAlignment="1" applyProtection="1">
      <alignment horizontal="left" vertical="center"/>
    </xf>
    <xf numFmtId="164" fontId="32" fillId="3" borderId="0" xfId="7" applyFont="1" applyFill="1" applyBorder="1" applyAlignment="1" applyProtection="1">
      <alignment vertical="center"/>
    </xf>
    <xf numFmtId="167" fontId="30" fillId="0" borderId="0" xfId="0" applyNumberFormat="1" applyFont="1" applyFill="1"/>
    <xf numFmtId="182" fontId="22" fillId="0" borderId="0" xfId="7" applyNumberFormat="1"/>
    <xf numFmtId="183" fontId="22" fillId="0" borderId="0" xfId="7" applyNumberFormat="1"/>
    <xf numFmtId="168" fontId="52" fillId="0" borderId="0" xfId="0" applyNumberFormat="1" applyFont="1"/>
    <xf numFmtId="180" fontId="52" fillId="0" borderId="0" xfId="0" applyNumberFormat="1" applyFont="1"/>
    <xf numFmtId="0" fontId="52" fillId="0" borderId="0" xfId="0" applyFont="1"/>
    <xf numFmtId="172" fontId="52" fillId="0" borderId="0" xfId="0" applyNumberFormat="1" applyFont="1"/>
    <xf numFmtId="165" fontId="53" fillId="0" borderId="0" xfId="7" applyNumberFormat="1" applyFont="1"/>
    <xf numFmtId="165" fontId="54" fillId="0" borderId="0" xfId="7" applyNumberFormat="1" applyFont="1"/>
    <xf numFmtId="3" fontId="12" fillId="3" borderId="0" xfId="7" applyNumberFormat="1" applyFont="1" applyFill="1" applyBorder="1" applyAlignment="1" applyProtection="1">
      <alignment horizontal="right" indent="1"/>
    </xf>
    <xf numFmtId="167" fontId="12" fillId="3" borderId="0" xfId="7" applyNumberFormat="1" applyFont="1" applyFill="1" applyBorder="1" applyAlignment="1" applyProtection="1">
      <alignment horizontal="right" indent="1"/>
    </xf>
    <xf numFmtId="167" fontId="13" fillId="3" borderId="2" xfId="7" applyNumberFormat="1" applyFont="1" applyFill="1" applyBorder="1" applyProtection="1"/>
    <xf numFmtId="3" fontId="13" fillId="3" borderId="8" xfId="7" applyNumberFormat="1" applyFont="1" applyFill="1" applyBorder="1" applyAlignment="1" applyProtection="1">
      <alignment horizontal="right" indent="1"/>
    </xf>
    <xf numFmtId="167" fontId="13" fillId="3" borderId="8" xfId="7" applyNumberFormat="1" applyFont="1" applyFill="1" applyBorder="1" applyAlignment="1" applyProtection="1">
      <alignment horizontal="right" indent="1"/>
    </xf>
    <xf numFmtId="167" fontId="12" fillId="3" borderId="5" xfId="7" applyNumberFormat="1" applyFont="1" applyFill="1" applyBorder="1" applyAlignment="1" applyProtection="1">
      <alignment horizontal="left"/>
    </xf>
    <xf numFmtId="167" fontId="12" fillId="3" borderId="0" xfId="7" applyNumberFormat="1" applyFont="1" applyFill="1" applyBorder="1" applyAlignment="1" applyProtection="1">
      <alignment horizontal="left"/>
    </xf>
    <xf numFmtId="3" fontId="12" fillId="3" borderId="8" xfId="7" applyNumberFormat="1" applyFont="1" applyFill="1" applyBorder="1" applyAlignment="1" applyProtection="1">
      <alignment horizontal="right" indent="1"/>
    </xf>
    <xf numFmtId="167" fontId="12" fillId="3" borderId="8" xfId="7" applyNumberFormat="1" applyFont="1" applyFill="1" applyBorder="1" applyAlignment="1" applyProtection="1">
      <alignment horizontal="right" indent="1"/>
    </xf>
    <xf numFmtId="167" fontId="13" fillId="3" borderId="16" xfId="7" applyNumberFormat="1" applyFont="1" applyFill="1" applyBorder="1" applyProtection="1"/>
    <xf numFmtId="3" fontId="13" fillId="3" borderId="17" xfId="7" applyNumberFormat="1" applyFont="1" applyFill="1" applyBorder="1" applyAlignment="1" applyProtection="1">
      <alignment horizontal="right" indent="1"/>
    </xf>
    <xf numFmtId="167" fontId="13" fillId="3" borderId="17" xfId="7" applyNumberFormat="1" applyFont="1" applyFill="1" applyBorder="1" applyAlignment="1" applyProtection="1">
      <alignment horizontal="right" indent="1"/>
    </xf>
    <xf numFmtId="1" fontId="21" fillId="3" borderId="9" xfId="7" quotePrefix="1" applyNumberFormat="1" applyFont="1" applyFill="1" applyBorder="1" applyAlignment="1" applyProtection="1">
      <alignment horizontal="right" indent="1"/>
    </xf>
    <xf numFmtId="167" fontId="18" fillId="3" borderId="0" xfId="7" applyNumberFormat="1" applyFont="1" applyFill="1" applyBorder="1" applyAlignment="1" applyProtection="1">
      <alignment horizontal="right" indent="1"/>
    </xf>
    <xf numFmtId="0" fontId="0" fillId="0" borderId="0" xfId="0" applyFill="1"/>
    <xf numFmtId="167" fontId="13" fillId="3" borderId="4" xfId="10" applyNumberFormat="1" applyFont="1" applyFill="1" applyBorder="1" applyAlignment="1" applyProtection="1">
      <alignment horizontal="right" indent="1"/>
    </xf>
    <xf numFmtId="167" fontId="18" fillId="0" borderId="0" xfId="9" applyNumberFormat="1" applyFont="1" applyFill="1" applyBorder="1" applyAlignment="1">
      <alignment horizontal="right"/>
    </xf>
    <xf numFmtId="167" fontId="18" fillId="0" borderId="0" xfId="9" applyNumberFormat="1" applyFont="1" applyFill="1" applyBorder="1" applyAlignment="1"/>
    <xf numFmtId="0" fontId="21" fillId="0" borderId="0" xfId="9" applyFont="1" applyFill="1" applyBorder="1" applyAlignment="1">
      <alignment horizontal="right" textRotation="90"/>
    </xf>
    <xf numFmtId="167" fontId="21" fillId="0" borderId="0" xfId="9" applyNumberFormat="1" applyFont="1" applyFill="1" applyBorder="1" applyAlignment="1">
      <alignment horizontal="right"/>
    </xf>
    <xf numFmtId="168" fontId="18" fillId="0" borderId="0" xfId="10" applyNumberFormat="1" applyFont="1" applyFill="1" applyBorder="1" applyAlignment="1" applyProtection="1">
      <alignment horizontal="right" indent="1"/>
    </xf>
    <xf numFmtId="167" fontId="12" fillId="3" borderId="0" xfId="10" applyNumberFormat="1" applyFont="1" applyFill="1" applyBorder="1" applyAlignment="1" applyProtection="1">
      <alignment horizontal="right" indent="1"/>
    </xf>
    <xf numFmtId="167" fontId="0" fillId="0" borderId="0" xfId="0" applyNumberFormat="1"/>
    <xf numFmtId="0" fontId="13" fillId="0" borderId="0" xfId="15" applyFont="1" applyFill="1" applyBorder="1" applyAlignment="1" applyProtection="1">
      <alignment horizontal="left" vertical="top" wrapText="1"/>
    </xf>
    <xf numFmtId="0" fontId="2" fillId="0" borderId="0" xfId="20"/>
    <xf numFmtId="0" fontId="55" fillId="0" borderId="0" xfId="19" applyFill="1"/>
    <xf numFmtId="0" fontId="2" fillId="9" borderId="0" xfId="20" applyFill="1"/>
    <xf numFmtId="0" fontId="2" fillId="10" borderId="0" xfId="20" applyFill="1"/>
    <xf numFmtId="1" fontId="2" fillId="0" borderId="0" xfId="20" applyNumberFormat="1"/>
    <xf numFmtId="0" fontId="2" fillId="11" borderId="0" xfId="20" applyFill="1"/>
    <xf numFmtId="0" fontId="2" fillId="12" borderId="0" xfId="20" applyFill="1"/>
    <xf numFmtId="0" fontId="13" fillId="0" borderId="0" xfId="15" applyFont="1" applyFill="1" applyBorder="1" applyAlignment="1" applyProtection="1">
      <alignment vertical="top"/>
    </xf>
    <xf numFmtId="164" fontId="13" fillId="3" borderId="9" xfId="7" applyFont="1" applyFill="1" applyBorder="1" applyAlignment="1" applyProtection="1">
      <alignment horizontal="right" wrapText="1"/>
    </xf>
    <xf numFmtId="172" fontId="12" fillId="0" borderId="0" xfId="0" applyNumberFormat="1" applyFont="1" applyFill="1" applyBorder="1" applyAlignment="1">
      <alignment horizontal="right"/>
    </xf>
    <xf numFmtId="171" fontId="12" fillId="0" borderId="0" xfId="0" applyNumberFormat="1" applyFont="1" applyFill="1" applyBorder="1" applyAlignment="1">
      <alignment horizontal="right"/>
    </xf>
    <xf numFmtId="0" fontId="30" fillId="0" borderId="0" xfId="0" applyFont="1" applyFill="1"/>
    <xf numFmtId="0" fontId="18" fillId="0" borderId="0" xfId="0" applyFont="1" applyFill="1" applyBorder="1" applyProtection="1"/>
    <xf numFmtId="1" fontId="18" fillId="0" borderId="0" xfId="0" applyNumberFormat="1" applyFont="1" applyFill="1" applyBorder="1" applyProtection="1"/>
    <xf numFmtId="168" fontId="18" fillId="0" borderId="0" xfId="0" applyNumberFormat="1" applyFont="1" applyFill="1" applyBorder="1" applyProtection="1"/>
    <xf numFmtId="164" fontId="12" fillId="3" borderId="8" xfId="7" applyFont="1" applyFill="1" applyBorder="1" applyAlignment="1" applyProtection="1">
      <alignment horizontal="left"/>
    </xf>
    <xf numFmtId="167" fontId="12" fillId="3" borderId="8" xfId="10" applyNumberFormat="1" applyFont="1" applyFill="1" applyBorder="1" applyAlignment="1" applyProtection="1">
      <alignment horizontal="right" indent="1"/>
    </xf>
    <xf numFmtId="3" fontId="12" fillId="3" borderId="8" xfId="10" applyNumberFormat="1" applyFont="1" applyFill="1" applyBorder="1" applyAlignment="1" applyProtection="1">
      <alignment horizontal="right" indent="1"/>
    </xf>
    <xf numFmtId="167" fontId="12" fillId="0" borderId="0" xfId="10" applyNumberFormat="1" applyFont="1" applyFill="1" applyBorder="1" applyAlignment="1" applyProtection="1">
      <alignment horizontal="right" indent="1"/>
    </xf>
    <xf numFmtId="3" fontId="12" fillId="0" borderId="0" xfId="10" applyNumberFormat="1" applyFont="1" applyFill="1" applyBorder="1" applyAlignment="1" applyProtection="1">
      <alignment horizontal="right" indent="1"/>
    </xf>
    <xf numFmtId="184" fontId="18" fillId="0" borderId="0" xfId="0" applyNumberFormat="1" applyFont="1" applyFill="1" applyBorder="1" applyProtection="1"/>
    <xf numFmtId="0" fontId="18" fillId="0" borderId="0" xfId="20" applyFont="1"/>
    <xf numFmtId="164" fontId="13" fillId="0" borderId="0" xfId="7" applyFont="1" applyFill="1" applyBorder="1" applyAlignment="1" applyProtection="1">
      <alignment horizontal="right" wrapText="1"/>
    </xf>
    <xf numFmtId="3" fontId="18" fillId="0" borderId="0" xfId="0" applyNumberFormat="1" applyFont="1" applyFill="1" applyBorder="1" applyProtection="1"/>
    <xf numFmtId="0" fontId="2" fillId="0" borderId="0" xfId="20" applyFill="1"/>
    <xf numFmtId="175" fontId="0" fillId="0" borderId="0" xfId="0" applyNumberFormat="1"/>
    <xf numFmtId="3" fontId="21" fillId="3" borderId="14" xfId="8" applyNumberFormat="1" applyFont="1" applyFill="1" applyBorder="1" applyProtection="1"/>
    <xf numFmtId="167" fontId="13" fillId="3" borderId="6" xfId="7" applyNumberFormat="1" applyFont="1" applyFill="1" applyBorder="1" applyAlignment="1" applyProtection="1">
      <alignment horizontal="right"/>
    </xf>
    <xf numFmtId="0" fontId="27" fillId="0" borderId="0" xfId="8" applyFont="1" applyFill="1" applyBorder="1" applyProtection="1"/>
    <xf numFmtId="0" fontId="57" fillId="0" borderId="0" xfId="0" applyFont="1"/>
    <xf numFmtId="3" fontId="22" fillId="0" borderId="0" xfId="7" applyNumberFormat="1"/>
    <xf numFmtId="0" fontId="30" fillId="0" borderId="0" xfId="8" applyFont="1" applyFill="1" applyBorder="1" applyProtection="1"/>
    <xf numFmtId="167" fontId="27" fillId="0" borderId="0" xfId="0" applyNumberFormat="1" applyFont="1" applyFill="1"/>
    <xf numFmtId="164" fontId="21" fillId="0" borderId="0" xfId="0" applyNumberFormat="1" applyFont="1" applyAlignment="1">
      <alignment horizontal="left"/>
    </xf>
    <xf numFmtId="4" fontId="21" fillId="3" borderId="9" xfId="10" applyNumberFormat="1" applyFont="1" applyFill="1" applyBorder="1" applyAlignment="1" applyProtection="1">
      <alignment horizontal="right" indent="1"/>
    </xf>
    <xf numFmtId="3" fontId="49" fillId="3" borderId="0" xfId="7" applyNumberFormat="1" applyFont="1" applyFill="1" applyBorder="1" applyAlignment="1" applyProtection="1">
      <alignment horizontal="right" indent="1"/>
    </xf>
    <xf numFmtId="1" fontId="18" fillId="0" borderId="0" xfId="7" applyNumberFormat="1" applyFont="1" applyFill="1" applyBorder="1" applyAlignment="1" applyProtection="1">
      <alignment horizontal="right" indent="1"/>
    </xf>
    <xf numFmtId="166" fontId="0" fillId="0" borderId="0" xfId="0" applyNumberFormat="1"/>
    <xf numFmtId="166" fontId="18" fillId="0" borderId="0" xfId="8" applyNumberFormat="1" applyFont="1" applyFill="1" applyAlignment="1" applyProtection="1">
      <alignment horizontal="right"/>
    </xf>
    <xf numFmtId="1" fontId="18" fillId="3" borderId="0" xfId="0" applyNumberFormat="1" applyFont="1" applyFill="1"/>
    <xf numFmtId="168" fontId="58" fillId="0" borderId="0" xfId="0" applyNumberFormat="1" applyFont="1"/>
    <xf numFmtId="168" fontId="30" fillId="0" borderId="0" xfId="14" applyNumberFormat="1" applyFont="1" applyFill="1" applyProtection="1"/>
    <xf numFmtId="3" fontId="30" fillId="0" borderId="0" xfId="14" applyNumberFormat="1" applyFont="1" applyFill="1" applyProtection="1"/>
    <xf numFmtId="0" fontId="59" fillId="0" borderId="0" xfId="14" applyFont="1" applyFill="1" applyProtection="1"/>
    <xf numFmtId="3" fontId="20" fillId="6" borderId="0" xfId="3" applyNumberFormat="1" applyFont="1" applyFill="1" applyBorder="1" applyAlignment="1" applyProtection="1">
      <alignment horizontal="right"/>
    </xf>
    <xf numFmtId="3" fontId="20" fillId="7" borderId="0" xfId="3" applyNumberFormat="1" applyFont="1" applyFill="1" applyBorder="1" applyAlignment="1" applyProtection="1">
      <alignment horizontal="right"/>
    </xf>
    <xf numFmtId="0" fontId="20" fillId="6" borderId="0" xfId="3" quotePrefix="1" applyFont="1" applyFill="1" applyBorder="1" applyAlignment="1" applyProtection="1">
      <alignment horizontal="left" vertical="center"/>
    </xf>
    <xf numFmtId="0" fontId="20" fillId="7" borderId="0" xfId="3" quotePrefix="1" applyFont="1" applyFill="1" applyBorder="1" applyAlignment="1" applyProtection="1">
      <alignment horizontal="left" vertical="center"/>
    </xf>
    <xf numFmtId="3" fontId="20" fillId="6" borderId="0" xfId="3" applyNumberFormat="1" applyFont="1" applyFill="1" applyBorder="1" applyAlignment="1" applyProtection="1">
      <alignment horizontal="right" indent="4"/>
    </xf>
    <xf numFmtId="3" fontId="20" fillId="7" borderId="0" xfId="3" applyNumberFormat="1" applyFont="1" applyFill="1" applyBorder="1" applyAlignment="1" applyProtection="1">
      <alignment horizontal="right" indent="4"/>
    </xf>
    <xf numFmtId="0" fontId="20" fillId="6" borderId="0" xfId="3" quotePrefix="1" applyFont="1" applyFill="1" applyBorder="1" applyAlignment="1" applyProtection="1">
      <alignment horizontal="right" vertical="center"/>
    </xf>
    <xf numFmtId="0" fontId="20" fillId="7" borderId="0" xfId="3" quotePrefix="1" applyFont="1" applyFill="1" applyBorder="1" applyAlignment="1" applyProtection="1">
      <alignment horizontal="right" vertical="center"/>
    </xf>
    <xf numFmtId="0" fontId="18" fillId="0" borderId="0" xfId="9" applyFont="1" applyFill="1" applyBorder="1" applyAlignment="1">
      <alignment horizontal="right" textRotation="90"/>
    </xf>
    <xf numFmtId="167" fontId="18" fillId="0" borderId="0" xfId="10" applyNumberFormat="1" applyFont="1" applyFill="1" applyBorder="1" applyAlignment="1" applyProtection="1">
      <alignment horizontal="right" indent="1"/>
    </xf>
    <xf numFmtId="3" fontId="18" fillId="0" borderId="0" xfId="10" applyNumberFormat="1" applyFont="1" applyFill="1" applyBorder="1" applyAlignment="1" applyProtection="1">
      <alignment horizontal="right" indent="1"/>
    </xf>
    <xf numFmtId="167" fontId="18" fillId="0" borderId="2" xfId="9" applyNumberFormat="1" applyFont="1" applyFill="1" applyBorder="1" applyAlignment="1"/>
    <xf numFmtId="0" fontId="18" fillId="0" borderId="0" xfId="8" quotePrefix="1" applyFont="1" applyFill="1" applyAlignment="1" applyProtection="1">
      <alignment wrapText="1"/>
    </xf>
    <xf numFmtId="0" fontId="9" fillId="0" borderId="0" xfId="8" applyFont="1" applyFill="1" applyBorder="1" applyProtection="1"/>
    <xf numFmtId="0" fontId="9" fillId="0" borderId="0" xfId="8" applyFont="1" applyFill="1" applyProtection="1"/>
    <xf numFmtId="167" fontId="9" fillId="0" borderId="0" xfId="11" applyNumberFormat="1" applyFont="1"/>
    <xf numFmtId="1" fontId="9" fillId="0" borderId="0" xfId="8" applyNumberFormat="1" applyFont="1" applyFill="1" applyProtection="1"/>
    <xf numFmtId="3" fontId="9" fillId="0" borderId="0" xfId="11" applyNumberFormat="1" applyFont="1"/>
    <xf numFmtId="3" fontId="2" fillId="0" borderId="0" xfId="20" applyNumberFormat="1"/>
    <xf numFmtId="166" fontId="2" fillId="0" borderId="0" xfId="20" applyNumberFormat="1"/>
    <xf numFmtId="0" fontId="1" fillId="0" borderId="0" xfId="20" applyFont="1"/>
    <xf numFmtId="0" fontId="61" fillId="0" borderId="0" xfId="20" applyFont="1"/>
    <xf numFmtId="167" fontId="9" fillId="0" borderId="0" xfId="0" applyNumberFormat="1" applyFont="1" applyFill="1"/>
    <xf numFmtId="167" fontId="21" fillId="3" borderId="4" xfId="9" applyNumberFormat="1" applyFont="1" applyFill="1" applyBorder="1" applyAlignment="1"/>
    <xf numFmtId="168" fontId="9" fillId="0" borderId="0" xfId="11" applyNumberFormat="1" applyFont="1"/>
    <xf numFmtId="167" fontId="18" fillId="3" borderId="0" xfId="9" applyNumberFormat="1" applyFont="1" applyFill="1" applyBorder="1" applyAlignment="1">
      <alignment horizontal="right"/>
    </xf>
    <xf numFmtId="167" fontId="21" fillId="3" borderId="2" xfId="9" applyNumberFormat="1" applyFont="1" applyFill="1" applyBorder="1" applyAlignment="1"/>
    <xf numFmtId="167" fontId="21" fillId="3" borderId="2" xfId="9" applyNumberFormat="1" applyFont="1" applyFill="1" applyBorder="1" applyAlignment="1">
      <alignment horizontal="right"/>
    </xf>
    <xf numFmtId="0" fontId="18" fillId="0" borderId="0" xfId="8" quotePrefix="1" applyFont="1" applyFill="1" applyAlignment="1" applyProtection="1"/>
    <xf numFmtId="3" fontId="18" fillId="3" borderId="0" xfId="14" applyNumberFormat="1" applyFont="1" applyFill="1" applyProtection="1"/>
    <xf numFmtId="2" fontId="18" fillId="0" borderId="0" xfId="8" applyNumberFormat="1" applyFont="1" applyFill="1" applyProtection="1"/>
    <xf numFmtId="167" fontId="27" fillId="0" borderId="0" xfId="8" applyNumberFormat="1" applyFont="1" applyFill="1" applyProtection="1"/>
    <xf numFmtId="0" fontId="18" fillId="0" borderId="2" xfId="9" applyFont="1" applyFill="1" applyBorder="1" applyAlignment="1"/>
    <xf numFmtId="0" fontId="18" fillId="0" borderId="0" xfId="3" quotePrefix="1" applyFont="1" applyFill="1" applyBorder="1" applyAlignment="1" applyProtection="1">
      <alignment vertical="center"/>
    </xf>
    <xf numFmtId="179" fontId="18" fillId="0" borderId="0" xfId="10" applyNumberFormat="1" applyFont="1" applyFill="1" applyBorder="1" applyAlignment="1" applyProtection="1">
      <alignment horizontal="right" indent="1"/>
    </xf>
    <xf numFmtId="185" fontId="18" fillId="0" borderId="0" xfId="10" applyNumberFormat="1" applyFont="1" applyFill="1" applyBorder="1" applyAlignment="1" applyProtection="1">
      <alignment horizontal="right" indent="1"/>
    </xf>
    <xf numFmtId="173" fontId="18" fillId="3" borderId="0" xfId="0" applyNumberFormat="1" applyFont="1" applyFill="1" applyBorder="1" applyAlignment="1">
      <alignment horizontal="center"/>
    </xf>
    <xf numFmtId="167" fontId="30" fillId="0" borderId="0" xfId="8" applyNumberFormat="1" applyFont="1" applyFill="1" applyProtection="1"/>
    <xf numFmtId="3" fontId="18" fillId="0" borderId="0" xfId="9" applyNumberFormat="1" applyFont="1" applyFill="1" applyBorder="1" applyAlignment="1">
      <alignment horizontal="right"/>
    </xf>
    <xf numFmtId="187" fontId="21" fillId="0" borderId="2" xfId="9" applyNumberFormat="1" applyFont="1" applyFill="1" applyBorder="1" applyAlignment="1"/>
    <xf numFmtId="180" fontId="0" fillId="0" borderId="0" xfId="0" applyNumberFormat="1"/>
    <xf numFmtId="1" fontId="0" fillId="0" borderId="0" xfId="0" applyNumberFormat="1"/>
    <xf numFmtId="185" fontId="0" fillId="0" borderId="0" xfId="0" applyNumberFormat="1"/>
    <xf numFmtId="186" fontId="18" fillId="0" borderId="0" xfId="8" applyNumberFormat="1" applyFont="1" applyFill="1" applyProtection="1"/>
    <xf numFmtId="188" fontId="0" fillId="0" borderId="0" xfId="0" applyNumberFormat="1"/>
    <xf numFmtId="0" fontId="2" fillId="13" borderId="0" xfId="20" applyFill="1"/>
    <xf numFmtId="0" fontId="2" fillId="14" borderId="0" xfId="20" applyFill="1"/>
    <xf numFmtId="0" fontId="2" fillId="15" borderId="0" xfId="20" applyFill="1"/>
    <xf numFmtId="0" fontId="2" fillId="16" borderId="0" xfId="20" applyFill="1"/>
    <xf numFmtId="0" fontId="63" fillId="0" borderId="0" xfId="0" applyFont="1" applyAlignment="1">
      <alignment vertical="center"/>
    </xf>
    <xf numFmtId="0" fontId="18" fillId="0" borderId="0" xfId="0" applyFont="1"/>
    <xf numFmtId="166" fontId="18" fillId="0" borderId="0" xfId="0" applyNumberFormat="1" applyFont="1"/>
    <xf numFmtId="0" fontId="18" fillId="0" borderId="0" xfId="0" applyFont="1" applyAlignment="1">
      <alignment horizontal="right"/>
    </xf>
    <xf numFmtId="173" fontId="18" fillId="0" borderId="0" xfId="0" applyNumberFormat="1" applyFont="1" applyFill="1"/>
    <xf numFmtId="1" fontId="18" fillId="3" borderId="0" xfId="7" applyNumberFormat="1" applyFont="1" applyFill="1" applyBorder="1" applyAlignment="1" applyProtection="1">
      <alignment horizontal="right" indent="1"/>
    </xf>
    <xf numFmtId="0" fontId="18" fillId="0" borderId="0" xfId="0" applyFont="1" applyFill="1"/>
    <xf numFmtId="166" fontId="18" fillId="0" borderId="0" xfId="0" applyNumberFormat="1" applyFont="1" applyFill="1"/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right"/>
    </xf>
    <xf numFmtId="164" fontId="13" fillId="0" borderId="0" xfId="13" applyFont="1" applyFill="1" applyBorder="1" applyAlignment="1" applyProtection="1">
      <alignment horizontal="left" vertical="top" wrapText="1"/>
    </xf>
    <xf numFmtId="0" fontId="23" fillId="2" borderId="2" xfId="14" applyFont="1" applyFill="1" applyBorder="1" applyAlignment="1" applyProtection="1">
      <alignment horizontal="center"/>
    </xf>
    <xf numFmtId="0" fontId="12" fillId="0" borderId="5" xfId="14" applyFont="1" applyFill="1" applyBorder="1" applyAlignment="1" applyProtection="1">
      <alignment horizontal="left" wrapText="1"/>
    </xf>
    <xf numFmtId="164" fontId="12" fillId="0" borderId="0" xfId="11" applyNumberFormat="1" applyFont="1" applyFill="1" applyBorder="1" applyAlignment="1" applyProtection="1">
      <alignment horizontal="left" wrapText="1"/>
    </xf>
    <xf numFmtId="164" fontId="13" fillId="0" borderId="0" xfId="11" applyNumberFormat="1" applyFont="1" applyFill="1" applyBorder="1" applyAlignment="1" applyProtection="1">
      <alignment horizontal="left" vertical="top" wrapText="1"/>
    </xf>
    <xf numFmtId="0" fontId="13" fillId="0" borderId="0" xfId="15" applyFont="1" applyFill="1" applyBorder="1" applyAlignment="1" applyProtection="1">
      <alignment horizontal="left" vertical="top" wrapText="1"/>
    </xf>
    <xf numFmtId="2" fontId="20" fillId="4" borderId="0" xfId="7" applyNumberFormat="1" applyFont="1" applyFill="1" applyBorder="1" applyAlignment="1" applyProtection="1">
      <alignment horizontal="right"/>
    </xf>
    <xf numFmtId="0" fontId="13" fillId="0" borderId="0" xfId="16" applyFont="1" applyFill="1" applyBorder="1" applyAlignment="1" applyProtection="1">
      <alignment horizontal="left" vertical="top" wrapText="1"/>
    </xf>
    <xf numFmtId="2" fontId="20" fillId="4" borderId="0" xfId="7" applyNumberFormat="1" applyFont="1" applyFill="1" applyBorder="1" applyAlignment="1" applyProtection="1">
      <alignment horizontal="right" wrapText="1"/>
    </xf>
    <xf numFmtId="2" fontId="20" fillId="4" borderId="6" xfId="7" applyNumberFormat="1" applyFont="1" applyFill="1" applyBorder="1" applyAlignment="1" applyProtection="1">
      <alignment horizontal="right" wrapText="1"/>
    </xf>
    <xf numFmtId="1" fontId="20" fillId="4" borderId="8" xfId="7" applyNumberFormat="1" applyFont="1" applyFill="1" applyBorder="1" applyAlignment="1" applyProtection="1">
      <alignment horizontal="right"/>
    </xf>
    <xf numFmtId="164" fontId="12" fillId="0" borderId="11" xfId="11" applyNumberFormat="1" applyFont="1" applyFill="1" applyBorder="1" applyAlignment="1" applyProtection="1">
      <alignment horizontal="left" wrapText="1"/>
    </xf>
    <xf numFmtId="0" fontId="13" fillId="0" borderId="0" xfId="3" applyFont="1" applyFill="1" applyBorder="1" applyAlignment="1" applyProtection="1">
      <alignment horizontal="left" vertical="top" wrapText="1"/>
    </xf>
    <xf numFmtId="0" fontId="20" fillId="4" borderId="0" xfId="15" applyFont="1" applyFill="1" applyBorder="1" applyAlignment="1" applyProtection="1">
      <alignment horizontal="center"/>
    </xf>
    <xf numFmtId="2" fontId="20" fillId="4" borderId="0" xfId="7" applyNumberFormat="1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/>
    </xf>
    <xf numFmtId="164" fontId="12" fillId="0" borderId="0" xfId="11" applyNumberFormat="1" applyFont="1" applyFill="1" applyBorder="1" applyAlignment="1" applyProtection="1">
      <alignment horizontal="justify" wrapText="1"/>
    </xf>
    <xf numFmtId="164" fontId="13" fillId="3" borderId="11" xfId="7" applyFont="1" applyFill="1" applyBorder="1" applyAlignment="1" applyProtection="1">
      <alignment horizontal="left" vertical="top"/>
    </xf>
    <xf numFmtId="164" fontId="13" fillId="3" borderId="0" xfId="7" applyFont="1" applyFill="1" applyBorder="1" applyAlignment="1" applyProtection="1">
      <alignment horizontal="left" vertical="top"/>
    </xf>
    <xf numFmtId="164" fontId="13" fillId="3" borderId="0" xfId="7" applyFont="1" applyFill="1" applyBorder="1" applyAlignment="1" applyProtection="1">
      <alignment horizontal="left" vertical="top" wrapText="1"/>
    </xf>
    <xf numFmtId="164" fontId="13" fillId="0" borderId="0" xfId="0" applyNumberFormat="1" applyFont="1" applyFill="1" applyAlignment="1">
      <alignment horizontal="left"/>
    </xf>
    <xf numFmtId="0" fontId="13" fillId="5" borderId="4" xfId="0" applyFont="1" applyFill="1" applyBorder="1" applyAlignment="1" applyProtection="1">
      <alignment horizontal="center" wrapText="1"/>
    </xf>
    <xf numFmtId="0" fontId="21" fillId="3" borderId="7" xfId="8" applyFont="1" applyFill="1" applyBorder="1" applyAlignment="1" applyProtection="1">
      <alignment horizontal="center"/>
    </xf>
    <xf numFmtId="0" fontId="21" fillId="3" borderId="15" xfId="0" applyFont="1" applyFill="1" applyBorder="1" applyAlignment="1">
      <alignment horizontal="center"/>
    </xf>
    <xf numFmtId="0" fontId="21" fillId="3" borderId="13" xfId="1" applyFont="1" applyFill="1" applyBorder="1" applyAlignment="1" applyProtection="1">
      <alignment horizontal="left" vertical="top"/>
    </xf>
    <xf numFmtId="0" fontId="21" fillId="3" borderId="0" xfId="1" applyFont="1" applyFill="1" applyBorder="1" applyAlignment="1" applyProtection="1">
      <alignment horizontal="left" vertical="top"/>
    </xf>
    <xf numFmtId="0" fontId="21" fillId="3" borderId="0" xfId="1" applyFont="1" applyFill="1" applyBorder="1" applyAlignment="1" applyProtection="1">
      <alignment horizontal="left" vertical="top" wrapText="1"/>
    </xf>
    <xf numFmtId="0" fontId="21" fillId="3" borderId="8" xfId="1" applyFont="1" applyFill="1" applyBorder="1" applyAlignment="1" applyProtection="1">
      <alignment horizontal="left" vertical="top" wrapText="1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8" fillId="0" borderId="0" xfId="8" applyFont="1" applyFill="1" applyAlignment="1" applyProtection="1">
      <alignment horizontal="right" vertical="center"/>
    </xf>
  </cellXfs>
  <cellStyles count="21">
    <cellStyle name="Hipervínculo 2" xfId="12" xr:uid="{00000000-0005-0000-0000-000000000000}"/>
    <cellStyle name="Neutral" xfId="19" builtinId="28"/>
    <cellStyle name="Normal" xfId="0" builtinId="0"/>
    <cellStyle name="Normal 2" xfId="2" xr:uid="{00000000-0005-0000-0000-000003000000}"/>
    <cellStyle name="Normal 2 2" xfId="7" xr:uid="{00000000-0005-0000-0000-000004000000}"/>
    <cellStyle name="Normal 3" xfId="3" xr:uid="{00000000-0005-0000-0000-000005000000}"/>
    <cellStyle name="Normal 3 2" xfId="11" xr:uid="{00000000-0005-0000-0000-000006000000}"/>
    <cellStyle name="Normal 4" xfId="5" xr:uid="{00000000-0005-0000-0000-000007000000}"/>
    <cellStyle name="Normal 4 2" xfId="18" xr:uid="{00000000-0005-0000-0000-000008000000}"/>
    <cellStyle name="Normal 5" xfId="20" xr:uid="{00000000-0005-0000-0000-000009000000}"/>
    <cellStyle name="Normal 6" xfId="8" xr:uid="{00000000-0005-0000-0000-00000A000000}"/>
    <cellStyle name="Normal 6 2" xfId="13" xr:uid="{00000000-0005-0000-0000-00000B000000}"/>
    <cellStyle name="Normal 7" xfId="15" xr:uid="{00000000-0005-0000-0000-00000C000000}"/>
    <cellStyle name="Normal_4.1.5" xfId="1" xr:uid="{00000000-0005-0000-0000-00000D000000}"/>
    <cellStyle name="Normal_5 Regimen Especial" xfId="16" xr:uid="{00000000-0005-0000-0000-00000E000000}"/>
    <cellStyle name="Normal_7 Red de Transporte - Salvo perdidas" xfId="14" xr:uid="{00000000-0005-0000-0000-00000F000000}"/>
    <cellStyle name="Normal_A1 Comparacion Internacional" xfId="6" xr:uid="{00000000-0005-0000-0000-000010000000}"/>
    <cellStyle name="Normal_cuadro 1.1 2" xfId="10" xr:uid="{00000000-0005-0000-0000-000011000000}"/>
    <cellStyle name="Normal_Libro1_1" xfId="9" xr:uid="{00000000-0005-0000-0000-000012000000}"/>
    <cellStyle name="Normal_Sector Electrico en 2007" xfId="17" xr:uid="{00000000-0005-0000-0000-000013000000}"/>
    <cellStyle name="Normal_TTTTTTTT" xfId="4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215967"/>
      <color rgb="FF31869B"/>
      <color rgb="FF92CDDC"/>
      <color rgb="FFDAEEF3"/>
      <color rgb="FFA6A6A6"/>
      <color rgb="FF000000"/>
      <color rgb="FFA6CAF0"/>
      <color rgb="FFBA0F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1230066290615"/>
          <c:y val="0.18565981335666376"/>
          <c:w val="0.81992440431498625"/>
          <c:h val="0.69836030912802571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≤ 220 kV</c:v>
          </c:tx>
          <c:spPr>
            <a:solidFill>
              <a:srgbClr val="92D050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 (1)</c:v>
                </c:pt>
              </c:strCache>
            </c:strRef>
          </c:cat>
          <c:val>
            <c:numRef>
              <c:f>'Data 3'!$F$13:$J$13</c:f>
              <c:numCache>
                <c:formatCode>#,##0</c:formatCode>
                <c:ptCount val="5"/>
                <c:pt idx="0">
                  <c:v>19091.544500000007</c:v>
                </c:pt>
                <c:pt idx="1">
                  <c:v>19116.907210000008</c:v>
                </c:pt>
                <c:pt idx="2">
                  <c:v>19192.410210000005</c:v>
                </c:pt>
                <c:pt idx="3">
                  <c:v>19276.545210000011</c:v>
                </c:pt>
                <c:pt idx="4">
                  <c:v>19310.05621000001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A-4AA6-AEE6-54604FE81274}"/>
            </c:ext>
          </c:extLst>
        </c:ser>
        <c:ser>
          <c:idx val="1"/>
          <c:order val="1"/>
          <c:tx>
            <c:v>Baleares ≤ 220 kV</c:v>
          </c:tx>
          <c:spPr>
            <a:solidFill>
              <a:srgbClr val="FFC000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 (1)</c:v>
                </c:pt>
              </c:strCache>
            </c:strRef>
          </c:cat>
          <c:val>
            <c:numRef>
              <c:f>'Data 3'!$F$17:$J$17</c:f>
              <c:numCache>
                <c:formatCode>#,##0</c:formatCode>
                <c:ptCount val="5"/>
                <c:pt idx="0">
                  <c:v>1800.9359999999999</c:v>
                </c:pt>
                <c:pt idx="1">
                  <c:v>1809.2189999999998</c:v>
                </c:pt>
                <c:pt idx="2">
                  <c:v>1853.9419999999998</c:v>
                </c:pt>
                <c:pt idx="3">
                  <c:v>1873.3209999999999</c:v>
                </c:pt>
                <c:pt idx="4">
                  <c:v>1928.78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4A-4AA6-AEE6-54604FE81274}"/>
            </c:ext>
          </c:extLst>
        </c:ser>
        <c:ser>
          <c:idx val="2"/>
          <c:order val="2"/>
          <c:tx>
            <c:v>Canarias ≤ 220 kV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 (1)</c:v>
                </c:pt>
              </c:strCache>
            </c:strRef>
          </c:cat>
          <c:val>
            <c:numRef>
              <c:f>'Data 3'!$F$21:$J$21</c:f>
              <c:numCache>
                <c:formatCode>#,##0</c:formatCode>
                <c:ptCount val="5"/>
                <c:pt idx="0">
                  <c:v>1354.1649999999997</c:v>
                </c:pt>
                <c:pt idx="1">
                  <c:v>1355.0969999999998</c:v>
                </c:pt>
                <c:pt idx="2">
                  <c:v>1481.8359999999998</c:v>
                </c:pt>
                <c:pt idx="3">
                  <c:v>1549.192</c:v>
                </c:pt>
                <c:pt idx="4">
                  <c:v>1560.9909999999998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4A-4AA6-AEE6-54604FE8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334306368"/>
        <c:axId val="142910280"/>
      </c:barChart>
      <c:catAx>
        <c:axId val="33430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910280"/>
        <c:crosses val="autoZero"/>
        <c:auto val="1"/>
        <c:lblAlgn val="ctr"/>
        <c:lblOffset val="100"/>
        <c:noMultiLvlLbl val="0"/>
      </c:catAx>
      <c:valAx>
        <c:axId val="142910280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306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205847435329751"/>
          <c:y val="3.0690616797900264E-2"/>
          <c:w val="0.65852338139884103"/>
          <c:h val="6.588254593175853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697333056547288E-3"/>
          <c:y val="0.28558463327859879"/>
          <c:w val="0.81992440431498659"/>
          <c:h val="0.69836030912802549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400 kV</c:v>
          </c:tx>
          <c:spPr>
            <a:solidFill>
              <a:srgbClr val="F79646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 (1)</c:v>
                </c:pt>
              </c:strCache>
            </c:strRef>
          </c:cat>
          <c:val>
            <c:numRef>
              <c:f>'Data 3'!$F$9:$J$9</c:f>
              <c:numCache>
                <c:formatCode>#,##0</c:formatCode>
                <c:ptCount val="5"/>
                <c:pt idx="0">
                  <c:v>21615.888999999999</c:v>
                </c:pt>
                <c:pt idx="1">
                  <c:v>21724.85</c:v>
                </c:pt>
                <c:pt idx="2">
                  <c:v>21726.609999999997</c:v>
                </c:pt>
                <c:pt idx="3">
                  <c:v>21738.015999999996</c:v>
                </c:pt>
                <c:pt idx="4">
                  <c:v>21753.143999999997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D-4835-A538-F1F28B5F8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39018472"/>
        <c:axId val="141458456"/>
      </c:barChart>
      <c:catAx>
        <c:axId val="13901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  <a:prstDash val="sysDot"/>
          </a:ln>
        </c:spPr>
        <c:crossAx val="141458456"/>
        <c:crosses val="autoZero"/>
        <c:auto val="1"/>
        <c:lblAlgn val="ctr"/>
        <c:lblOffset val="100"/>
        <c:noMultiLvlLbl val="0"/>
      </c:catAx>
      <c:valAx>
        <c:axId val="141458456"/>
        <c:scaling>
          <c:orientation val="minMax"/>
          <c:max val="25000"/>
          <c:min val="0"/>
        </c:scaling>
        <c:delete val="1"/>
        <c:axPos val="l"/>
        <c:numFmt formatCode="#,##0" sourceLinked="1"/>
        <c:majorTickMark val="none"/>
        <c:minorTickMark val="none"/>
        <c:tickLblPos val="none"/>
        <c:crossAx val="139018472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81781858317044"/>
          <c:y val="0.12627086754241929"/>
          <c:w val="0.1902179234485202"/>
          <c:h val="6.533505577427821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1'!$D$145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1'!$B$146:$C$205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1'!$D$146:$D$205</c:f>
              <c:numCache>
                <c:formatCode>0.0</c:formatCode>
                <c:ptCount val="60"/>
                <c:pt idx="0">
                  <c:v>1.234</c:v>
                </c:pt>
                <c:pt idx="1">
                  <c:v>0.91299999999999992</c:v>
                </c:pt>
                <c:pt idx="2">
                  <c:v>0.92800000000000005</c:v>
                </c:pt>
                <c:pt idx="3">
                  <c:v>1.355</c:v>
                </c:pt>
                <c:pt idx="4">
                  <c:v>1.1339999999999999</c:v>
                </c:pt>
                <c:pt idx="5">
                  <c:v>0.75900000000000001</c:v>
                </c:pt>
                <c:pt idx="6">
                  <c:v>-0.71000000000000008</c:v>
                </c:pt>
                <c:pt idx="7">
                  <c:v>-0.77</c:v>
                </c:pt>
                <c:pt idx="8">
                  <c:v>1.7000000000000001E-2</c:v>
                </c:pt>
                <c:pt idx="9">
                  <c:v>3.2000000000000001E-2</c:v>
                </c:pt>
                <c:pt idx="10">
                  <c:v>0.31</c:v>
                </c:pt>
                <c:pt idx="11">
                  <c:v>0.69</c:v>
                </c:pt>
                <c:pt idx="12">
                  <c:v>1.821</c:v>
                </c:pt>
                <c:pt idx="13">
                  <c:v>1.5489999999999999</c:v>
                </c:pt>
                <c:pt idx="14">
                  <c:v>1.29</c:v>
                </c:pt>
                <c:pt idx="15">
                  <c:v>0.46699999999999997</c:v>
                </c:pt>
                <c:pt idx="16">
                  <c:v>0.73499999999999999</c:v>
                </c:pt>
                <c:pt idx="17">
                  <c:v>1.3780000000000001</c:v>
                </c:pt>
                <c:pt idx="18">
                  <c:v>1.9750000000000001</c:v>
                </c:pt>
                <c:pt idx="19">
                  <c:v>1.881</c:v>
                </c:pt>
                <c:pt idx="20">
                  <c:v>1.0940000000000001</c:v>
                </c:pt>
                <c:pt idx="21">
                  <c:v>1.1930000000000001</c:v>
                </c:pt>
                <c:pt idx="22">
                  <c:v>0.9820000000000001</c:v>
                </c:pt>
                <c:pt idx="23">
                  <c:v>1.1320000000000001</c:v>
                </c:pt>
                <c:pt idx="24">
                  <c:v>0.28999999999999998</c:v>
                </c:pt>
                <c:pt idx="25">
                  <c:v>1.1499999999999999</c:v>
                </c:pt>
                <c:pt idx="26">
                  <c:v>1.6840000000000002</c:v>
                </c:pt>
                <c:pt idx="27">
                  <c:v>2.4539999999999997</c:v>
                </c:pt>
                <c:pt idx="28">
                  <c:v>2.194</c:v>
                </c:pt>
                <c:pt idx="29">
                  <c:v>1.0630000000000002</c:v>
                </c:pt>
                <c:pt idx="30">
                  <c:v>0.88600000000000001</c:v>
                </c:pt>
                <c:pt idx="31">
                  <c:v>0.83400000000000007</c:v>
                </c:pt>
                <c:pt idx="32">
                  <c:v>1.3379999999999999</c:v>
                </c:pt>
                <c:pt idx="33">
                  <c:v>1.2510000000000001</c:v>
                </c:pt>
                <c:pt idx="34">
                  <c:v>1.1480000000000001</c:v>
                </c:pt>
                <c:pt idx="35">
                  <c:v>0.42</c:v>
                </c:pt>
                <c:pt idx="36">
                  <c:v>0.89</c:v>
                </c:pt>
                <c:pt idx="37">
                  <c:v>-7.5999999999999998E-2</c:v>
                </c:pt>
                <c:pt idx="38">
                  <c:v>-0.99500000000000011</c:v>
                </c:pt>
                <c:pt idx="39">
                  <c:v>-1.5289999999999999</c:v>
                </c:pt>
                <c:pt idx="40">
                  <c:v>-1.5549999999999999</c:v>
                </c:pt>
                <c:pt idx="41">
                  <c:v>-1.1780000000000002</c:v>
                </c:pt>
                <c:pt idx="42">
                  <c:v>-0.88200000000000001</c:v>
                </c:pt>
                <c:pt idx="43">
                  <c:v>-1.284</c:v>
                </c:pt>
                <c:pt idx="44">
                  <c:v>-1.833</c:v>
                </c:pt>
                <c:pt idx="45">
                  <c:v>-1.9349999999999998</c:v>
                </c:pt>
                <c:pt idx="46">
                  <c:v>-1.9720000000000002</c:v>
                </c:pt>
                <c:pt idx="47">
                  <c:v>-1.7000000000000002</c:v>
                </c:pt>
                <c:pt idx="48">
                  <c:v>-2.254</c:v>
                </c:pt>
                <c:pt idx="49">
                  <c:v>-1.9449999999999998</c:v>
                </c:pt>
                <c:pt idx="50">
                  <c:v>-1.7870000000000001</c:v>
                </c:pt>
                <c:pt idx="51">
                  <c:v>-2.96</c:v>
                </c:pt>
                <c:pt idx="52">
                  <c:v>-3.8989999999999996</c:v>
                </c:pt>
                <c:pt idx="53">
                  <c:v>-4.4039999999999999</c:v>
                </c:pt>
                <c:pt idx="54">
                  <c:v>-4.9039999999999999</c:v>
                </c:pt>
                <c:pt idx="55">
                  <c:v>-4.7720000000000002</c:v>
                </c:pt>
                <c:pt idx="56">
                  <c:v>-4.6890000000000001</c:v>
                </c:pt>
                <c:pt idx="57">
                  <c:v>-4.8660000000000005</c:v>
                </c:pt>
                <c:pt idx="58">
                  <c:v>-5.327</c:v>
                </c:pt>
                <c:pt idx="59">
                  <c:v>-5.1079999999999997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8AE-A6A3-DE77F7BD8DC2}"/>
            </c:ext>
          </c:extLst>
        </c:ser>
        <c:ser>
          <c:idx val="1"/>
          <c:order val="1"/>
          <c:tx>
            <c:strRef>
              <c:f>'Data 1'!$E$145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1'!$B$146:$C$205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1'!$E$146:$E$205</c:f>
              <c:numCache>
                <c:formatCode>0.0</c:formatCode>
                <c:ptCount val="60"/>
                <c:pt idx="0">
                  <c:v>1.23882</c:v>
                </c:pt>
                <c:pt idx="1">
                  <c:v>1.345</c:v>
                </c:pt>
                <c:pt idx="2">
                  <c:v>1.50715</c:v>
                </c:pt>
                <c:pt idx="3">
                  <c:v>1.7215500000000001</c:v>
                </c:pt>
                <c:pt idx="4">
                  <c:v>1.6278899999999998</c:v>
                </c:pt>
                <c:pt idx="5">
                  <c:v>1.47543</c:v>
                </c:pt>
                <c:pt idx="6">
                  <c:v>0.48876999999999998</c:v>
                </c:pt>
                <c:pt idx="7">
                  <c:v>0.29485</c:v>
                </c:pt>
                <c:pt idx="8">
                  <c:v>0.74799000000000004</c:v>
                </c:pt>
                <c:pt idx="9">
                  <c:v>0.60774000000000006</c:v>
                </c:pt>
                <c:pt idx="10">
                  <c:v>0.62674000000000007</c:v>
                </c:pt>
                <c:pt idx="11">
                  <c:v>0.30321999999999999</c:v>
                </c:pt>
                <c:pt idx="12">
                  <c:v>1.0599700000000001</c:v>
                </c:pt>
                <c:pt idx="13">
                  <c:v>0.70134000000000007</c:v>
                </c:pt>
                <c:pt idx="14">
                  <c:v>0.40118000000000004</c:v>
                </c:pt>
                <c:pt idx="15">
                  <c:v>0.17260999999999999</c:v>
                </c:pt>
                <c:pt idx="16">
                  <c:v>0.23598</c:v>
                </c:pt>
                <c:pt idx="17">
                  <c:v>0.60917999999999994</c:v>
                </c:pt>
                <c:pt idx="18">
                  <c:v>0.98043999999999998</c:v>
                </c:pt>
                <c:pt idx="19">
                  <c:v>1.0940399999999999</c:v>
                </c:pt>
                <c:pt idx="20">
                  <c:v>0.64807000000000003</c:v>
                </c:pt>
                <c:pt idx="21">
                  <c:v>0.60013000000000005</c:v>
                </c:pt>
                <c:pt idx="22">
                  <c:v>0.75513000000000008</c:v>
                </c:pt>
                <c:pt idx="23">
                  <c:v>1.3721099999999999</c:v>
                </c:pt>
                <c:pt idx="24">
                  <c:v>0.73699999999999999</c:v>
                </c:pt>
                <c:pt idx="25">
                  <c:v>1.131</c:v>
                </c:pt>
                <c:pt idx="26">
                  <c:v>1.694</c:v>
                </c:pt>
                <c:pt idx="27">
                  <c:v>1.8659999999999999</c:v>
                </c:pt>
                <c:pt idx="28">
                  <c:v>1.9339999999999999</c:v>
                </c:pt>
                <c:pt idx="29">
                  <c:v>1.319</c:v>
                </c:pt>
                <c:pt idx="30">
                  <c:v>1.2229999999999999</c:v>
                </c:pt>
                <c:pt idx="31">
                  <c:v>1.234</c:v>
                </c:pt>
                <c:pt idx="32">
                  <c:v>1.6060000000000001</c:v>
                </c:pt>
                <c:pt idx="33">
                  <c:v>1.5760000000000001</c:v>
                </c:pt>
                <c:pt idx="34">
                  <c:v>1.266</c:v>
                </c:pt>
                <c:pt idx="35">
                  <c:v>0.52</c:v>
                </c:pt>
                <c:pt idx="36">
                  <c:v>0.80800000000000005</c:v>
                </c:pt>
                <c:pt idx="37">
                  <c:v>0.41900000000000004</c:v>
                </c:pt>
                <c:pt idx="38">
                  <c:v>-0.38600000000000001</c:v>
                </c:pt>
                <c:pt idx="39">
                  <c:v>-0.61899999999999999</c:v>
                </c:pt>
                <c:pt idx="40">
                  <c:v>-0.92999999999999994</c:v>
                </c:pt>
                <c:pt idx="41">
                  <c:v>-0.88900000000000001</c:v>
                </c:pt>
                <c:pt idx="42">
                  <c:v>-1.1480000000000001</c:v>
                </c:pt>
                <c:pt idx="43">
                  <c:v>-2.012</c:v>
                </c:pt>
                <c:pt idx="44">
                  <c:v>-2.6339999999999999</c:v>
                </c:pt>
                <c:pt idx="45">
                  <c:v>-2.7879999999999998</c:v>
                </c:pt>
                <c:pt idx="46">
                  <c:v>-2.8320000000000003</c:v>
                </c:pt>
                <c:pt idx="47">
                  <c:v>-2.6720000000000002</c:v>
                </c:pt>
                <c:pt idx="48">
                  <c:v>-2.9250000000000003</c:v>
                </c:pt>
                <c:pt idx="49">
                  <c:v>-2.7730000000000001</c:v>
                </c:pt>
                <c:pt idx="50">
                  <c:v>-2.911</c:v>
                </c:pt>
                <c:pt idx="51">
                  <c:v>-4.1630000000000003</c:v>
                </c:pt>
                <c:pt idx="52">
                  <c:v>-5.024</c:v>
                </c:pt>
                <c:pt idx="53">
                  <c:v>-5.48</c:v>
                </c:pt>
                <c:pt idx="54">
                  <c:v>-5.6050000000000004</c:v>
                </c:pt>
                <c:pt idx="55">
                  <c:v>-5.165</c:v>
                </c:pt>
                <c:pt idx="56">
                  <c:v>-5.1049999999999995</c:v>
                </c:pt>
                <c:pt idx="57">
                  <c:v>-5.0129999999999999</c:v>
                </c:pt>
                <c:pt idx="58">
                  <c:v>-5.2050000000000001</c:v>
                </c:pt>
                <c:pt idx="59">
                  <c:v>-5.08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9-48AE-A6A3-DE77F7BD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708888"/>
        <c:axId val="332329440"/>
      </c:lineChart>
      <c:catAx>
        <c:axId val="14570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32944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323294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5708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1'!$E$208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1'!$E$209:$E$220</c:f>
              <c:numCache>
                <c:formatCode>0.0</c:formatCode>
                <c:ptCount val="12"/>
                <c:pt idx="0">
                  <c:v>-1.163</c:v>
                </c:pt>
                <c:pt idx="1">
                  <c:v>-0.16700000000000001</c:v>
                </c:pt>
                <c:pt idx="2">
                  <c:v>0.377</c:v>
                </c:pt>
                <c:pt idx="3">
                  <c:v>-1E-3</c:v>
                </c:pt>
                <c:pt idx="4">
                  <c:v>-1.097</c:v>
                </c:pt>
                <c:pt idx="5">
                  <c:v>0.70000000000000007</c:v>
                </c:pt>
                <c:pt idx="6">
                  <c:v>0.247</c:v>
                </c:pt>
                <c:pt idx="7">
                  <c:v>6.5000000000000002E-2</c:v>
                </c:pt>
                <c:pt idx="8">
                  <c:v>0.82799999999999996</c:v>
                </c:pt>
                <c:pt idx="9">
                  <c:v>-1.038</c:v>
                </c:pt>
                <c:pt idx="10">
                  <c:v>0.13400000000000001</c:v>
                </c:pt>
                <c:pt idx="11">
                  <c:v>-6.3E-2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3-4A1B-9722-C58F165C324F}"/>
            </c:ext>
          </c:extLst>
        </c:ser>
        <c:ser>
          <c:idx val="2"/>
          <c:order val="2"/>
          <c:tx>
            <c:strRef>
              <c:f>'Data 1'!$F$208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1'!$F$209:$F$220</c:f>
              <c:numCache>
                <c:formatCode>0.0</c:formatCode>
                <c:ptCount val="12"/>
                <c:pt idx="0">
                  <c:v>-0.129</c:v>
                </c:pt>
                <c:pt idx="1">
                  <c:v>-1.429</c:v>
                </c:pt>
                <c:pt idx="2">
                  <c:v>1.329</c:v>
                </c:pt>
                <c:pt idx="3">
                  <c:v>-0.46699999999999997</c:v>
                </c:pt>
                <c:pt idx="4">
                  <c:v>1.4789999999999999</c:v>
                </c:pt>
                <c:pt idx="5">
                  <c:v>-0.52600000000000002</c:v>
                </c:pt>
                <c:pt idx="6">
                  <c:v>0.755</c:v>
                </c:pt>
                <c:pt idx="7">
                  <c:v>0.80800000000000005</c:v>
                </c:pt>
                <c:pt idx="8">
                  <c:v>0.45799999999999996</c:v>
                </c:pt>
                <c:pt idx="9">
                  <c:v>-1.0720000000000001</c:v>
                </c:pt>
                <c:pt idx="10">
                  <c:v>-2.448</c:v>
                </c:pt>
                <c:pt idx="11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3-4A1B-9722-C58F165C324F}"/>
            </c:ext>
          </c:extLst>
        </c:ser>
        <c:ser>
          <c:idx val="3"/>
          <c:order val="3"/>
          <c:tx>
            <c:strRef>
              <c:f>'Data 1'!$G$208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1'!$G$209:$G$220</c:f>
              <c:numCache>
                <c:formatCode>0.0</c:formatCode>
                <c:ptCount val="12"/>
                <c:pt idx="0">
                  <c:v>-1.796</c:v>
                </c:pt>
                <c:pt idx="1">
                  <c:v>3.4999999999999996E-2</c:v>
                </c:pt>
                <c:pt idx="2">
                  <c:v>-6.1580000000000004</c:v>
                </c:pt>
                <c:pt idx="3">
                  <c:v>-16.725999999999999</c:v>
                </c:pt>
                <c:pt idx="4">
                  <c:v>-13.13</c:v>
                </c:pt>
                <c:pt idx="5">
                  <c:v>-8.2739999999999991</c:v>
                </c:pt>
                <c:pt idx="6">
                  <c:v>-4.3499999999999996</c:v>
                </c:pt>
                <c:pt idx="7">
                  <c:v>-2.9380000000000002</c:v>
                </c:pt>
                <c:pt idx="8">
                  <c:v>-4.0979999999999999</c:v>
                </c:pt>
                <c:pt idx="9">
                  <c:v>-0.71399999999999997</c:v>
                </c:pt>
                <c:pt idx="10">
                  <c:v>-3.601</c:v>
                </c:pt>
                <c:pt idx="11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3-4A1B-9722-C58F165C3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604208"/>
        <c:axId val="143591048"/>
      </c:barChart>
      <c:lineChart>
        <c:grouping val="standard"/>
        <c:varyColors val="0"/>
        <c:ser>
          <c:idx val="0"/>
          <c:order val="0"/>
          <c:tx>
            <c:strRef>
              <c:f>'Data 1'!$D$208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1'!$D$209:$D$220</c:f>
              <c:numCache>
                <c:formatCode>0.0</c:formatCode>
                <c:ptCount val="12"/>
                <c:pt idx="0">
                  <c:v>-3.0880000000000001</c:v>
                </c:pt>
                <c:pt idx="1">
                  <c:v>-1.5610000000000002</c:v>
                </c:pt>
                <c:pt idx="2">
                  <c:v>-4.452</c:v>
                </c:pt>
                <c:pt idx="3">
                  <c:v>-17.194000000000003</c:v>
                </c:pt>
                <c:pt idx="4">
                  <c:v>-12.748000000000001</c:v>
                </c:pt>
                <c:pt idx="5">
                  <c:v>-8.1</c:v>
                </c:pt>
                <c:pt idx="6">
                  <c:v>-3.3480000000000003</c:v>
                </c:pt>
                <c:pt idx="7">
                  <c:v>-2.0650000000000004</c:v>
                </c:pt>
                <c:pt idx="8">
                  <c:v>-2.8119999999999998</c:v>
                </c:pt>
                <c:pt idx="9">
                  <c:v>-2.8240000000000003</c:v>
                </c:pt>
                <c:pt idx="10">
                  <c:v>-5.915</c:v>
                </c:pt>
                <c:pt idx="11">
                  <c:v>1.4019999999999999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73-4A1B-9722-C58F165C3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04208"/>
        <c:axId val="143591048"/>
      </c:lineChart>
      <c:catAx>
        <c:axId val="33360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3591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91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3604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5828946796015139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2'!$D$6</c:f>
              <c:strCache>
                <c:ptCount val="1"/>
                <c:pt idx="0">
                  <c:v>General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2'!$D$7:$D$66</c:f>
              <c:numCache>
                <c:formatCode>0.0</c:formatCode>
                <c:ptCount val="60"/>
                <c:pt idx="0">
                  <c:v>1.9671024062268401</c:v>
                </c:pt>
                <c:pt idx="1">
                  <c:v>1.8302941137662101</c:v>
                </c:pt>
                <c:pt idx="2">
                  <c:v>1.56339568686623</c:v>
                </c:pt>
                <c:pt idx="3">
                  <c:v>1.4427342450988601</c:v>
                </c:pt>
                <c:pt idx="4">
                  <c:v>1.3188465386228401</c:v>
                </c:pt>
                <c:pt idx="5">
                  <c:v>1.1407629174624301</c:v>
                </c:pt>
                <c:pt idx="6">
                  <c:v>0.93546822883319203</c:v>
                </c:pt>
                <c:pt idx="7">
                  <c:v>0.67596654002315404</c:v>
                </c:pt>
                <c:pt idx="8">
                  <c:v>0.60002817339504</c:v>
                </c:pt>
                <c:pt idx="9">
                  <c:v>0.37200441435494302</c:v>
                </c:pt>
                <c:pt idx="10">
                  <c:v>0.343421021681589</c:v>
                </c:pt>
                <c:pt idx="11">
                  <c:v>0.28115766039262802</c:v>
                </c:pt>
                <c:pt idx="12">
                  <c:v>0.47364547514736605</c:v>
                </c:pt>
                <c:pt idx="13">
                  <c:v>0.60593495553076193</c:v>
                </c:pt>
                <c:pt idx="14">
                  <c:v>1.0364648124210301</c:v>
                </c:pt>
                <c:pt idx="15">
                  <c:v>0.87218200988958794</c:v>
                </c:pt>
                <c:pt idx="16">
                  <c:v>1.07949478315739</c:v>
                </c:pt>
                <c:pt idx="17">
                  <c:v>1.3573154075348801</c:v>
                </c:pt>
                <c:pt idx="18">
                  <c:v>1.7016957006765501</c:v>
                </c:pt>
                <c:pt idx="19">
                  <c:v>1.92244930682821</c:v>
                </c:pt>
                <c:pt idx="20">
                  <c:v>2.1277594582825401</c:v>
                </c:pt>
                <c:pt idx="21">
                  <c:v>2.2565205361086997</c:v>
                </c:pt>
                <c:pt idx="22">
                  <c:v>2.5750875216126601</c:v>
                </c:pt>
                <c:pt idx="23">
                  <c:v>2.7039136271789701</c:v>
                </c:pt>
                <c:pt idx="24">
                  <c:v>2.6793161051484002</c:v>
                </c:pt>
                <c:pt idx="25">
                  <c:v>2.7671162744270901</c:v>
                </c:pt>
                <c:pt idx="26">
                  <c:v>2.4789813109240999</c:v>
                </c:pt>
                <c:pt idx="27">
                  <c:v>2.6551777290374701</c:v>
                </c:pt>
                <c:pt idx="28">
                  <c:v>2.6001573861714999</c:v>
                </c:pt>
                <c:pt idx="29">
                  <c:v>2.28313020459934</c:v>
                </c:pt>
                <c:pt idx="30">
                  <c:v>1.8264054511766301</c:v>
                </c:pt>
                <c:pt idx="31">
                  <c:v>1.38975186123935</c:v>
                </c:pt>
                <c:pt idx="32">
                  <c:v>1.04876815510959</c:v>
                </c:pt>
                <c:pt idx="33">
                  <c:v>0.83827237562199597</c:v>
                </c:pt>
                <c:pt idx="34">
                  <c:v>0.21647307286165601</c:v>
                </c:pt>
                <c:pt idx="35">
                  <c:v>-0.15429757659267698</c:v>
                </c:pt>
                <c:pt idx="36">
                  <c:v>-0.33087427405431602</c:v>
                </c:pt>
                <c:pt idx="37">
                  <c:v>-0.68272806101626904</c:v>
                </c:pt>
                <c:pt idx="38">
                  <c:v>-0.79448559329135005</c:v>
                </c:pt>
                <c:pt idx="39">
                  <c:v>-1.2373726906795102</c:v>
                </c:pt>
                <c:pt idx="40">
                  <c:v>-1.6501956912771902</c:v>
                </c:pt>
                <c:pt idx="41">
                  <c:v>-1.82036549525959</c:v>
                </c:pt>
                <c:pt idx="42">
                  <c:v>-1.8755524959125101</c:v>
                </c:pt>
                <c:pt idx="43">
                  <c:v>-1.8740483409492099</c:v>
                </c:pt>
                <c:pt idx="44">
                  <c:v>-1.97168782093162</c:v>
                </c:pt>
                <c:pt idx="45">
                  <c:v>-2.1431082209236001</c:v>
                </c:pt>
                <c:pt idx="46">
                  <c:v>-2.11641334972049</c:v>
                </c:pt>
                <c:pt idx="47">
                  <c:v>-2.3050508008634498</c:v>
                </c:pt>
                <c:pt idx="48">
                  <c:v>-2.5523943608738198</c:v>
                </c:pt>
                <c:pt idx="49">
                  <c:v>-2.5697063001261102</c:v>
                </c:pt>
                <c:pt idx="50">
                  <c:v>-3.1720505235434704</c:v>
                </c:pt>
                <c:pt idx="51">
                  <c:v>-4.8103701533430101</c:v>
                </c:pt>
                <c:pt idx="52">
                  <c:v>-5.8691793631696205</c:v>
                </c:pt>
                <c:pt idx="53">
                  <c:v>-6.4783472760888499</c:v>
                </c:pt>
                <c:pt idx="54">
                  <c:v>-7.07900328067511</c:v>
                </c:pt>
                <c:pt idx="55">
                  <c:v>-7.4920117206685806</c:v>
                </c:pt>
                <c:pt idx="56">
                  <c:v>-7.6772598531035507</c:v>
                </c:pt>
                <c:pt idx="57">
                  <c:v>-7.7520666458197995</c:v>
                </c:pt>
                <c:pt idx="58">
                  <c:v>-7.8474500567154006</c:v>
                </c:pt>
                <c:pt idx="59">
                  <c:v>-7.7491550991398706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2-4983-B92D-B9145B2544AC}"/>
            </c:ext>
          </c:extLst>
        </c:ser>
        <c:ser>
          <c:idx val="1"/>
          <c:order val="1"/>
          <c:tx>
            <c:strRef>
              <c:f>'Data 2'!$E$6</c:f>
              <c:strCache>
                <c:ptCount val="1"/>
                <c:pt idx="0">
                  <c:v>Industria</c:v>
                </c:pt>
              </c:strCache>
            </c:strRef>
          </c:tx>
          <c:spPr>
            <a:ln>
              <a:solidFill>
                <a:schemeClr val="bg2">
                  <a:lumMod val="10000"/>
                </a:schemeClr>
              </a:solidFill>
              <a:prstDash val="sysDot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2'!$E$7:$E$66</c:f>
              <c:numCache>
                <c:formatCode>0.0</c:formatCode>
                <c:ptCount val="60"/>
                <c:pt idx="0">
                  <c:v>1.57806067345145</c:v>
                </c:pt>
                <c:pt idx="1">
                  <c:v>1.35617511961563</c:v>
                </c:pt>
                <c:pt idx="2">
                  <c:v>0.87455204338582304</c:v>
                </c:pt>
                <c:pt idx="3">
                  <c:v>0.68402253722636996</c:v>
                </c:pt>
                <c:pt idx="4">
                  <c:v>0.35588791407312698</c:v>
                </c:pt>
                <c:pt idx="5">
                  <c:v>5.9022884062898094E-2</c:v>
                </c:pt>
                <c:pt idx="6">
                  <c:v>-7.3520422293327198E-2</c:v>
                </c:pt>
                <c:pt idx="7">
                  <c:v>-0.33070149027180101</c:v>
                </c:pt>
                <c:pt idx="8">
                  <c:v>-0.46170392945509303</c:v>
                </c:pt>
                <c:pt idx="9">
                  <c:v>-0.64042000830618595</c:v>
                </c:pt>
                <c:pt idx="10">
                  <c:v>-0.73623435181702201</c:v>
                </c:pt>
                <c:pt idx="11">
                  <c:v>-0.66237250237592993</c:v>
                </c:pt>
                <c:pt idx="12">
                  <c:v>-0.30558283973767303</c:v>
                </c:pt>
                <c:pt idx="13">
                  <c:v>-3.43572625457811E-2</c:v>
                </c:pt>
                <c:pt idx="14">
                  <c:v>0.69340986585217901</c:v>
                </c:pt>
                <c:pt idx="15">
                  <c:v>0.62409579152427097</c:v>
                </c:pt>
                <c:pt idx="16">
                  <c:v>0.95999135667033109</c:v>
                </c:pt>
                <c:pt idx="17">
                  <c:v>1.3221979835898301</c:v>
                </c:pt>
                <c:pt idx="18">
                  <c:v>1.7389053543769701</c:v>
                </c:pt>
                <c:pt idx="19">
                  <c:v>2.0190873745040001</c:v>
                </c:pt>
                <c:pt idx="20">
                  <c:v>2.3920676754946202</c:v>
                </c:pt>
                <c:pt idx="21">
                  <c:v>2.75138072784527</c:v>
                </c:pt>
                <c:pt idx="22">
                  <c:v>3.2732172091218397</c:v>
                </c:pt>
                <c:pt idx="23">
                  <c:v>3.2534023119013695</c:v>
                </c:pt>
                <c:pt idx="24">
                  <c:v>3.0899090725131</c:v>
                </c:pt>
                <c:pt idx="25">
                  <c:v>3.0816219882548799</c:v>
                </c:pt>
                <c:pt idx="26">
                  <c:v>2.5834938773355898</c:v>
                </c:pt>
                <c:pt idx="27">
                  <c:v>2.7573162462818601</c:v>
                </c:pt>
                <c:pt idx="28">
                  <c:v>2.5809377909450997</c:v>
                </c:pt>
                <c:pt idx="29">
                  <c:v>2.2710066265406499</c:v>
                </c:pt>
                <c:pt idx="30">
                  <c:v>1.7370802914931101</c:v>
                </c:pt>
                <c:pt idx="31">
                  <c:v>1.22139434567754</c:v>
                </c:pt>
                <c:pt idx="32">
                  <c:v>0.75048963534056801</c:v>
                </c:pt>
                <c:pt idx="33">
                  <c:v>0.24845203684482597</c:v>
                </c:pt>
                <c:pt idx="34">
                  <c:v>-0.54313557586399597</c:v>
                </c:pt>
                <c:pt idx="35">
                  <c:v>-0.78367760944115794</c:v>
                </c:pt>
                <c:pt idx="36">
                  <c:v>-0.83841892628960801</c:v>
                </c:pt>
                <c:pt idx="37">
                  <c:v>-1.1751511017593899</c:v>
                </c:pt>
                <c:pt idx="38">
                  <c:v>-1.35303528503783</c:v>
                </c:pt>
                <c:pt idx="39">
                  <c:v>-1.9095646003264002</c:v>
                </c:pt>
                <c:pt idx="40">
                  <c:v>-2.2933144163114401</c:v>
                </c:pt>
                <c:pt idx="41">
                  <c:v>-2.6127129387942101</c:v>
                </c:pt>
                <c:pt idx="42">
                  <c:v>-2.7201016379469802</c:v>
                </c:pt>
                <c:pt idx="43">
                  <c:v>-2.7636322023230599</c:v>
                </c:pt>
                <c:pt idx="44">
                  <c:v>-2.9241592346202601</c:v>
                </c:pt>
                <c:pt idx="45">
                  <c:v>-3.1128269422127701</c:v>
                </c:pt>
                <c:pt idx="46">
                  <c:v>-3.2128872206052996</c:v>
                </c:pt>
                <c:pt idx="47">
                  <c:v>-3.65302620315865</c:v>
                </c:pt>
                <c:pt idx="48">
                  <c:v>-4.1309166077142301</c:v>
                </c:pt>
                <c:pt idx="49">
                  <c:v>-4.1531172361763407</c:v>
                </c:pt>
                <c:pt idx="50">
                  <c:v>-4.55600469422349</c:v>
                </c:pt>
                <c:pt idx="51">
                  <c:v>-6.1642910746099799</c:v>
                </c:pt>
                <c:pt idx="52">
                  <c:v>-7.010051200509861</c:v>
                </c:pt>
                <c:pt idx="53">
                  <c:v>-7.4342138891591096</c:v>
                </c:pt>
                <c:pt idx="54">
                  <c:v>-7.8315294568863294</c:v>
                </c:pt>
                <c:pt idx="55">
                  <c:v>-8.1470344960193</c:v>
                </c:pt>
                <c:pt idx="56">
                  <c:v>-8.0716314585894704</c:v>
                </c:pt>
                <c:pt idx="57">
                  <c:v>-7.8927213294198699</c:v>
                </c:pt>
                <c:pt idx="58">
                  <c:v>-7.5456510085103599</c:v>
                </c:pt>
                <c:pt idx="59">
                  <c:v>-7.0406463533148802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2-4983-B92D-B9145B2544AC}"/>
            </c:ext>
          </c:extLst>
        </c:ser>
        <c:ser>
          <c:idx val="2"/>
          <c:order val="2"/>
          <c:tx>
            <c:strRef>
              <c:f>'Data 2'!$F$6</c:f>
              <c:strCache>
                <c:ptCount val="1"/>
                <c:pt idx="0">
                  <c:v>Servicios</c:v>
                </c:pt>
              </c:strCache>
            </c:strRef>
          </c:tx>
          <c:spPr>
            <a:ln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2'!$F$7:$F$66</c:f>
              <c:numCache>
                <c:formatCode>0.0</c:formatCode>
                <c:ptCount val="60"/>
                <c:pt idx="0">
                  <c:v>2.0443402568968398</c:v>
                </c:pt>
                <c:pt idx="1">
                  <c:v>1.8722488223028799</c:v>
                </c:pt>
                <c:pt idx="2">
                  <c:v>1.85356759732094</c:v>
                </c:pt>
                <c:pt idx="3">
                  <c:v>1.8986205404018901</c:v>
                </c:pt>
                <c:pt idx="4">
                  <c:v>2.30231402982393</c:v>
                </c:pt>
                <c:pt idx="5">
                  <c:v>2.26005991041478</c:v>
                </c:pt>
                <c:pt idx="6">
                  <c:v>1.6756565426260499</c:v>
                </c:pt>
                <c:pt idx="7">
                  <c:v>1.4550761058006001</c:v>
                </c:pt>
                <c:pt idx="8">
                  <c:v>1.60770246408859</c:v>
                </c:pt>
                <c:pt idx="9">
                  <c:v>1.3519230342650801</c:v>
                </c:pt>
                <c:pt idx="10">
                  <c:v>1.43016643073219</c:v>
                </c:pt>
                <c:pt idx="11">
                  <c:v>1.4646001612316901</c:v>
                </c:pt>
                <c:pt idx="12">
                  <c:v>1.66029681054272</c:v>
                </c:pt>
                <c:pt idx="13">
                  <c:v>1.7225504549194699</c:v>
                </c:pt>
                <c:pt idx="14">
                  <c:v>1.6792475456241001</c:v>
                </c:pt>
                <c:pt idx="15">
                  <c:v>1.1090423251580901</c:v>
                </c:pt>
                <c:pt idx="16">
                  <c:v>0.73693672776560193</c:v>
                </c:pt>
                <c:pt idx="17">
                  <c:v>0.83594026043416503</c:v>
                </c:pt>
                <c:pt idx="18">
                  <c:v>1.0282320821895801</c:v>
                </c:pt>
                <c:pt idx="19">
                  <c:v>1.14959196774935</c:v>
                </c:pt>
                <c:pt idx="20">
                  <c:v>1.08816389857163</c:v>
                </c:pt>
                <c:pt idx="21">
                  <c:v>0.78345022945407494</c:v>
                </c:pt>
                <c:pt idx="22">
                  <c:v>0.70874514273588907</c:v>
                </c:pt>
                <c:pt idx="23">
                  <c:v>0.79896182478300692</c:v>
                </c:pt>
                <c:pt idx="24">
                  <c:v>0.58179698882954201</c:v>
                </c:pt>
                <c:pt idx="25">
                  <c:v>0.67792689288552799</c:v>
                </c:pt>
                <c:pt idx="26">
                  <c:v>0.80298444232191901</c:v>
                </c:pt>
                <c:pt idx="27">
                  <c:v>1.3140901961760498</c:v>
                </c:pt>
                <c:pt idx="28">
                  <c:v>1.6980113948267699</c:v>
                </c:pt>
                <c:pt idx="29">
                  <c:v>1.469142871794</c:v>
                </c:pt>
                <c:pt idx="30">
                  <c:v>1.3874973127813801</c:v>
                </c:pt>
                <c:pt idx="31">
                  <c:v>1.1892224487629202</c:v>
                </c:pt>
                <c:pt idx="32">
                  <c:v>1.22071530013768</c:v>
                </c:pt>
                <c:pt idx="33">
                  <c:v>1.5796159967239602</c:v>
                </c:pt>
                <c:pt idx="34">
                  <c:v>1.47049254489793</c:v>
                </c:pt>
                <c:pt idx="35">
                  <c:v>1.1045185340883901</c:v>
                </c:pt>
                <c:pt idx="36">
                  <c:v>1.2019821348278101</c:v>
                </c:pt>
                <c:pt idx="37">
                  <c:v>0.9744588160456541</c:v>
                </c:pt>
                <c:pt idx="38">
                  <c:v>0.85262391411104999</c:v>
                </c:pt>
                <c:pt idx="39">
                  <c:v>0.63128375363885603</c:v>
                </c:pt>
                <c:pt idx="40">
                  <c:v>0.209099943801028</c:v>
                </c:pt>
                <c:pt idx="41">
                  <c:v>0.18759772309964198</c:v>
                </c:pt>
                <c:pt idx="42">
                  <c:v>0.11949004313431799</c:v>
                </c:pt>
                <c:pt idx="43">
                  <c:v>0.106297515104137</c:v>
                </c:pt>
                <c:pt idx="44">
                  <c:v>-3.0065685489988298E-2</c:v>
                </c:pt>
                <c:pt idx="45">
                  <c:v>-0.25249459621861103</c:v>
                </c:pt>
                <c:pt idx="46">
                  <c:v>-0.22009128864480801</c:v>
                </c:pt>
                <c:pt idx="47">
                  <c:v>-0.13299285125208901</c:v>
                </c:pt>
                <c:pt idx="48">
                  <c:v>-0.27581837058751102</c:v>
                </c:pt>
                <c:pt idx="49">
                  <c:v>-0.37837049458484501</c:v>
                </c:pt>
                <c:pt idx="50">
                  <c:v>-1.38577347866006</c:v>
                </c:pt>
                <c:pt idx="51">
                  <c:v>-3.3850748728718001</c:v>
                </c:pt>
                <c:pt idx="52">
                  <c:v>-5.0636267434797402</c:v>
                </c:pt>
                <c:pt idx="53">
                  <c:v>-6.1585740532972197</c:v>
                </c:pt>
                <c:pt idx="54">
                  <c:v>-7.1792719271284904</c:v>
                </c:pt>
                <c:pt idx="55">
                  <c:v>-7.8189536528511905</c:v>
                </c:pt>
                <c:pt idx="56">
                  <c:v>-8.6322886255543292</c:v>
                </c:pt>
                <c:pt idx="57">
                  <c:v>-9.2279382497565994</c:v>
                </c:pt>
                <c:pt idx="58">
                  <c:v>-10.0632886212078</c:v>
                </c:pt>
                <c:pt idx="59">
                  <c:v>-10.6536731565336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2-4983-B92D-B9145B25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234264"/>
        <c:axId val="336234656"/>
      </c:lineChart>
      <c:catAx>
        <c:axId val="336234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6234656"/>
        <c:crosses val="autoZero"/>
        <c:auto val="0"/>
        <c:lblAlgn val="ctr"/>
        <c:lblOffset val="100"/>
        <c:tickLblSkip val="1"/>
        <c:tickMarkSkip val="12"/>
        <c:noMultiLvlLbl val="0"/>
      </c:catAx>
      <c:valAx>
        <c:axId val="336234656"/>
        <c:scaling>
          <c:orientation val="minMax"/>
          <c:max val="4"/>
          <c:min val="-1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6234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976752498992423"/>
          <c:y val="6.6758229806909491E-3"/>
          <c:w val="0.37429943476273281"/>
          <c:h val="0.171201113672945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Demanda horaria (MWh)</a:t>
            </a:r>
          </a:p>
        </c:rich>
      </c:tx>
      <c:layout>
        <c:manualLayout>
          <c:xMode val="edge"/>
          <c:yMode val="edge"/>
          <c:x val="0.58141538769989853"/>
          <c:y val="0.1083982256295754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71122994652399E-2"/>
          <c:y val="0.19399080452193646"/>
          <c:w val="0.8709442338226242"/>
          <c:h val="0.69371514991714756"/>
        </c:manualLayout>
      </c:layout>
      <c:barChart>
        <c:barDir val="bar"/>
        <c:grouping val="clustered"/>
        <c:varyColors val="0"/>
        <c:ser>
          <c:idx val="0"/>
          <c:order val="0"/>
          <c:tx>
            <c:v>Verano (junio-septiembre)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1'!$E$232:$E$236</c:f>
              <c:numCache>
                <c:formatCode>#,##0</c:formatCode>
                <c:ptCount val="5"/>
                <c:pt idx="0">
                  <c:v>40043.813999999998</c:v>
                </c:pt>
                <c:pt idx="1">
                  <c:v>39301.834999999999</c:v>
                </c:pt>
                <c:pt idx="2">
                  <c:v>39701.370000000003</c:v>
                </c:pt>
                <c:pt idx="3">
                  <c:v>39382.936999999998</c:v>
                </c:pt>
                <c:pt idx="4">
                  <c:v>38466.773999999998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D-4B8F-B380-9A2D96B938FF}"/>
            </c:ext>
          </c:extLst>
        </c:ser>
        <c:ser>
          <c:idx val="3"/>
          <c:order val="1"/>
          <c:tx>
            <c:v>Invierno (enero-mayo/octubre-diciembre)</c:v>
          </c:tx>
          <c:spPr>
            <a:solidFill>
              <a:srgbClr val="A6CAF0"/>
            </a:solidFill>
            <a:ln w="254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1'!$E$224:$E$228</c:f>
              <c:numCache>
                <c:formatCode>#,##0</c:formatCode>
                <c:ptCount val="5"/>
                <c:pt idx="0">
                  <c:v>38085.987000000001</c:v>
                </c:pt>
                <c:pt idx="1">
                  <c:v>40960.58</c:v>
                </c:pt>
                <c:pt idx="2">
                  <c:v>40611.154000000002</c:v>
                </c:pt>
                <c:pt idx="3">
                  <c:v>40136.264999999999</c:v>
                </c:pt>
                <c:pt idx="4">
                  <c:v>39997.188999999998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D-4B8F-B380-9A2D96B93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36235440"/>
        <c:axId val="336235832"/>
      </c:barChart>
      <c:catAx>
        <c:axId val="3362354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12700">
            <a:solidFill>
              <a:srgbClr val="004563"/>
            </a:solidFill>
            <a:prstDash val="solid"/>
          </a:ln>
        </c:spPr>
        <c:crossAx val="336235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36235832"/>
        <c:scaling>
          <c:orientation val="maxMin"/>
          <c:max val="50000"/>
          <c:min val="0"/>
        </c:scaling>
        <c:delete val="0"/>
        <c:axPos val="b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3544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2064865248438651"/>
          <c:y val="1.3039449115284679E-2"/>
          <c:w val="0.62513984555812774"/>
          <c:h val="0.1119200912606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000000000000722" r="0.75000000000000722" t="1" header="0.511811024" footer="0.511811024"/>
    <c:pageSetup orientation="portrait" horizontalDpi="-4" verticalDpi="-4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Demanda diaria (GWh)</a:t>
            </a:r>
          </a:p>
        </c:rich>
      </c:tx>
      <c:layout>
        <c:manualLayout>
          <c:xMode val="edge"/>
          <c:yMode val="edge"/>
          <c:x val="3.5320432403576685E-2"/>
          <c:y val="0.1107305336832901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88135593220903E-2"/>
          <c:y val="0.19097222222222221"/>
          <c:w val="0.88474576271186445"/>
          <c:h val="0.69444444444444464"/>
        </c:manualLayout>
      </c:layout>
      <c:barChart>
        <c:barDir val="bar"/>
        <c:grouping val="clustered"/>
        <c:varyColors val="0"/>
        <c:ser>
          <c:idx val="1"/>
          <c:order val="0"/>
          <c:tx>
            <c:v>Verano (Junio-Septiembre)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1'!$F$232:$F$236</c:f>
              <c:numCache>
                <c:formatCode>#,##0</c:formatCode>
                <c:ptCount val="5"/>
                <c:pt idx="0">
                  <c:v>817.42597000000001</c:v>
                </c:pt>
                <c:pt idx="1">
                  <c:v>813.75465099999997</c:v>
                </c:pt>
                <c:pt idx="2">
                  <c:v>806.03012000000001</c:v>
                </c:pt>
                <c:pt idx="3">
                  <c:v>808.54011500000001</c:v>
                </c:pt>
                <c:pt idx="4">
                  <c:v>779.82743799999992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1-45EF-ABCB-D7154CF1F6A5}"/>
            </c:ext>
          </c:extLst>
        </c:ser>
        <c:ser>
          <c:idx val="0"/>
          <c:order val="1"/>
          <c:tx>
            <c:v>Invierno (enero-mayo/octubre-diciembre)</c:v>
          </c:tx>
          <c:spPr>
            <a:solidFill>
              <a:srgbClr val="A6CAF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1'!$F$224:$F$228</c:f>
              <c:numCache>
                <c:formatCode>#,##0</c:formatCode>
                <c:ptCount val="5"/>
                <c:pt idx="0">
                  <c:v>783.27083900000002</c:v>
                </c:pt>
                <c:pt idx="1">
                  <c:v>844.11916199999996</c:v>
                </c:pt>
                <c:pt idx="2">
                  <c:v>835.89350000000002</c:v>
                </c:pt>
                <c:pt idx="3">
                  <c:v>824.00125800000001</c:v>
                </c:pt>
                <c:pt idx="4">
                  <c:v>819.60931900000003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1-45EF-ABCB-D7154CF1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6233480"/>
        <c:axId val="336233088"/>
      </c:barChart>
      <c:catAx>
        <c:axId val="336233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D4"/>
            </a:solidFill>
            <a:prstDash val="solid"/>
          </a:ln>
        </c:spPr>
        <c:crossAx val="336233088"/>
        <c:crosses val="autoZero"/>
        <c:auto val="1"/>
        <c:lblAlgn val="ctr"/>
        <c:lblOffset val="100"/>
        <c:tickMarkSkip val="1"/>
        <c:noMultiLvlLbl val="0"/>
      </c:catAx>
      <c:valAx>
        <c:axId val="336233088"/>
        <c:scaling>
          <c:orientation val="minMax"/>
          <c:max val="1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33480"/>
        <c:crosses val="autoZero"/>
        <c:crossBetween val="between"/>
        <c:majorUnit val="200"/>
        <c:minorUnit val="7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3.3968971700319615E-3"/>
          <c:y val="3.6133287094282977E-2"/>
          <c:w val="0.49474202853356203"/>
          <c:h val="6.525532049655775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722" r="0.75000000000000722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6CC7-4FE1-8711-4AEF59C70F2C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6CC7-4FE1-8711-4AEF59C70F2C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6CC7-4FE1-8711-4AEF59C70F2C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6CC7-4FE1-8711-4AEF59C70F2C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6CC7-4FE1-8711-4AEF59C70F2C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6CC7-4FE1-8711-4AEF59C70F2C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6CC7-4FE1-8711-4AEF59C70F2C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6CC7-4FE1-8711-4AEF59C70F2C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6CC7-4FE1-8711-4AEF59C70F2C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6CC7-4FE1-8711-4AEF59C70F2C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6CC7-4FE1-8711-4AEF59C70F2C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6CC7-4FE1-8711-4AEF59C70F2C}"/>
              </c:ext>
            </c:extLst>
          </c:dPt>
          <c:dLbls>
            <c:dLbl>
              <c:idx val="0"/>
              <c:layout>
                <c:manualLayout>
                  <c:x val="7.3083157288265796E-2"/>
                  <c:y val="-9.1579434923575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5121951219512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CC7-4FE1-8711-4AEF59C70F2C}"/>
                </c:ext>
              </c:extLst>
            </c:dLbl>
            <c:dLbl>
              <c:idx val="1"/>
              <c:layout>
                <c:manualLayout>
                  <c:x val="0.1126063632289865"/>
                  <c:y val="-6.3149400442591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7-4FE1-8711-4AEF59C70F2C}"/>
                </c:ext>
              </c:extLst>
            </c:dLbl>
            <c:dLbl>
              <c:idx val="2"/>
              <c:layout>
                <c:manualLayout>
                  <c:x val="0.13383035657128226"/>
                  <c:y val="-1.95646132468735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CC7-4FE1-8711-4AEF59C70F2C}"/>
                </c:ext>
              </c:extLst>
            </c:dLbl>
            <c:dLbl>
              <c:idx val="3"/>
              <c:layout>
                <c:manualLayout>
                  <c:x val="0.11003904999679918"/>
                  <c:y val="4.2782769800833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7-4FE1-8711-4AEF59C70F2C}"/>
                </c:ext>
              </c:extLst>
            </c:dLbl>
            <c:dLbl>
              <c:idx val="4"/>
              <c:layout>
                <c:manualLayout>
                  <c:x val="0.10606619294539402"/>
                  <c:y val="0.106790180639184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7-4FE1-8711-4AEF59C70F2C}"/>
                </c:ext>
              </c:extLst>
            </c:dLbl>
            <c:dLbl>
              <c:idx val="5"/>
              <c:layout>
                <c:manualLayout>
                  <c:x val="-0.29568683182894823"/>
                  <c:y val="0.100145540630950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CC7-4FE1-8711-4AEF59C70F2C}"/>
                </c:ext>
              </c:extLst>
            </c:dLbl>
            <c:dLbl>
              <c:idx val="6"/>
              <c:layout>
                <c:manualLayout>
                  <c:x val="-0.40136636578964213"/>
                  <c:y val="-2.8758169934640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CC7-4FE1-8711-4AEF59C70F2C}"/>
                </c:ext>
              </c:extLst>
            </c:dLbl>
            <c:dLbl>
              <c:idx val="7"/>
              <c:layout>
                <c:manualLayout>
                  <c:x val="-0.25995774918379105"/>
                  <c:y val="-0.11827080438474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7-4FE1-8711-4AEF59C70F2C}"/>
                </c:ext>
              </c:extLst>
            </c:dLbl>
            <c:dLbl>
              <c:idx val="8"/>
              <c:layout>
                <c:manualLayout>
                  <c:x val="-0.19122642596504705"/>
                  <c:y val="4.1553805774278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7-4FE1-8711-4AEF59C70F2C}"/>
                </c:ext>
              </c:extLst>
            </c:dLbl>
            <c:dLbl>
              <c:idx val="9"/>
              <c:layout>
                <c:manualLayout>
                  <c:x val="-0.26604084245566867"/>
                  <c:y val="8.5997015078997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CC7-4FE1-8711-4AEF59C70F2C}"/>
                </c:ext>
              </c:extLst>
            </c:dLbl>
            <c:dLbl>
              <c:idx val="10"/>
              <c:layout>
                <c:manualLayout>
                  <c:x val="-0.24437718455924717"/>
                  <c:y val="-1.66122175904482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7-4FE1-8711-4AEF59C70F2C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CC7-4FE1-8711-4AEF59C70F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1'!$C$240:$C$251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1'!$F$240:$F$251</c:f>
              <c:numCache>
                <c:formatCode>#,##0.0\ \ \ _)</c:formatCode>
                <c:ptCount val="12"/>
                <c:pt idx="0">
                  <c:v>3.1636185312754646</c:v>
                </c:pt>
                <c:pt idx="1">
                  <c:v>6.763933484273001</c:v>
                </c:pt>
                <c:pt idx="2">
                  <c:v>5.2193590248485622</c:v>
                </c:pt>
                <c:pt idx="3">
                  <c:v>23.342422086219003</c:v>
                </c:pt>
                <c:pt idx="4">
                  <c:v>5.3428482881655244</c:v>
                </c:pt>
                <c:pt idx="5">
                  <c:v>0.41672334094663316</c:v>
                </c:pt>
                <c:pt idx="6">
                  <c:v>0.1129375008517698</c:v>
                </c:pt>
                <c:pt idx="7">
                  <c:v>25.479644367247911</c:v>
                </c:pt>
                <c:pt idx="8">
                  <c:v>16.234629471662508</c:v>
                </c:pt>
                <c:pt idx="9">
                  <c:v>10.716818113518659</c:v>
                </c:pt>
                <c:pt idx="10">
                  <c:v>2.1896242360365097</c:v>
                </c:pt>
                <c:pt idx="11">
                  <c:v>1.0174415549544515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CC7-4FE1-8711-4AEF59C70F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4940-476D-9181-108B9D5A074B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4940-476D-9181-108B9D5A074B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4940-476D-9181-108B9D5A074B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4940-476D-9181-108B9D5A074B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4940-476D-9181-108B9D5A074B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4940-476D-9181-108B9D5A074B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4940-476D-9181-108B9D5A074B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4940-476D-9181-108B9D5A074B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4940-476D-9181-108B9D5A074B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4940-476D-9181-108B9D5A074B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4940-476D-9181-108B9D5A074B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4940-476D-9181-108B9D5A074B}"/>
              </c:ext>
            </c:extLst>
          </c:dPt>
          <c:dLbls>
            <c:dLbl>
              <c:idx val="0"/>
              <c:layout>
                <c:manualLayout>
                  <c:x val="0.1731059471224633"/>
                  <c:y val="-8.46062477484432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564048396389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40-476D-9181-108B9D5A074B}"/>
                </c:ext>
              </c:extLst>
            </c:dLbl>
            <c:dLbl>
              <c:idx val="1"/>
              <c:layout>
                <c:manualLayout>
                  <c:x val="0.12236246078996212"/>
                  <c:y val="-5.2691884102722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0-476D-9181-108B9D5A074B}"/>
                </c:ext>
              </c:extLst>
            </c:dLbl>
            <c:dLbl>
              <c:idx val="2"/>
              <c:layout>
                <c:manualLayout>
                  <c:x val="0.11106612892900571"/>
                  <c:y val="4.31804847923420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40-476D-9181-108B9D5A074B}"/>
                </c:ext>
              </c:extLst>
            </c:dLbl>
            <c:dLbl>
              <c:idx val="3"/>
              <c:layout>
                <c:manualLayout>
                  <c:x val="0.11816913129761207"/>
                  <c:y val="0.104862950954659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40-476D-9181-108B9D5A074B}"/>
                </c:ext>
              </c:extLst>
            </c:dLbl>
            <c:dLbl>
              <c:idx val="4"/>
              <c:layout>
                <c:manualLayout>
                  <c:x val="0.11582229050636957"/>
                  <c:y val="0.113680613452730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40-476D-9181-108B9D5A074B}"/>
                </c:ext>
              </c:extLst>
            </c:dLbl>
            <c:dLbl>
              <c:idx val="5"/>
              <c:layout>
                <c:manualLayout>
                  <c:x val="-0.12007707573138723"/>
                  <c:y val="0.1828731408573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46651433276722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940-476D-9181-108B9D5A074B}"/>
                </c:ext>
              </c:extLst>
            </c:dLbl>
            <c:dLbl>
              <c:idx val="6"/>
              <c:layout>
                <c:manualLayout>
                  <c:x val="-0.27154471544715447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940-476D-9181-108B9D5A074B}"/>
                </c:ext>
              </c:extLst>
            </c:dLbl>
            <c:dLbl>
              <c:idx val="7"/>
              <c:layout>
                <c:manualLayout>
                  <c:x val="-0.18552947954676396"/>
                  <c:y val="-6.23745561216612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940-476D-9181-108B9D5A074B}"/>
                </c:ext>
              </c:extLst>
            </c:dLbl>
            <c:dLbl>
              <c:idx val="8"/>
              <c:layout>
                <c:manualLayout>
                  <c:x val="-0.20416183342935793"/>
                  <c:y val="0.214102825382121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40-476D-9181-108B9D5A074B}"/>
                </c:ext>
              </c:extLst>
            </c:dLbl>
            <c:dLbl>
              <c:idx val="9"/>
              <c:layout>
                <c:manualLayout>
                  <c:x val="-0.25953677741501824"/>
                  <c:y val="0.216715969327363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940-476D-9181-108B9D5A074B}"/>
                </c:ext>
              </c:extLst>
            </c:dLbl>
            <c:dLbl>
              <c:idx val="10"/>
              <c:layout>
                <c:manualLayout>
                  <c:x val="-0.30137712054285898"/>
                  <c:y val="0.12194987391281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9375200051213"/>
                      <c:h val="0.146274715660542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940-476D-9181-108B9D5A074B}"/>
                </c:ext>
              </c:extLst>
            </c:dLbl>
            <c:dLbl>
              <c:idx val="11"/>
              <c:layout>
                <c:manualLayout>
                  <c:x val="-0.29593495934959352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940-476D-9181-108B9D5A074B}"/>
                </c:ext>
              </c:extLst>
            </c:dLbl>
            <c:dLbl>
              <c:idx val="12"/>
              <c:layout>
                <c:manualLayout>
                  <c:x val="-0.15934946546315856"/>
                  <c:y val="-6.5359477124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203791055529823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4940-476D-9181-108B9D5A07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1'!$C$273:$C$285</c:f>
              <c:strCache>
                <c:ptCount val="13"/>
                <c:pt idx="0">
                  <c:v>Turbinación bombeo (1)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1'!$F$273:$F$285</c:f>
              <c:numCache>
                <c:formatCode>#,##0.0\ \ \ _)</c:formatCode>
                <c:ptCount val="13"/>
                <c:pt idx="0">
                  <c:v>1.1320041516572845</c:v>
                </c:pt>
                <c:pt idx="1">
                  <c:v>22.985707914884632</c:v>
                </c:pt>
                <c:pt idx="2">
                  <c:v>1.978934464669208</c:v>
                </c:pt>
                <c:pt idx="3">
                  <c:v>15.81281718019601</c:v>
                </c:pt>
                <c:pt idx="4">
                  <c:v>11.097232225280642</c:v>
                </c:pt>
                <c:pt idx="5">
                  <c:v>0.78131141574027307</c:v>
                </c:pt>
                <c:pt idx="6">
                  <c:v>0.24977309102335085</c:v>
                </c:pt>
                <c:pt idx="7">
                  <c:v>22.168626586062565</c:v>
                </c:pt>
                <c:pt idx="8">
                  <c:v>12.592234151898063</c:v>
                </c:pt>
                <c:pt idx="9">
                  <c:v>6.1365353063161399</c:v>
                </c:pt>
                <c:pt idx="10">
                  <c:v>1.8709121574153851</c:v>
                </c:pt>
                <c:pt idx="11">
                  <c:v>1.8419043131951922</c:v>
                </c:pt>
                <c:pt idx="12">
                  <c:v>1.3520070416612644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940-476D-9181-108B9D5A07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6A3D-48CF-8401-FCEB05B24A70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6A3D-48CF-8401-FCEB05B24A70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6A3D-48CF-8401-FCEB05B24A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6A3D-48CF-8401-FCEB05B24A70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6A3D-48CF-8401-FCEB05B24A70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6A3D-48CF-8401-FCEB05B24A70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6A3D-48CF-8401-FCEB05B24A70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6A3D-48CF-8401-FCEB05B24A70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6A3D-48CF-8401-FCEB05B24A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6A3D-48CF-8401-FCEB05B24A70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6A3D-48CF-8401-FCEB05B24A70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6A3D-48CF-8401-FCEB05B24A70}"/>
              </c:ext>
            </c:extLst>
          </c:dPt>
          <c:dLbls>
            <c:dLbl>
              <c:idx val="0"/>
              <c:layout>
                <c:manualLayout>
                  <c:x val="0.16334984956148779"/>
                  <c:y val="-8.98350059183778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564048396389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A3D-48CF-8401-FCEB05B24A70}"/>
                </c:ext>
              </c:extLst>
            </c:dLbl>
            <c:dLbl>
              <c:idx val="1"/>
              <c:layout>
                <c:manualLayout>
                  <c:x val="0.12236246078996212"/>
                  <c:y val="-5.2691884102722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D-48CF-8401-FCEB05B24A70}"/>
                </c:ext>
              </c:extLst>
            </c:dLbl>
            <c:dLbl>
              <c:idx val="2"/>
              <c:layout>
                <c:manualLayout>
                  <c:x val="0.11106612892900571"/>
                  <c:y val="4.31804847923420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3D-48CF-8401-FCEB05B24A70}"/>
                </c:ext>
              </c:extLst>
            </c:dLbl>
            <c:dLbl>
              <c:idx val="3"/>
              <c:layout>
                <c:manualLayout>
                  <c:x val="0.11816913129761207"/>
                  <c:y val="0.104862950954659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3D-48CF-8401-FCEB05B24A70}"/>
                </c:ext>
              </c:extLst>
            </c:dLbl>
            <c:dLbl>
              <c:idx val="4"/>
              <c:layout>
                <c:manualLayout>
                  <c:x val="5.7285705140515911E-2"/>
                  <c:y val="0.113680613452730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3D-48CF-8401-FCEB05B24A70}"/>
                </c:ext>
              </c:extLst>
            </c:dLbl>
            <c:dLbl>
              <c:idx val="5"/>
              <c:layout>
                <c:manualLayout>
                  <c:x val="-0.12983317329236285"/>
                  <c:y val="0.125431732798106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46651433276722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3D-48CF-8401-FCEB05B24A70}"/>
                </c:ext>
              </c:extLst>
            </c:dLbl>
            <c:dLbl>
              <c:idx val="6"/>
              <c:layout>
                <c:manualLayout>
                  <c:x val="-0.18172050444913898"/>
                  <c:y val="3.9215686274509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3D-48CF-8401-FCEB05B24A70}"/>
                </c:ext>
              </c:extLst>
            </c:dLbl>
            <c:dLbl>
              <c:idx val="7"/>
              <c:layout>
                <c:manualLayout>
                  <c:x val="-0.13349695922156071"/>
                  <c:y val="9.34939014976068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3D-48CF-8401-FCEB05B24A70}"/>
                </c:ext>
              </c:extLst>
            </c:dLbl>
            <c:dLbl>
              <c:idx val="8"/>
              <c:layout>
                <c:manualLayout>
                  <c:x val="-0.1748935407464311"/>
                  <c:y val="0.276847923421337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D-48CF-8401-FCEB05B24A70}"/>
                </c:ext>
              </c:extLst>
            </c:dLbl>
            <c:dLbl>
              <c:idx val="9"/>
              <c:layout>
                <c:manualLayout>
                  <c:x val="-0.26929287497599386"/>
                  <c:y val="0.23763100200710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A3D-48CF-8401-FCEB05B24A70}"/>
                </c:ext>
              </c:extLst>
            </c:dLbl>
            <c:dLbl>
              <c:idx val="10"/>
              <c:layout>
                <c:manualLayout>
                  <c:x val="-0.28186492542090774"/>
                  <c:y val="0.12194987391281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9375200051213"/>
                      <c:h val="0.146274715660542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A3D-48CF-8401-FCEB05B24A70}"/>
                </c:ext>
              </c:extLst>
            </c:dLbl>
            <c:dLbl>
              <c:idx val="11"/>
              <c:layout>
                <c:manualLayout>
                  <c:x val="-0.26666666666666666"/>
                  <c:y val="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A3D-48CF-8401-FCEB05B24A70}"/>
                </c:ext>
              </c:extLst>
            </c:dLbl>
            <c:dLbl>
              <c:idx val="12"/>
              <c:layout>
                <c:manualLayout>
                  <c:x val="-0.15934946546315856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18810478102001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A3D-48CF-8401-FCEB05B24A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1'!$C$256:$C$268</c:f>
              <c:strCache>
                <c:ptCount val="13"/>
                <c:pt idx="0">
                  <c:v>Turbinación bombeo (1)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1'!$F$256:$F$268</c:f>
              <c:numCache>
                <c:formatCode>#,##0.0\ \ \ _)</c:formatCode>
                <c:ptCount val="13"/>
                <c:pt idx="0">
                  <c:v>0.64789059651304448</c:v>
                </c:pt>
                <c:pt idx="1">
                  <c:v>21.979872651097523</c:v>
                </c:pt>
                <c:pt idx="2">
                  <c:v>4.2014120062175975</c:v>
                </c:pt>
                <c:pt idx="3">
                  <c:v>20.136817120619188</c:v>
                </c:pt>
                <c:pt idx="4">
                  <c:v>11.646919464837783</c:v>
                </c:pt>
                <c:pt idx="5">
                  <c:v>0.81565968394329891</c:v>
                </c:pt>
                <c:pt idx="6">
                  <c:v>0.29095080316540584</c:v>
                </c:pt>
                <c:pt idx="7">
                  <c:v>20.907589537542297</c:v>
                </c:pt>
                <c:pt idx="8">
                  <c:v>9.7313245556512751</c:v>
                </c:pt>
                <c:pt idx="9">
                  <c:v>3.4853191665611902</c:v>
                </c:pt>
                <c:pt idx="10">
                  <c:v>2.0341974298266301</c:v>
                </c:pt>
                <c:pt idx="11">
                  <c:v>1.4201191763116419</c:v>
                </c:pt>
                <c:pt idx="12">
                  <c:v>2.7019278077131341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A3D-48CF-8401-FCEB05B24A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8AC-4856-A14E-A471E60CE5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8AC-4856-A14E-A471E60CE5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8AC-4856-A14E-A471E60CE5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8AC-4856-A14E-A471E60CE5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8AC-4856-A14E-A471E60CE5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8AC-4856-A14E-A471E60CE552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8AC-4856-A14E-A471E60CE5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38AC-4856-A14E-A471E60CE5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8AC-4856-A14E-A471E60CE5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38AC-4856-A14E-A471E60CE5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8AC-4856-A14E-A471E60CE5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8AC-4856-A14E-A471E60CE552}"/>
              </c:ext>
            </c:extLst>
          </c:dPt>
          <c:dLbls>
            <c:dLbl>
              <c:idx val="0"/>
              <c:layout>
                <c:manualLayout>
                  <c:x val="0.20237423980539018"/>
                  <c:y val="-7.4148731408573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564048396389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8AC-4856-A14E-A471E60CE552}"/>
                </c:ext>
              </c:extLst>
            </c:dLbl>
            <c:dLbl>
              <c:idx val="1"/>
              <c:layout>
                <c:manualLayout>
                  <c:x val="0.15163075347288907"/>
                  <c:y val="-5.63306057331071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C-4856-A14E-A471E60CE552}"/>
                </c:ext>
              </c:extLst>
            </c:dLbl>
            <c:dLbl>
              <c:idx val="2"/>
              <c:layout>
                <c:manualLayout>
                  <c:x val="0.14033442161193255"/>
                  <c:y val="-2.47933714168082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8AC-4856-A14E-A471E60CE552}"/>
                </c:ext>
              </c:extLst>
            </c:dLbl>
            <c:dLbl>
              <c:idx val="3"/>
              <c:layout>
                <c:manualLayout>
                  <c:x val="0.15394148902118943"/>
                  <c:y val="0.110556121661262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8AC-4856-A14E-A471E60CE552}"/>
                </c:ext>
              </c:extLst>
            </c:dLbl>
            <c:dLbl>
              <c:idx val="4"/>
              <c:layout>
                <c:manualLayout>
                  <c:x val="0.11257025798604431"/>
                  <c:y val="0.12963779527559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C-4856-A14E-A471E60CE552}"/>
                </c:ext>
              </c:extLst>
            </c:dLbl>
            <c:dLbl>
              <c:idx val="5"/>
              <c:layout>
                <c:manualLayout>
                  <c:x val="-0.34771935215415145"/>
                  <c:y val="9.6445885440790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46651433276722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8AC-4856-A14E-A471E60CE552}"/>
                </c:ext>
              </c:extLst>
            </c:dLbl>
            <c:dLbl>
              <c:idx val="6"/>
              <c:layout>
                <c:manualLayout>
                  <c:x val="-0.42933615005441395"/>
                  <c:y val="-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8AC-4856-A14E-A471E60CE552}"/>
                </c:ext>
              </c:extLst>
            </c:dLbl>
            <c:dLbl>
              <c:idx val="7"/>
              <c:layout>
                <c:manualLayout>
                  <c:x val="-0.22455386979066641"/>
                  <c:y val="-0.199316556018732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8AC-4856-A14E-A471E60CE552}"/>
                </c:ext>
              </c:extLst>
            </c:dLbl>
            <c:dLbl>
              <c:idx val="8"/>
              <c:layout>
                <c:manualLayout>
                  <c:x val="-0.23993419115293516"/>
                  <c:y val="0.109527661983428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C-4856-A14E-A471E60CE5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AC-4856-A14E-A471E60CE5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AC-4856-A14E-A471E60CE552}"/>
                </c:ext>
              </c:extLst>
            </c:dLbl>
            <c:dLbl>
              <c:idx val="11"/>
              <c:layout>
                <c:manualLayout>
                  <c:x val="-0.33495934959349594"/>
                  <c:y val="6.7973856209150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8AC-4856-A14E-A471E60CE552}"/>
                </c:ext>
              </c:extLst>
            </c:dLbl>
            <c:dLbl>
              <c:idx val="12"/>
              <c:layout>
                <c:manualLayout>
                  <c:x val="-0.19837385570706101"/>
                  <c:y val="-6.3929597035664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203791055529823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38AC-4856-A14E-A471E60CE5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1'!$C$290:$C$302</c:f>
              <c:strCache>
                <c:ptCount val="13"/>
                <c:pt idx="0">
                  <c:v>Turbinación bombeo (1)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1'!$F$290:$F$302</c:f>
              <c:numCache>
                <c:formatCode>#,##0.0\ \ \ _)</c:formatCode>
                <c:ptCount val="13"/>
                <c:pt idx="0">
                  <c:v>2.1136656303056447</c:v>
                </c:pt>
                <c:pt idx="1">
                  <c:v>17.642526614593514</c:v>
                </c:pt>
                <c:pt idx="2">
                  <c:v>3.7321532299788873</c:v>
                </c:pt>
                <c:pt idx="3">
                  <c:v>11.931791060066235</c:v>
                </c:pt>
                <c:pt idx="4">
                  <c:v>8.5417062228650877</c:v>
                </c:pt>
                <c:pt idx="5">
                  <c:v>0.59585566632132325</c:v>
                </c:pt>
                <c:pt idx="6">
                  <c:v>0.16614534193199137</c:v>
                </c:pt>
                <c:pt idx="7">
                  <c:v>34.668263237370873</c:v>
                </c:pt>
                <c:pt idx="8">
                  <c:v>16.171953236487425</c:v>
                </c:pt>
                <c:pt idx="9">
                  <c:v>2.7305102323264558E-4</c:v>
                </c:pt>
                <c:pt idx="10">
                  <c:v>0</c:v>
                </c:pt>
                <c:pt idx="11">
                  <c:v>1.1717786079466634</c:v>
                </c:pt>
                <c:pt idx="12">
                  <c:v>3.2638881011091052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AC-4856-A14E-A471E60CE5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689301458296"/>
          <c:y val="0.17550835750794308"/>
          <c:w val="0.82717094969458926"/>
          <c:h val="0.6893600635446885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'Data 1'!$C$356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1'!$D$339:$H$339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1'!$D$353:$H$353</c:f>
              <c:numCache>
                <c:formatCode>#,##0.0</c:formatCode>
                <c:ptCount val="5"/>
                <c:pt idx="0">
                  <c:v>40.356618706657244</c:v>
                </c:pt>
                <c:pt idx="1">
                  <c:v>33.705454780696229</c:v>
                </c:pt>
                <c:pt idx="2">
                  <c:v>40.160524083483772</c:v>
                </c:pt>
                <c:pt idx="3">
                  <c:v>38.921121267820695</c:v>
                </c:pt>
                <c:pt idx="4">
                  <c:v>45.474808215161644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F-43D0-AC88-1D27C79852D5}"/>
            </c:ext>
          </c:extLst>
        </c:ser>
        <c:ser>
          <c:idx val="0"/>
          <c:order val="1"/>
          <c:tx>
            <c:strRef>
              <c:f>'Data 1'!$C$357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1'!$D$339:$H$339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1'!$D$354:$H$354</c:f>
              <c:numCache>
                <c:formatCode>#,##0.0</c:formatCode>
                <c:ptCount val="5"/>
                <c:pt idx="0">
                  <c:v>59.643381293342763</c:v>
                </c:pt>
                <c:pt idx="1">
                  <c:v>66.294545219303757</c:v>
                </c:pt>
                <c:pt idx="2">
                  <c:v>59.839475916516236</c:v>
                </c:pt>
                <c:pt idx="3">
                  <c:v>61.078878732179327</c:v>
                </c:pt>
                <c:pt idx="4">
                  <c:v>54.52519178483837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F-43D0-AC88-1D27C79852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336674432"/>
        <c:axId val="336674824"/>
      </c:barChart>
      <c:catAx>
        <c:axId val="33667443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low"/>
        <c:spPr>
          <a:ln w="3175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4824"/>
        <c:crosses val="autoZero"/>
        <c:auto val="0"/>
        <c:lblAlgn val="ctr"/>
        <c:lblOffset val="100"/>
        <c:noMultiLvlLbl val="0"/>
      </c:catAx>
      <c:valAx>
        <c:axId val="3366748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4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457608299500762E-2"/>
          <c:y val="6.9335369776025689E-3"/>
          <c:w val="0.85193643717032674"/>
          <c:h val="0.137855130494009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2450327099478E-2"/>
          <c:y val="0.17933153599862162"/>
          <c:w val="0.81619185598641442"/>
          <c:h val="0.67493941151820203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1'!$C$309</c:f>
              <c:strCache>
                <c:ptCount val="1"/>
                <c:pt idx="0">
                  <c:v>Carbon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1'!$D$309:$H$309</c:f>
              <c:numCache>
                <c:formatCode>#,##0</c:formatCode>
                <c:ptCount val="5"/>
                <c:pt idx="0">
                  <c:v>33260364.291000001</c:v>
                </c:pt>
                <c:pt idx="1">
                  <c:v>40300794.128200002</c:v>
                </c:pt>
                <c:pt idx="2">
                  <c:v>33485793.393599998</c:v>
                </c:pt>
                <c:pt idx="3">
                  <c:v>10284336.47136</c:v>
                </c:pt>
                <c:pt idx="4">
                  <c:v>4636375.7184000099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5-433A-AECC-29B8017182C8}"/>
            </c:ext>
          </c:extLst>
        </c:ser>
        <c:ser>
          <c:idx val="0"/>
          <c:order val="1"/>
          <c:tx>
            <c:strRef>
              <c:f>'Data 1'!$C$310</c:f>
              <c:strCache>
                <c:ptCount val="1"/>
                <c:pt idx="0">
                  <c:v>Fuel/gas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1'!$D$310:$H$310</c:f>
              <c:numCache>
                <c:formatCode>#,##0</c:formatCode>
                <c:ptCount val="5"/>
                <c:pt idx="0">
                  <c:v>0.1666</c:v>
                </c:pt>
                <c:pt idx="1">
                  <c:v>2.0999999999999999E-3</c:v>
                </c:pt>
                <c:pt idx="2">
                  <c:v>2.31E-3</c:v>
                </c:pt>
                <c:pt idx="3">
                  <c:v>2.31E-3</c:v>
                </c:pt>
                <c:pt idx="4">
                  <c:v>3.0799999999999998E-3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64C-B027-7F10754AC58D}"/>
            </c:ext>
          </c:extLst>
        </c:ser>
        <c:ser>
          <c:idx val="3"/>
          <c:order val="2"/>
          <c:tx>
            <c:strRef>
              <c:f>'Data 1'!$C$311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1'!$D$311:$H$311</c:f>
              <c:numCache>
                <c:formatCode>#,##0</c:formatCode>
                <c:ptCount val="5"/>
                <c:pt idx="0">
                  <c:v>9421334.5154599994</c:v>
                </c:pt>
                <c:pt idx="1">
                  <c:v>12449752.88823</c:v>
                </c:pt>
                <c:pt idx="2">
                  <c:v>9769081.5355300009</c:v>
                </c:pt>
                <c:pt idx="3">
                  <c:v>18923004.57903</c:v>
                </c:pt>
                <c:pt idx="4">
                  <c:v>14192238.36815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5-433A-AECC-29B8017182C8}"/>
            </c:ext>
          </c:extLst>
        </c:ser>
        <c:ser>
          <c:idx val="4"/>
          <c:order val="3"/>
          <c:tx>
            <c:strRef>
              <c:f>'Data 1'!$C$312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1'!$D$312:$H$312</c:f>
              <c:numCache>
                <c:formatCode>#,##0</c:formatCode>
                <c:ptCount val="5"/>
                <c:pt idx="0">
                  <c:v>9832098.0519600101</c:v>
                </c:pt>
                <c:pt idx="1">
                  <c:v>10706713.738220001</c:v>
                </c:pt>
                <c:pt idx="2">
                  <c:v>11009277.461719999</c:v>
                </c:pt>
                <c:pt idx="3">
                  <c:v>11240670.40002</c:v>
                </c:pt>
                <c:pt idx="4">
                  <c:v>10027202.6362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5-433A-AECC-29B8017182C8}"/>
            </c:ext>
          </c:extLst>
        </c:ser>
        <c:ser>
          <c:idx val="10"/>
          <c:order val="4"/>
          <c:tx>
            <c:strRef>
              <c:f>'Data 1'!$C$313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1'!$D$313:$H$313</c:f>
              <c:numCache>
                <c:formatCode>#,##0</c:formatCode>
                <c:ptCount val="5"/>
                <c:pt idx="0">
                  <c:v>593114.07492000004</c:v>
                </c:pt>
                <c:pt idx="1">
                  <c:v>590190.92663999996</c:v>
                </c:pt>
                <c:pt idx="2">
                  <c:v>550525.96860000002</c:v>
                </c:pt>
                <c:pt idx="3">
                  <c:v>497184.73139999999</c:v>
                </c:pt>
                <c:pt idx="4">
                  <c:v>683001.78807000001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25-433A-AECC-29B801718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675608"/>
        <c:axId val="336676000"/>
      </c:barChart>
      <c:catAx>
        <c:axId val="33667560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6000"/>
        <c:crosses val="autoZero"/>
        <c:auto val="1"/>
        <c:lblAlgn val="ctr"/>
        <c:lblOffset val="100"/>
        <c:noMultiLvlLbl val="0"/>
      </c:catAx>
      <c:valAx>
        <c:axId val="3366760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5608"/>
        <c:crosses val="autoZero"/>
        <c:crossBetween val="between"/>
        <c:dispUnits>
          <c:builtInUnit val="millions"/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426883885793033"/>
          <c:y val="3.2500889965456033E-2"/>
          <c:w val="0.62573116114206973"/>
          <c:h val="6.435021941104253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46382108190471E-2"/>
          <c:y val="0.1515304244181718"/>
          <c:w val="0.82537002901700884"/>
          <c:h val="0.719836154282539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1'!$C$319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12700"/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1'!$D$319:$H$319</c:f>
              <c:numCache>
                <c:formatCode>#,##0</c:formatCode>
                <c:ptCount val="5"/>
                <c:pt idx="0">
                  <c:v>36111.434365772002</c:v>
                </c:pt>
                <c:pt idx="1">
                  <c:v>18447.346771659999</c:v>
                </c:pt>
                <c:pt idx="2">
                  <c:v>34113.964229872006</c:v>
                </c:pt>
                <c:pt idx="3">
                  <c:v>24715.505746512001</c:v>
                </c:pt>
                <c:pt idx="4">
                  <c:v>30545.181752445998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3-4861-B068-4271B1A0F8FD}"/>
            </c:ext>
          </c:extLst>
        </c:ser>
        <c:ser>
          <c:idx val="5"/>
          <c:order val="1"/>
          <c:tx>
            <c:strRef>
              <c:f>'Data 1'!$C$325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1'!$D$325:$H$325</c:f>
              <c:numCache>
                <c:formatCode>#,##0</c:formatCode>
                <c:ptCount val="5"/>
                <c:pt idx="0">
                  <c:v>47298.163668000001</c:v>
                </c:pt>
                <c:pt idx="1">
                  <c:v>47508.105951999903</c:v>
                </c:pt>
                <c:pt idx="2">
                  <c:v>48955.703093000004</c:v>
                </c:pt>
                <c:pt idx="3">
                  <c:v>53100.854504000003</c:v>
                </c:pt>
                <c:pt idx="4">
                  <c:v>53774.788501000003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3-4861-B068-4271B1A0F8FD}"/>
            </c:ext>
          </c:extLst>
        </c:ser>
        <c:ser>
          <c:idx val="6"/>
          <c:order val="2"/>
          <c:tx>
            <c:strRef>
              <c:f>'Data 1'!$C$326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1'!$D$326:$H$326</c:f>
              <c:numCache>
                <c:formatCode>#,##0</c:formatCode>
                <c:ptCount val="5"/>
                <c:pt idx="0">
                  <c:v>7579.2182120000007</c:v>
                </c:pt>
                <c:pt idx="1">
                  <c:v>8000.7121639999996</c:v>
                </c:pt>
                <c:pt idx="2">
                  <c:v>7380.5475820000102</c:v>
                </c:pt>
                <c:pt idx="3">
                  <c:v>8851.9733770000094</c:v>
                </c:pt>
                <c:pt idx="4">
                  <c:v>14885.490851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3-4861-B068-4271B1A0F8FD}"/>
            </c:ext>
          </c:extLst>
        </c:ser>
        <c:ser>
          <c:idx val="9"/>
          <c:order val="3"/>
          <c:tx>
            <c:strRef>
              <c:f>'Data 1'!$C$327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1'!$D$327:$H$327</c:f>
              <c:numCache>
                <c:formatCode>#,##0</c:formatCode>
                <c:ptCount val="5"/>
                <c:pt idx="0">
                  <c:v>5071.2017019999994</c:v>
                </c:pt>
                <c:pt idx="1">
                  <c:v>5347.9524650000003</c:v>
                </c:pt>
                <c:pt idx="2">
                  <c:v>4424.3266739999999</c:v>
                </c:pt>
                <c:pt idx="3">
                  <c:v>5166.4311449999996</c:v>
                </c:pt>
                <c:pt idx="4">
                  <c:v>4538.3012419999995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3-4861-B068-4271B1A0F8FD}"/>
            </c:ext>
          </c:extLst>
        </c:ser>
        <c:ser>
          <c:idx val="7"/>
          <c:order val="4"/>
          <c:tx>
            <c:strRef>
              <c:f>'Data 1'!$C$328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1'!$D$328:$H$328</c:f>
              <c:numCache>
                <c:formatCode>#,##0</c:formatCode>
                <c:ptCount val="5"/>
                <c:pt idx="0">
                  <c:v>3415.0193380000001</c:v>
                </c:pt>
                <c:pt idx="1">
                  <c:v>3599.155882</c:v>
                </c:pt>
                <c:pt idx="2">
                  <c:v>3547.1749180000002</c:v>
                </c:pt>
                <c:pt idx="3">
                  <c:v>3606.802287</c:v>
                </c:pt>
                <c:pt idx="4">
                  <c:v>4467.936455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73-4861-B068-4271B1A0F8FD}"/>
            </c:ext>
          </c:extLst>
        </c:ser>
        <c:ser>
          <c:idx val="1"/>
          <c:order val="5"/>
          <c:tx>
            <c:strRef>
              <c:f>'Data 1'!$C$331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1'!$D$331:$H$331</c:f>
              <c:numCache>
                <c:formatCode>#,##0</c:formatCode>
                <c:ptCount val="5"/>
                <c:pt idx="0">
                  <c:v>649.73991049999995</c:v>
                </c:pt>
                <c:pt idx="1">
                  <c:v>728.15043299999991</c:v>
                </c:pt>
                <c:pt idx="2">
                  <c:v>732.97066150000001</c:v>
                </c:pt>
                <c:pt idx="3">
                  <c:v>738.95349049999993</c:v>
                </c:pt>
                <c:pt idx="4">
                  <c:v>605.8785415000001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73-4861-B068-4271B1A0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676784"/>
        <c:axId val="336677176"/>
      </c:barChart>
      <c:catAx>
        <c:axId val="3366767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7176"/>
        <c:crosses val="autoZero"/>
        <c:auto val="1"/>
        <c:lblAlgn val="ctr"/>
        <c:lblOffset val="100"/>
        <c:noMultiLvlLbl val="0"/>
      </c:catAx>
      <c:valAx>
        <c:axId val="33667717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6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7378986287065945E-2"/>
          <c:y val="2.0610715046648895E-2"/>
          <c:w val="0.94692386947333584"/>
          <c:h val="0.1166438909110496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50622072105667E-2"/>
          <c:y val="0.17767422423763543"/>
          <c:w val="0.82537002901700884"/>
          <c:h val="0.719836154282539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1'!$C$320</c:f>
              <c:strCache>
                <c:ptCount val="1"/>
                <c:pt idx="0">
                  <c:v>Turbinación bombeo (1)</c:v>
                </c:pt>
              </c:strCache>
            </c:strRef>
          </c:tx>
          <c:spPr>
            <a:solidFill>
              <a:srgbClr val="007CF9"/>
            </a:solidFill>
            <a:ln w="12700"/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1'!$D$320:$H$320</c:f>
              <c:numCache>
                <c:formatCode>#,##0</c:formatCode>
                <c:ptCount val="5"/>
                <c:pt idx="0">
                  <c:v>3134.328910228</c:v>
                </c:pt>
                <c:pt idx="1">
                  <c:v>2248.9644183400001</c:v>
                </c:pt>
                <c:pt idx="2">
                  <c:v>1993.996008694</c:v>
                </c:pt>
                <c:pt idx="3">
                  <c:v>1645.505056342</c:v>
                </c:pt>
                <c:pt idx="4">
                  <c:v>2745.920393458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2-424D-9ACE-1389BBBDB1E5}"/>
            </c:ext>
          </c:extLst>
        </c:ser>
        <c:ser>
          <c:idx val="5"/>
          <c:order val="1"/>
          <c:tx>
            <c:strRef>
              <c:f>'Data 1'!$C$321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1'!$D$321:$H$321</c:f>
              <c:numCache>
                <c:formatCode>#,##0</c:formatCode>
                <c:ptCount val="5"/>
                <c:pt idx="0">
                  <c:v>56021.682058999999</c:v>
                </c:pt>
                <c:pt idx="1">
                  <c:v>55539.351045999996</c:v>
                </c:pt>
                <c:pt idx="2">
                  <c:v>53197.617429999998</c:v>
                </c:pt>
                <c:pt idx="3">
                  <c:v>55824.226774999996</c:v>
                </c:pt>
                <c:pt idx="4">
                  <c:v>55756.795616999996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2-424D-9ACE-1389BBBDB1E5}"/>
            </c:ext>
          </c:extLst>
        </c:ser>
        <c:ser>
          <c:idx val="6"/>
          <c:order val="2"/>
          <c:tx>
            <c:strRef>
              <c:f>'Data 1'!$C$322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1'!$D$322:$H$322</c:f>
              <c:numCache>
                <c:formatCode>#,##0</c:formatCode>
                <c:ptCount val="5"/>
                <c:pt idx="0">
                  <c:v>35010.909780000002</c:v>
                </c:pt>
                <c:pt idx="1">
                  <c:v>42421.888556000005</c:v>
                </c:pt>
                <c:pt idx="2">
                  <c:v>34881.034784999996</c:v>
                </c:pt>
                <c:pt idx="3">
                  <c:v>10670.697703</c:v>
                </c:pt>
                <c:pt idx="4">
                  <c:v>4800.3326630000001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2-424D-9ACE-1389BBBDB1E5}"/>
            </c:ext>
          </c:extLst>
        </c:ser>
        <c:ser>
          <c:idx val="9"/>
          <c:order val="3"/>
          <c:tx>
            <c:strRef>
              <c:f>'Data 1'!$C$324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1'!$D$324:$H$324</c:f>
              <c:numCache>
                <c:formatCode>#,##0</c:formatCode>
                <c:ptCount val="5"/>
                <c:pt idx="0">
                  <c:v>25463.066258000003</c:v>
                </c:pt>
                <c:pt idx="1">
                  <c:v>33647.980778999998</c:v>
                </c:pt>
                <c:pt idx="2">
                  <c:v>26402.923068999997</c:v>
                </c:pt>
                <c:pt idx="3">
                  <c:v>51143.255619000003</c:v>
                </c:pt>
                <c:pt idx="4">
                  <c:v>38357.400994999996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2-424D-9ACE-1389BBBDB1E5}"/>
            </c:ext>
          </c:extLst>
        </c:ser>
        <c:ser>
          <c:idx val="7"/>
          <c:order val="4"/>
          <c:tx>
            <c:strRef>
              <c:f>'Data 1'!$C$329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1'!$D$329:$H$329</c:f>
              <c:numCache>
                <c:formatCode>#,##0</c:formatCode>
                <c:ptCount val="5"/>
                <c:pt idx="0">
                  <c:v>25873.942241999997</c:v>
                </c:pt>
                <c:pt idx="1">
                  <c:v>28175.562469</c:v>
                </c:pt>
                <c:pt idx="2">
                  <c:v>28971.782793999999</c:v>
                </c:pt>
                <c:pt idx="3">
                  <c:v>29580.711578999999</c:v>
                </c:pt>
                <c:pt idx="4">
                  <c:v>26918.731909000002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2-424D-9ACE-1389BBBDB1E5}"/>
            </c:ext>
          </c:extLst>
        </c:ser>
        <c:ser>
          <c:idx val="1"/>
          <c:order val="5"/>
          <c:tx>
            <c:strRef>
              <c:f>'Data 1'!$C$330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1'!$D$330:$H$330</c:f>
              <c:numCache>
                <c:formatCode>#,##0</c:formatCode>
                <c:ptCount val="5"/>
                <c:pt idx="0">
                  <c:v>2471.3086455000002</c:v>
                </c:pt>
                <c:pt idx="1">
                  <c:v>2459.1288610000001</c:v>
                </c:pt>
                <c:pt idx="2">
                  <c:v>2293.8582025000001</c:v>
                </c:pt>
                <c:pt idx="3">
                  <c:v>2071.6030475000002</c:v>
                </c:pt>
                <c:pt idx="4">
                  <c:v>1895.2394715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2-424D-9ACE-1389BBBD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7742712"/>
        <c:axId val="337743104"/>
      </c:barChart>
      <c:catAx>
        <c:axId val="3377427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3104"/>
        <c:crosses val="autoZero"/>
        <c:auto val="1"/>
        <c:lblAlgn val="ctr"/>
        <c:lblOffset val="100"/>
        <c:noMultiLvlLbl val="0"/>
      </c:catAx>
      <c:valAx>
        <c:axId val="33774310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2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7378986287065948E-2"/>
          <c:y val="4.2397214896201907E-2"/>
          <c:w val="0.94692386947333584"/>
          <c:h val="0.1166438909110496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99724243330345E-2"/>
          <c:y val="0.24832210268547319"/>
          <c:w val="0.82884245877493157"/>
          <c:h val="0.57718120805369133"/>
        </c:manualLayout>
      </c:layout>
      <c:areaChart>
        <c:grouping val="standard"/>
        <c:varyColors val="0"/>
        <c:ser>
          <c:idx val="1"/>
          <c:order val="0"/>
          <c:tx>
            <c:strRef>
              <c:f>'Data 4'!$D$6:$D$7</c:f>
              <c:strCache>
                <c:ptCount val="2"/>
                <c:pt idx="0">
                  <c:v>Producible</c:v>
                </c:pt>
                <c:pt idx="1">
                  <c:v>2020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4563"/>
              </a:solidFill>
              <a:prstDash val="solid"/>
            </a:ln>
          </c:spPr>
          <c:cat>
            <c:numRef>
              <c:f>'Data 4'!$C$8:$C$373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'Data 4'!$D$8:$D$373</c:f>
              <c:numCache>
                <c:formatCode>0\ \ \ \ _)</c:formatCode>
                <c:ptCount val="366"/>
                <c:pt idx="0">
                  <c:v>184.31065313992656</c:v>
                </c:pt>
                <c:pt idx="1">
                  <c:v>192.00076720592654</c:v>
                </c:pt>
                <c:pt idx="2">
                  <c:v>184.82575559392654</c:v>
                </c:pt>
                <c:pt idx="3">
                  <c:v>172.7011760039247</c:v>
                </c:pt>
                <c:pt idx="4">
                  <c:v>159.62935820392653</c:v>
                </c:pt>
                <c:pt idx="5">
                  <c:v>163.17843949992655</c:v>
                </c:pt>
                <c:pt idx="6">
                  <c:v>178.44633406792653</c:v>
                </c:pt>
                <c:pt idx="7">
                  <c:v>184.37766332720474</c:v>
                </c:pt>
                <c:pt idx="8">
                  <c:v>167.81118605720474</c:v>
                </c:pt>
                <c:pt idx="9">
                  <c:v>172.55013010720475</c:v>
                </c:pt>
                <c:pt idx="10">
                  <c:v>146.47955262920476</c:v>
                </c:pt>
                <c:pt idx="11">
                  <c:v>143.21789412520474</c:v>
                </c:pt>
                <c:pt idx="12">
                  <c:v>168.05978188120474</c:v>
                </c:pt>
                <c:pt idx="13">
                  <c:v>162.00581978920474</c:v>
                </c:pt>
                <c:pt idx="14">
                  <c:v>109.51591220692852</c:v>
                </c:pt>
                <c:pt idx="15">
                  <c:v>102.83626179493038</c:v>
                </c:pt>
                <c:pt idx="16">
                  <c:v>95.593275680928514</c:v>
                </c:pt>
                <c:pt idx="17">
                  <c:v>78.560293868930387</c:v>
                </c:pt>
                <c:pt idx="18">
                  <c:v>81.28734691492852</c:v>
                </c:pt>
                <c:pt idx="19">
                  <c:v>107.22600599893039</c:v>
                </c:pt>
                <c:pt idx="20">
                  <c:v>110.01404580092853</c:v>
                </c:pt>
                <c:pt idx="21">
                  <c:v>156.74939822485578</c:v>
                </c:pt>
                <c:pt idx="22">
                  <c:v>153.75199542085761</c:v>
                </c:pt>
                <c:pt idx="23">
                  <c:v>158.32645952485578</c:v>
                </c:pt>
                <c:pt idx="24">
                  <c:v>142.17803514085577</c:v>
                </c:pt>
                <c:pt idx="25">
                  <c:v>113.04152681685576</c:v>
                </c:pt>
                <c:pt idx="26">
                  <c:v>106.39816320485762</c:v>
                </c:pt>
                <c:pt idx="27">
                  <c:v>117.32437367885576</c:v>
                </c:pt>
                <c:pt idx="28">
                  <c:v>163.13722659618944</c:v>
                </c:pt>
                <c:pt idx="29">
                  <c:v>149.3451413461913</c:v>
                </c:pt>
                <c:pt idx="30">
                  <c:v>156.07046554418571</c:v>
                </c:pt>
                <c:pt idx="31">
                  <c:v>145.24361234219128</c:v>
                </c:pt>
                <c:pt idx="32">
                  <c:v>144.9542028641913</c:v>
                </c:pt>
                <c:pt idx="33">
                  <c:v>153.95653899618944</c:v>
                </c:pt>
                <c:pt idx="34">
                  <c:v>147.45303419619316</c:v>
                </c:pt>
                <c:pt idx="35">
                  <c:v>101.21494766068176</c:v>
                </c:pt>
                <c:pt idx="36">
                  <c:v>119.89483406868176</c:v>
                </c:pt>
                <c:pt idx="37">
                  <c:v>132.52511194868177</c:v>
                </c:pt>
                <c:pt idx="38">
                  <c:v>111.28670961868175</c:v>
                </c:pt>
                <c:pt idx="39">
                  <c:v>81.632432828679896</c:v>
                </c:pt>
                <c:pt idx="40">
                  <c:v>93.540708556683612</c:v>
                </c:pt>
                <c:pt idx="41">
                  <c:v>120.88465370868362</c:v>
                </c:pt>
                <c:pt idx="42">
                  <c:v>138.6469504695182</c:v>
                </c:pt>
                <c:pt idx="43">
                  <c:v>96.852409229518202</c:v>
                </c:pt>
                <c:pt idx="44">
                  <c:v>124.79370678952006</c:v>
                </c:pt>
                <c:pt idx="45">
                  <c:v>77.77838789951447</c:v>
                </c:pt>
                <c:pt idx="46">
                  <c:v>60.043368629521922</c:v>
                </c:pt>
                <c:pt idx="47">
                  <c:v>83.628993823518201</c:v>
                </c:pt>
                <c:pt idx="48">
                  <c:v>108.06292742952006</c:v>
                </c:pt>
                <c:pt idx="49">
                  <c:v>106.53119925888871</c:v>
                </c:pt>
                <c:pt idx="50">
                  <c:v>108.25581243088871</c:v>
                </c:pt>
                <c:pt idx="51">
                  <c:v>96.380460498890557</c:v>
                </c:pt>
                <c:pt idx="52">
                  <c:v>87.246674430888703</c:v>
                </c:pt>
                <c:pt idx="53">
                  <c:v>70.277641382890565</c:v>
                </c:pt>
                <c:pt idx="54">
                  <c:v>100.43893846088871</c:v>
                </c:pt>
                <c:pt idx="55">
                  <c:v>64.336191080890572</c:v>
                </c:pt>
                <c:pt idx="56">
                  <c:v>73.978974691030174</c:v>
                </c:pt>
                <c:pt idx="57">
                  <c:v>62.875328969033902</c:v>
                </c:pt>
                <c:pt idx="58">
                  <c:v>77.942884185033904</c:v>
                </c:pt>
                <c:pt idx="59">
                  <c:v>37.557855961032047</c:v>
                </c:pt>
                <c:pt idx="60">
                  <c:v>43.078658777033908</c:v>
                </c:pt>
                <c:pt idx="61">
                  <c:v>76.267380159032058</c:v>
                </c:pt>
                <c:pt idx="62">
                  <c:v>77.871578835033915</c:v>
                </c:pt>
                <c:pt idx="63">
                  <c:v>163.08135390284127</c:v>
                </c:pt>
                <c:pt idx="64">
                  <c:v>152.79092482284318</c:v>
                </c:pt>
                <c:pt idx="65">
                  <c:v>160.08122700883942</c:v>
                </c:pt>
                <c:pt idx="66">
                  <c:v>163.19273124284314</c:v>
                </c:pt>
                <c:pt idx="67">
                  <c:v>160.10030146084125</c:v>
                </c:pt>
                <c:pt idx="68">
                  <c:v>178.97098321883942</c:v>
                </c:pt>
                <c:pt idx="69">
                  <c:v>190.54630400084315</c:v>
                </c:pt>
                <c:pt idx="70">
                  <c:v>136.73496081660988</c:v>
                </c:pt>
                <c:pt idx="71">
                  <c:v>137.07149328860987</c:v>
                </c:pt>
                <c:pt idx="72">
                  <c:v>118.60194963660987</c:v>
                </c:pt>
                <c:pt idx="73">
                  <c:v>117.30391945660801</c:v>
                </c:pt>
                <c:pt idx="74">
                  <c:v>86.369496016609872</c:v>
                </c:pt>
                <c:pt idx="75">
                  <c:v>108.84544928660988</c:v>
                </c:pt>
                <c:pt idx="76">
                  <c:v>108.86737097060801</c:v>
                </c:pt>
                <c:pt idx="77">
                  <c:v>170.37845299034407</c:v>
                </c:pt>
                <c:pt idx="78">
                  <c:v>160.06521092434593</c:v>
                </c:pt>
                <c:pt idx="79">
                  <c:v>155.51933536034224</c:v>
                </c:pt>
                <c:pt idx="80">
                  <c:v>145.0455159303441</c:v>
                </c:pt>
                <c:pt idx="81">
                  <c:v>137.97678955034408</c:v>
                </c:pt>
                <c:pt idx="82">
                  <c:v>145.83512461034593</c:v>
                </c:pt>
                <c:pt idx="83">
                  <c:v>140.25814747034224</c:v>
                </c:pt>
                <c:pt idx="84">
                  <c:v>113.15580332969643</c:v>
                </c:pt>
                <c:pt idx="85">
                  <c:v>71.520610169694564</c:v>
                </c:pt>
                <c:pt idx="86">
                  <c:v>92.584242263694577</c:v>
                </c:pt>
                <c:pt idx="87">
                  <c:v>92.001519359692693</c:v>
                </c:pt>
                <c:pt idx="88">
                  <c:v>39.350676359696429</c:v>
                </c:pt>
                <c:pt idx="89">
                  <c:v>46.330532759694563</c:v>
                </c:pt>
                <c:pt idx="90">
                  <c:v>51.606697719692704</c:v>
                </c:pt>
                <c:pt idx="91">
                  <c:v>134.40808979593538</c:v>
                </c:pt>
                <c:pt idx="92">
                  <c:v>122.0266781599335</c:v>
                </c:pt>
                <c:pt idx="93">
                  <c:v>126.28000615593163</c:v>
                </c:pt>
                <c:pt idx="94">
                  <c:v>94.510438413935361</c:v>
                </c:pt>
                <c:pt idx="95">
                  <c:v>96.545817115933488</c:v>
                </c:pt>
                <c:pt idx="96">
                  <c:v>126.34743885393536</c:v>
                </c:pt>
                <c:pt idx="97">
                  <c:v>128.90391283592976</c:v>
                </c:pt>
                <c:pt idx="98">
                  <c:v>113.33443736710225</c:v>
                </c:pt>
                <c:pt idx="99">
                  <c:v>102.36321143509852</c:v>
                </c:pt>
                <c:pt idx="100">
                  <c:v>100.0204638651004</c:v>
                </c:pt>
                <c:pt idx="101">
                  <c:v>104.58355007910039</c:v>
                </c:pt>
                <c:pt idx="102">
                  <c:v>94.167497721100389</c:v>
                </c:pt>
                <c:pt idx="103">
                  <c:v>102.59805064509852</c:v>
                </c:pt>
                <c:pt idx="104">
                  <c:v>114.42597703509853</c:v>
                </c:pt>
                <c:pt idx="105">
                  <c:v>158.3178893619199</c:v>
                </c:pt>
                <c:pt idx="106">
                  <c:v>162.37719778391244</c:v>
                </c:pt>
                <c:pt idx="107">
                  <c:v>181.26503702191431</c:v>
                </c:pt>
                <c:pt idx="108">
                  <c:v>189.8745257699143</c:v>
                </c:pt>
                <c:pt idx="109">
                  <c:v>186.62405300191614</c:v>
                </c:pt>
                <c:pt idx="110">
                  <c:v>187.62283834591432</c:v>
                </c:pt>
                <c:pt idx="111">
                  <c:v>201.54731488591429</c:v>
                </c:pt>
                <c:pt idx="112">
                  <c:v>163.18859721840064</c:v>
                </c:pt>
                <c:pt idx="113">
                  <c:v>191.04259504440438</c:v>
                </c:pt>
                <c:pt idx="114">
                  <c:v>187.50562819040252</c:v>
                </c:pt>
                <c:pt idx="115">
                  <c:v>176.55595270840254</c:v>
                </c:pt>
                <c:pt idx="116">
                  <c:v>173.57133231640253</c:v>
                </c:pt>
                <c:pt idx="117">
                  <c:v>187.61720935040438</c:v>
                </c:pt>
                <c:pt idx="118">
                  <c:v>175.37430642040252</c:v>
                </c:pt>
                <c:pt idx="119">
                  <c:v>179.69924872770665</c:v>
                </c:pt>
                <c:pt idx="120">
                  <c:v>159.47947281571035</c:v>
                </c:pt>
                <c:pt idx="121">
                  <c:v>141.94414499370853</c:v>
                </c:pt>
                <c:pt idx="122">
                  <c:v>162.45974410770478</c:v>
                </c:pt>
                <c:pt idx="123">
                  <c:v>156.23072511371038</c:v>
                </c:pt>
                <c:pt idx="124">
                  <c:v>150.44456839170664</c:v>
                </c:pt>
                <c:pt idx="125">
                  <c:v>195.05858633570665</c:v>
                </c:pt>
                <c:pt idx="126">
                  <c:v>136.13137381453498</c:v>
                </c:pt>
                <c:pt idx="127">
                  <c:v>121.63500891053312</c:v>
                </c:pt>
                <c:pt idx="128">
                  <c:v>112.50417519453124</c:v>
                </c:pt>
                <c:pt idx="129">
                  <c:v>99.36255984853311</c:v>
                </c:pt>
                <c:pt idx="130">
                  <c:v>88.671768668533119</c:v>
                </c:pt>
                <c:pt idx="131">
                  <c:v>98.18951377453125</c:v>
                </c:pt>
                <c:pt idx="132">
                  <c:v>143.84994323853496</c:v>
                </c:pt>
                <c:pt idx="133">
                  <c:v>150.44660786795313</c:v>
                </c:pt>
                <c:pt idx="134">
                  <c:v>121.31246643595499</c:v>
                </c:pt>
                <c:pt idx="135">
                  <c:v>119.90559118595498</c:v>
                </c:pt>
                <c:pt idx="136">
                  <c:v>107.13682710395871</c:v>
                </c:pt>
                <c:pt idx="137">
                  <c:v>98.115648367951266</c:v>
                </c:pt>
                <c:pt idx="138">
                  <c:v>106.98279906795685</c:v>
                </c:pt>
                <c:pt idx="139">
                  <c:v>96.214231315954976</c:v>
                </c:pt>
                <c:pt idx="140">
                  <c:v>88.68268179228059</c:v>
                </c:pt>
                <c:pt idx="141">
                  <c:v>99.657174528282454</c:v>
                </c:pt>
                <c:pt idx="142">
                  <c:v>110.99425862428431</c:v>
                </c:pt>
                <c:pt idx="143">
                  <c:v>75.843606652276861</c:v>
                </c:pt>
                <c:pt idx="144">
                  <c:v>73.442466940284319</c:v>
                </c:pt>
                <c:pt idx="145">
                  <c:v>79.647915048282442</c:v>
                </c:pt>
                <c:pt idx="146">
                  <c:v>71.41425592827872</c:v>
                </c:pt>
                <c:pt idx="147">
                  <c:v>56.840975135005515</c:v>
                </c:pt>
                <c:pt idx="148">
                  <c:v>68.149165055005525</c:v>
                </c:pt>
                <c:pt idx="149">
                  <c:v>87.454870175001787</c:v>
                </c:pt>
                <c:pt idx="150">
                  <c:v>65.99014155500366</c:v>
                </c:pt>
                <c:pt idx="151">
                  <c:v>60.008951887001793</c:v>
                </c:pt>
                <c:pt idx="152">
                  <c:v>92.190732975007379</c:v>
                </c:pt>
                <c:pt idx="153">
                  <c:v>98.26059483900552</c:v>
                </c:pt>
                <c:pt idx="154">
                  <c:v>61.905332875254736</c:v>
                </c:pt>
                <c:pt idx="155">
                  <c:v>55.473621055258469</c:v>
                </c:pt>
                <c:pt idx="156">
                  <c:v>55.856005679258466</c:v>
                </c:pt>
                <c:pt idx="157">
                  <c:v>38.132653167256606</c:v>
                </c:pt>
                <c:pt idx="158">
                  <c:v>32.878003795254742</c:v>
                </c:pt>
                <c:pt idx="159">
                  <c:v>34.727825193256606</c:v>
                </c:pt>
                <c:pt idx="160">
                  <c:v>44.663990163258468</c:v>
                </c:pt>
                <c:pt idx="161">
                  <c:v>71.323236093906786</c:v>
                </c:pt>
                <c:pt idx="162">
                  <c:v>55.397297491908645</c:v>
                </c:pt>
                <c:pt idx="163">
                  <c:v>61.927497781908649</c:v>
                </c:pt>
                <c:pt idx="164">
                  <c:v>56.816090815908645</c:v>
                </c:pt>
                <c:pt idx="165">
                  <c:v>53.090480763908644</c:v>
                </c:pt>
                <c:pt idx="166">
                  <c:v>65.941056883908644</c:v>
                </c:pt>
                <c:pt idx="167">
                  <c:v>68.063334799908645</c:v>
                </c:pt>
                <c:pt idx="168">
                  <c:v>57.908698474405043</c:v>
                </c:pt>
                <c:pt idx="169">
                  <c:v>51.140389274410644</c:v>
                </c:pt>
                <c:pt idx="170">
                  <c:v>48.942402670403183</c:v>
                </c:pt>
                <c:pt idx="171">
                  <c:v>32.105291590408768</c:v>
                </c:pt>
                <c:pt idx="172">
                  <c:v>26.65248139040877</c:v>
                </c:pt>
                <c:pt idx="173">
                  <c:v>45.374734656406915</c:v>
                </c:pt>
                <c:pt idx="174">
                  <c:v>63.074573162406914</c:v>
                </c:pt>
                <c:pt idx="175">
                  <c:v>38.71103894258237</c:v>
                </c:pt>
                <c:pt idx="176">
                  <c:v>49.306956966587954</c:v>
                </c:pt>
                <c:pt idx="177">
                  <c:v>49.329973556584228</c:v>
                </c:pt>
                <c:pt idx="178">
                  <c:v>34.30528931058236</c:v>
                </c:pt>
                <c:pt idx="179">
                  <c:v>30.354757186584227</c:v>
                </c:pt>
                <c:pt idx="180">
                  <c:v>45.563970554586078</c:v>
                </c:pt>
                <c:pt idx="181">
                  <c:v>58.461366558580501</c:v>
                </c:pt>
                <c:pt idx="182">
                  <c:v>51.952425749485336</c:v>
                </c:pt>
                <c:pt idx="183">
                  <c:v>37.132825257485337</c:v>
                </c:pt>
                <c:pt idx="184">
                  <c:v>14.066865667485342</c:v>
                </c:pt>
                <c:pt idx="185">
                  <c:v>8.3983418134853416</c:v>
                </c:pt>
                <c:pt idx="186">
                  <c:v>8.0012366394834817</c:v>
                </c:pt>
                <c:pt idx="187">
                  <c:v>17.791377753485342</c:v>
                </c:pt>
                <c:pt idx="188">
                  <c:v>25.094945113481618</c:v>
                </c:pt>
                <c:pt idx="189">
                  <c:v>31.86504861602679</c:v>
                </c:pt>
                <c:pt idx="190">
                  <c:v>27.082195738023067</c:v>
                </c:pt>
                <c:pt idx="191">
                  <c:v>21.241728378026789</c:v>
                </c:pt>
                <c:pt idx="192">
                  <c:v>17.792687728021207</c:v>
                </c:pt>
                <c:pt idx="193">
                  <c:v>8.9562365980249314</c:v>
                </c:pt>
                <c:pt idx="194">
                  <c:v>23.025830096023064</c:v>
                </c:pt>
                <c:pt idx="195">
                  <c:v>22.195257064024933</c:v>
                </c:pt>
                <c:pt idx="196">
                  <c:v>21.587210229732058</c:v>
                </c:pt>
                <c:pt idx="197">
                  <c:v>22.256527679732063</c:v>
                </c:pt>
                <c:pt idx="198">
                  <c:v>24.386599185732063</c:v>
                </c:pt>
                <c:pt idx="199">
                  <c:v>19.524965393733925</c:v>
                </c:pt>
                <c:pt idx="200">
                  <c:v>12.476329775733925</c:v>
                </c:pt>
                <c:pt idx="201">
                  <c:v>27.0448287037302</c:v>
                </c:pt>
                <c:pt idx="202">
                  <c:v>19.316497099733919</c:v>
                </c:pt>
                <c:pt idx="203">
                  <c:v>13.504739751972309</c:v>
                </c:pt>
                <c:pt idx="204">
                  <c:v>17.08586853997231</c:v>
                </c:pt>
                <c:pt idx="205">
                  <c:v>13.806570359974176</c:v>
                </c:pt>
                <c:pt idx="206">
                  <c:v>5.5892363519723078</c:v>
                </c:pt>
                <c:pt idx="207">
                  <c:v>4.0950785359760342</c:v>
                </c:pt>
                <c:pt idx="208">
                  <c:v>27.265467839974168</c:v>
                </c:pt>
                <c:pt idx="209">
                  <c:v>30.29173466397231</c:v>
                </c:pt>
                <c:pt idx="210">
                  <c:v>14.44973433717055</c:v>
                </c:pt>
                <c:pt idx="211">
                  <c:v>11.960392885170542</c:v>
                </c:pt>
                <c:pt idx="212">
                  <c:v>31.587455229164959</c:v>
                </c:pt>
                <c:pt idx="213">
                  <c:v>1.1842854931686888</c:v>
                </c:pt>
                <c:pt idx="214">
                  <c:v>1.2291496491705476</c:v>
                </c:pt>
                <c:pt idx="215">
                  <c:v>2.2662959891686913</c:v>
                </c:pt>
                <c:pt idx="216">
                  <c:v>1.0242204831686832</c:v>
                </c:pt>
                <c:pt idx="217">
                  <c:v>1.280619305211061</c:v>
                </c:pt>
                <c:pt idx="218">
                  <c:v>5.0690575292054714</c:v>
                </c:pt>
                <c:pt idx="219">
                  <c:v>9.7617761772054656</c:v>
                </c:pt>
                <c:pt idx="220">
                  <c:v>1.2596635252110573</c:v>
                </c:pt>
                <c:pt idx="221">
                  <c:v>1.431573849207336</c:v>
                </c:pt>
                <c:pt idx="222">
                  <c:v>2.0885627332091974</c:v>
                </c:pt>
                <c:pt idx="223">
                  <c:v>10.206986065207333</c:v>
                </c:pt>
                <c:pt idx="224">
                  <c:v>26.553954889262879</c:v>
                </c:pt>
                <c:pt idx="225">
                  <c:v>36.692520845261022</c:v>
                </c:pt>
                <c:pt idx="226">
                  <c:v>25.846505137262881</c:v>
                </c:pt>
                <c:pt idx="227">
                  <c:v>1.4367211132628872</c:v>
                </c:pt>
                <c:pt idx="228">
                  <c:v>1.36805154325916</c:v>
                </c:pt>
                <c:pt idx="229">
                  <c:v>19.104476621262883</c:v>
                </c:pt>
                <c:pt idx="230">
                  <c:v>31.164098121262882</c:v>
                </c:pt>
                <c:pt idx="231">
                  <c:v>6.7076170905173056</c:v>
                </c:pt>
                <c:pt idx="232">
                  <c:v>5.7604087785191735</c:v>
                </c:pt>
                <c:pt idx="233">
                  <c:v>15.528971570519177</c:v>
                </c:pt>
                <c:pt idx="234">
                  <c:v>4.7741597785173076</c:v>
                </c:pt>
                <c:pt idx="235">
                  <c:v>0.57842827851731271</c:v>
                </c:pt>
                <c:pt idx="236">
                  <c:v>7.5759309585191659</c:v>
                </c:pt>
                <c:pt idx="237">
                  <c:v>25.154752218519178</c:v>
                </c:pt>
                <c:pt idx="238">
                  <c:v>31.963963995378261</c:v>
                </c:pt>
                <c:pt idx="239">
                  <c:v>13.108033395380131</c:v>
                </c:pt>
                <c:pt idx="240">
                  <c:v>7.3366255233819899</c:v>
                </c:pt>
                <c:pt idx="241">
                  <c:v>0.57914879137639941</c:v>
                </c:pt>
                <c:pt idx="242">
                  <c:v>0.59493596938385596</c:v>
                </c:pt>
                <c:pt idx="243">
                  <c:v>2.5399333773782637</c:v>
                </c:pt>
                <c:pt idx="244">
                  <c:v>9.9157058673782661</c:v>
                </c:pt>
                <c:pt idx="245">
                  <c:v>20.153271213409287</c:v>
                </c:pt>
                <c:pt idx="246">
                  <c:v>24.629811097405561</c:v>
                </c:pt>
                <c:pt idx="247">
                  <c:v>19.219243357407425</c:v>
                </c:pt>
                <c:pt idx="248">
                  <c:v>2.4857805174055612</c:v>
                </c:pt>
                <c:pt idx="249">
                  <c:v>1.1927802294074208</c:v>
                </c:pt>
                <c:pt idx="250">
                  <c:v>1.9528572214055602</c:v>
                </c:pt>
                <c:pt idx="251">
                  <c:v>10.516595965407426</c:v>
                </c:pt>
                <c:pt idx="252">
                  <c:v>23.06971625332412</c:v>
                </c:pt>
                <c:pt idx="253">
                  <c:v>17.835714077325989</c:v>
                </c:pt>
                <c:pt idx="254">
                  <c:v>15.430868341322261</c:v>
                </c:pt>
                <c:pt idx="255">
                  <c:v>1.5664787813259899</c:v>
                </c:pt>
                <c:pt idx="256">
                  <c:v>1.4851167173222639</c:v>
                </c:pt>
                <c:pt idx="257">
                  <c:v>22.501489901325986</c:v>
                </c:pt>
                <c:pt idx="258">
                  <c:v>36.529274045324129</c:v>
                </c:pt>
                <c:pt idx="259">
                  <c:v>49.211002997035102</c:v>
                </c:pt>
                <c:pt idx="260">
                  <c:v>23.439750845033238</c:v>
                </c:pt>
                <c:pt idx="261">
                  <c:v>17.305753081036965</c:v>
                </c:pt>
                <c:pt idx="262">
                  <c:v>7.5177133050350964</c:v>
                </c:pt>
                <c:pt idx="263">
                  <c:v>6.3890751850351011</c:v>
                </c:pt>
                <c:pt idx="264">
                  <c:v>29.609922117035094</c:v>
                </c:pt>
                <c:pt idx="265">
                  <c:v>41.249954653035104</c:v>
                </c:pt>
                <c:pt idx="266">
                  <c:v>47.738555841733351</c:v>
                </c:pt>
                <c:pt idx="267">
                  <c:v>28.364571265733343</c:v>
                </c:pt>
                <c:pt idx="268">
                  <c:v>14.38581081373521</c:v>
                </c:pt>
                <c:pt idx="269">
                  <c:v>9.8621068577314794</c:v>
                </c:pt>
                <c:pt idx="270">
                  <c:v>13.26400406973521</c:v>
                </c:pt>
                <c:pt idx="271">
                  <c:v>20.942873981735211</c:v>
                </c:pt>
                <c:pt idx="272">
                  <c:v>31.611556617735207</c:v>
                </c:pt>
                <c:pt idx="273">
                  <c:v>49.582627884398121</c:v>
                </c:pt>
                <c:pt idx="274">
                  <c:v>34.484269008399984</c:v>
                </c:pt>
                <c:pt idx="275">
                  <c:v>33.251194404401843</c:v>
                </c:pt>
                <c:pt idx="276">
                  <c:v>31.903827480398125</c:v>
                </c:pt>
                <c:pt idx="277">
                  <c:v>32.307551376400916</c:v>
                </c:pt>
                <c:pt idx="278">
                  <c:v>36.51101262840092</c:v>
                </c:pt>
                <c:pt idx="279">
                  <c:v>44.142058320401844</c:v>
                </c:pt>
                <c:pt idx="280">
                  <c:v>51.267928335480406</c:v>
                </c:pt>
                <c:pt idx="281">
                  <c:v>57.779140555484133</c:v>
                </c:pt>
                <c:pt idx="282">
                  <c:v>58.880303935482267</c:v>
                </c:pt>
                <c:pt idx="283">
                  <c:v>31.932171363482272</c:v>
                </c:pt>
                <c:pt idx="284">
                  <c:v>27.284127463484133</c:v>
                </c:pt>
                <c:pt idx="285">
                  <c:v>33.38150365548227</c:v>
                </c:pt>
                <c:pt idx="286">
                  <c:v>56.992809845482277</c:v>
                </c:pt>
                <c:pt idx="287">
                  <c:v>40.406727836433134</c:v>
                </c:pt>
                <c:pt idx="288">
                  <c:v>49.30989098043127</c:v>
                </c:pt>
                <c:pt idx="289">
                  <c:v>55.494502726433126</c:v>
                </c:pt>
                <c:pt idx="290">
                  <c:v>60.255922256433131</c:v>
                </c:pt>
                <c:pt idx="291">
                  <c:v>50.562724656433126</c:v>
                </c:pt>
                <c:pt idx="292">
                  <c:v>17.77103218643127</c:v>
                </c:pt>
                <c:pt idx="293">
                  <c:v>33.208155356433132</c:v>
                </c:pt>
                <c:pt idx="294">
                  <c:v>97.291059926170803</c:v>
                </c:pt>
                <c:pt idx="295">
                  <c:v>126.02930844817081</c:v>
                </c:pt>
                <c:pt idx="296">
                  <c:v>115.91941670617173</c:v>
                </c:pt>
                <c:pt idx="297">
                  <c:v>92.789863808169869</c:v>
                </c:pt>
                <c:pt idx="298">
                  <c:v>89.756588088171725</c:v>
                </c:pt>
                <c:pt idx="299">
                  <c:v>109.11181016617081</c:v>
                </c:pt>
                <c:pt idx="300">
                  <c:v>109.85636180616987</c:v>
                </c:pt>
                <c:pt idx="301">
                  <c:v>97.513283922563275</c:v>
                </c:pt>
                <c:pt idx="302">
                  <c:v>100.72625251856142</c:v>
                </c:pt>
                <c:pt idx="303">
                  <c:v>94.830684810563284</c:v>
                </c:pt>
                <c:pt idx="304">
                  <c:v>73.145933778563275</c:v>
                </c:pt>
                <c:pt idx="305">
                  <c:v>67.439131476561428</c:v>
                </c:pt>
                <c:pt idx="306">
                  <c:v>90.526146578563271</c:v>
                </c:pt>
                <c:pt idx="307">
                  <c:v>84.876946158563285</c:v>
                </c:pt>
                <c:pt idx="308">
                  <c:v>92.022454163520209</c:v>
                </c:pt>
                <c:pt idx="309">
                  <c:v>84.994874821518337</c:v>
                </c:pt>
                <c:pt idx="310">
                  <c:v>82.460786099520206</c:v>
                </c:pt>
                <c:pt idx="311">
                  <c:v>85.111399417518342</c:v>
                </c:pt>
                <c:pt idx="312">
                  <c:v>88.269803449518349</c:v>
                </c:pt>
                <c:pt idx="313">
                  <c:v>122.10789563552021</c:v>
                </c:pt>
                <c:pt idx="314">
                  <c:v>133.2040394595202</c:v>
                </c:pt>
                <c:pt idx="315">
                  <c:v>92.28660158872016</c:v>
                </c:pt>
                <c:pt idx="316">
                  <c:v>96.551122752722037</c:v>
                </c:pt>
                <c:pt idx="317">
                  <c:v>92.831027220722021</c:v>
                </c:pt>
                <c:pt idx="318">
                  <c:v>68.749278420722021</c:v>
                </c:pt>
                <c:pt idx="319">
                  <c:v>46.994863764720165</c:v>
                </c:pt>
                <c:pt idx="320">
                  <c:v>84.323376144723895</c:v>
                </c:pt>
                <c:pt idx="321">
                  <c:v>89.897927160720172</c:v>
                </c:pt>
                <c:pt idx="322">
                  <c:v>67.968658425442811</c:v>
                </c:pt>
                <c:pt idx="323">
                  <c:v>61.253144337444667</c:v>
                </c:pt>
                <c:pt idx="324">
                  <c:v>54.597239157440946</c:v>
                </c:pt>
                <c:pt idx="325">
                  <c:v>51.938485237442805</c:v>
                </c:pt>
                <c:pt idx="326">
                  <c:v>44.799852517442815</c:v>
                </c:pt>
                <c:pt idx="327">
                  <c:v>82.423770433442812</c:v>
                </c:pt>
                <c:pt idx="328">
                  <c:v>85.234718897440956</c:v>
                </c:pt>
                <c:pt idx="329">
                  <c:v>66.728341300664411</c:v>
                </c:pt>
                <c:pt idx="330">
                  <c:v>62.85127694066442</c:v>
                </c:pt>
                <c:pt idx="331">
                  <c:v>77.113845596664419</c:v>
                </c:pt>
                <c:pt idx="332">
                  <c:v>60.699643756666276</c:v>
                </c:pt>
                <c:pt idx="333">
                  <c:v>56.366979740662558</c:v>
                </c:pt>
                <c:pt idx="334">
                  <c:v>75.470445708664428</c:v>
                </c:pt>
                <c:pt idx="335">
                  <c:v>60.124714868663489</c:v>
                </c:pt>
                <c:pt idx="336">
                  <c:v>70.373460138760265</c:v>
                </c:pt>
                <c:pt idx="337">
                  <c:v>82.599717910759324</c:v>
                </c:pt>
                <c:pt idx="338">
                  <c:v>78.032862996759334</c:v>
                </c:pt>
                <c:pt idx="339">
                  <c:v>61.522234550759329</c:v>
                </c:pt>
                <c:pt idx="340">
                  <c:v>45.103965910761197</c:v>
                </c:pt>
                <c:pt idx="341">
                  <c:v>40.65508330075933</c:v>
                </c:pt>
                <c:pt idx="342">
                  <c:v>61.980312170759326</c:v>
                </c:pt>
                <c:pt idx="343">
                  <c:v>180.63661107717815</c:v>
                </c:pt>
                <c:pt idx="344">
                  <c:v>177.15751080117724</c:v>
                </c:pt>
                <c:pt idx="345">
                  <c:v>170.34157254117724</c:v>
                </c:pt>
                <c:pt idx="346">
                  <c:v>167.70590361117723</c:v>
                </c:pt>
                <c:pt idx="347">
                  <c:v>178.32048240117723</c:v>
                </c:pt>
                <c:pt idx="348">
                  <c:v>192.91351718717723</c:v>
                </c:pt>
                <c:pt idx="349">
                  <c:v>196.95392510117725</c:v>
                </c:pt>
                <c:pt idx="350">
                  <c:v>188.66367669500451</c:v>
                </c:pt>
                <c:pt idx="351">
                  <c:v>208.93297607300079</c:v>
                </c:pt>
                <c:pt idx="352">
                  <c:v>188.50654624900267</c:v>
                </c:pt>
                <c:pt idx="353">
                  <c:v>170.03133692900079</c:v>
                </c:pt>
                <c:pt idx="354">
                  <c:v>171.09849403300265</c:v>
                </c:pt>
                <c:pt idx="355">
                  <c:v>178.93149794500451</c:v>
                </c:pt>
                <c:pt idx="356">
                  <c:v>166.84446002900262</c:v>
                </c:pt>
                <c:pt idx="357">
                  <c:v>154.53623531000886</c:v>
                </c:pt>
                <c:pt idx="358">
                  <c:v>128.95202226600702</c:v>
                </c:pt>
                <c:pt idx="359">
                  <c:v>104.23266497200888</c:v>
                </c:pt>
                <c:pt idx="360">
                  <c:v>116.50988096001073</c:v>
                </c:pt>
                <c:pt idx="361">
                  <c:v>109.13303586600702</c:v>
                </c:pt>
                <c:pt idx="362">
                  <c:v>115.17970624600888</c:v>
                </c:pt>
                <c:pt idx="363">
                  <c:v>142.42200432000885</c:v>
                </c:pt>
                <c:pt idx="364">
                  <c:v>145.39056296089666</c:v>
                </c:pt>
                <c:pt idx="365">
                  <c:v>137.89125465890041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3-4BEF-AF27-4A62EBB87438}"/>
            </c:ext>
          </c:extLst>
        </c:ser>
        <c:ser>
          <c:idx val="2"/>
          <c:order val="1"/>
          <c:tx>
            <c:strRef>
              <c:f>'Data 4'!$E$5:$E$7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F8080"/>
            </a:solidFill>
            <a:ln w="25400">
              <a:solidFill>
                <a:srgbClr val="624FAC"/>
              </a:solidFill>
              <a:prstDash val="solid"/>
            </a:ln>
          </c:spPr>
          <c:cat>
            <c:numRef>
              <c:f>'Data 4'!$C$8:$C$373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'Data 4'!$E$8:$E$373</c:f>
              <c:numCache>
                <c:formatCode>0\ \ \ \ _)</c:formatCode>
                <c:ptCount val="366"/>
                <c:pt idx="0">
                  <c:v>120.61015823780208</c:v>
                </c:pt>
                <c:pt idx="1">
                  <c:v>120.61015823780208</c:v>
                </c:pt>
                <c:pt idx="2">
                  <c:v>120.61015823780208</c:v>
                </c:pt>
                <c:pt idx="3">
                  <c:v>120.61015823780208</c:v>
                </c:pt>
                <c:pt idx="4">
                  <c:v>120.61015823780208</c:v>
                </c:pt>
                <c:pt idx="5">
                  <c:v>120.61015823780208</c:v>
                </c:pt>
                <c:pt idx="6">
                  <c:v>120.61015823780208</c:v>
                </c:pt>
                <c:pt idx="7">
                  <c:v>120.61015823780208</c:v>
                </c:pt>
                <c:pt idx="8">
                  <c:v>120.61015823780208</c:v>
                </c:pt>
                <c:pt idx="9">
                  <c:v>120.61015823780208</c:v>
                </c:pt>
                <c:pt idx="10">
                  <c:v>120.61015823780208</c:v>
                </c:pt>
                <c:pt idx="11">
                  <c:v>120.61015823780208</c:v>
                </c:pt>
                <c:pt idx="12">
                  <c:v>120.61015823780208</c:v>
                </c:pt>
                <c:pt idx="13">
                  <c:v>120.61015823780208</c:v>
                </c:pt>
                <c:pt idx="14">
                  <c:v>120.61015823780208</c:v>
                </c:pt>
                <c:pt idx="15">
                  <c:v>120.61015823780208</c:v>
                </c:pt>
                <c:pt idx="16">
                  <c:v>120.61015823780208</c:v>
                </c:pt>
                <c:pt idx="17">
                  <c:v>120.61015823780208</c:v>
                </c:pt>
                <c:pt idx="18">
                  <c:v>120.61015823780208</c:v>
                </c:pt>
                <c:pt idx="19">
                  <c:v>120.61015823780208</c:v>
                </c:pt>
                <c:pt idx="20">
                  <c:v>120.61015823780208</c:v>
                </c:pt>
                <c:pt idx="21">
                  <c:v>120.61015823780208</c:v>
                </c:pt>
                <c:pt idx="22">
                  <c:v>120.61015823780208</c:v>
                </c:pt>
                <c:pt idx="23">
                  <c:v>120.61015823780208</c:v>
                </c:pt>
                <c:pt idx="24">
                  <c:v>120.61015823780208</c:v>
                </c:pt>
                <c:pt idx="25">
                  <c:v>120.61015823780208</c:v>
                </c:pt>
                <c:pt idx="26">
                  <c:v>120.61015823780208</c:v>
                </c:pt>
                <c:pt idx="27">
                  <c:v>120.61015823780208</c:v>
                </c:pt>
                <c:pt idx="28">
                  <c:v>120.61015823780208</c:v>
                </c:pt>
                <c:pt idx="29">
                  <c:v>120.61015823780208</c:v>
                </c:pt>
                <c:pt idx="30">
                  <c:v>120.61015823780208</c:v>
                </c:pt>
                <c:pt idx="31">
                  <c:v>123.04180331015149</c:v>
                </c:pt>
                <c:pt idx="32">
                  <c:v>123.04180331015149</c:v>
                </c:pt>
                <c:pt idx="33">
                  <c:v>123.04180331015149</c:v>
                </c:pt>
                <c:pt idx="34">
                  <c:v>123.04180331015149</c:v>
                </c:pt>
                <c:pt idx="35">
                  <c:v>123.04180331015149</c:v>
                </c:pt>
                <c:pt idx="36">
                  <c:v>123.04180331015149</c:v>
                </c:pt>
                <c:pt idx="37">
                  <c:v>123.04180331015149</c:v>
                </c:pt>
                <c:pt idx="38">
                  <c:v>123.04180331015149</c:v>
                </c:pt>
                <c:pt idx="39">
                  <c:v>123.04180331015149</c:v>
                </c:pt>
                <c:pt idx="40">
                  <c:v>123.04180331015149</c:v>
                </c:pt>
                <c:pt idx="41">
                  <c:v>123.04180331015149</c:v>
                </c:pt>
                <c:pt idx="42">
                  <c:v>123.04180331015149</c:v>
                </c:pt>
                <c:pt idx="43">
                  <c:v>123.04180331015149</c:v>
                </c:pt>
                <c:pt idx="44">
                  <c:v>123.04180331015149</c:v>
                </c:pt>
                <c:pt idx="45">
                  <c:v>123.04180331015149</c:v>
                </c:pt>
                <c:pt idx="46">
                  <c:v>123.04180331015149</c:v>
                </c:pt>
                <c:pt idx="47">
                  <c:v>123.04180331015149</c:v>
                </c:pt>
                <c:pt idx="48">
                  <c:v>123.04180331015149</c:v>
                </c:pt>
                <c:pt idx="49">
                  <c:v>123.04180331015149</c:v>
                </c:pt>
                <c:pt idx="50">
                  <c:v>123.04180331015149</c:v>
                </c:pt>
                <c:pt idx="51">
                  <c:v>123.04180331015149</c:v>
                </c:pt>
                <c:pt idx="52">
                  <c:v>123.04180331015149</c:v>
                </c:pt>
                <c:pt idx="53">
                  <c:v>123.04180331015149</c:v>
                </c:pt>
                <c:pt idx="54">
                  <c:v>123.04180331015149</c:v>
                </c:pt>
                <c:pt idx="55">
                  <c:v>123.04180331015149</c:v>
                </c:pt>
                <c:pt idx="56">
                  <c:v>123.04180331015149</c:v>
                </c:pt>
                <c:pt idx="57">
                  <c:v>123.04180331015149</c:v>
                </c:pt>
                <c:pt idx="58">
                  <c:v>123.04180331015149</c:v>
                </c:pt>
                <c:pt idx="59">
                  <c:v>123.04180331015149</c:v>
                </c:pt>
                <c:pt idx="60">
                  <c:v>132.5377482022528</c:v>
                </c:pt>
                <c:pt idx="61">
                  <c:v>132.5377482022528</c:v>
                </c:pt>
                <c:pt idx="62">
                  <c:v>132.5377482022528</c:v>
                </c:pt>
                <c:pt idx="63">
                  <c:v>132.5377482022528</c:v>
                </c:pt>
                <c:pt idx="64">
                  <c:v>132.5377482022528</c:v>
                </c:pt>
                <c:pt idx="65">
                  <c:v>132.5377482022528</c:v>
                </c:pt>
                <c:pt idx="66">
                  <c:v>132.5377482022528</c:v>
                </c:pt>
                <c:pt idx="67">
                  <c:v>132.5377482022528</c:v>
                </c:pt>
                <c:pt idx="68">
                  <c:v>132.5377482022528</c:v>
                </c:pt>
                <c:pt idx="69">
                  <c:v>132.5377482022528</c:v>
                </c:pt>
                <c:pt idx="70">
                  <c:v>132.5377482022528</c:v>
                </c:pt>
                <c:pt idx="71">
                  <c:v>132.5377482022528</c:v>
                </c:pt>
                <c:pt idx="72">
                  <c:v>132.5377482022528</c:v>
                </c:pt>
                <c:pt idx="73">
                  <c:v>132.5377482022528</c:v>
                </c:pt>
                <c:pt idx="74">
                  <c:v>132.5377482022528</c:v>
                </c:pt>
                <c:pt idx="75">
                  <c:v>132.5377482022528</c:v>
                </c:pt>
                <c:pt idx="76">
                  <c:v>132.5377482022528</c:v>
                </c:pt>
                <c:pt idx="77">
                  <c:v>132.5377482022528</c:v>
                </c:pt>
                <c:pt idx="78">
                  <c:v>132.5377482022528</c:v>
                </c:pt>
                <c:pt idx="79">
                  <c:v>132.5377482022528</c:v>
                </c:pt>
                <c:pt idx="80">
                  <c:v>132.5377482022528</c:v>
                </c:pt>
                <c:pt idx="81">
                  <c:v>132.5377482022528</c:v>
                </c:pt>
                <c:pt idx="82">
                  <c:v>132.5377482022528</c:v>
                </c:pt>
                <c:pt idx="83">
                  <c:v>132.5377482022528</c:v>
                </c:pt>
                <c:pt idx="84">
                  <c:v>132.5377482022528</c:v>
                </c:pt>
                <c:pt idx="85">
                  <c:v>132.5377482022528</c:v>
                </c:pt>
                <c:pt idx="86">
                  <c:v>132.5377482022528</c:v>
                </c:pt>
                <c:pt idx="87">
                  <c:v>132.5377482022528</c:v>
                </c:pt>
                <c:pt idx="88">
                  <c:v>132.5377482022528</c:v>
                </c:pt>
                <c:pt idx="89">
                  <c:v>132.5377482022528</c:v>
                </c:pt>
                <c:pt idx="90">
                  <c:v>132.5377482022528</c:v>
                </c:pt>
                <c:pt idx="91">
                  <c:v>129.30997561700028</c:v>
                </c:pt>
                <c:pt idx="92">
                  <c:v>129.30997561700028</c:v>
                </c:pt>
                <c:pt idx="93">
                  <c:v>129.30997561700028</c:v>
                </c:pt>
                <c:pt idx="94">
                  <c:v>129.30997561700028</c:v>
                </c:pt>
                <c:pt idx="95">
                  <c:v>129.30997561700028</c:v>
                </c:pt>
                <c:pt idx="96">
                  <c:v>129.30997561700028</c:v>
                </c:pt>
                <c:pt idx="97">
                  <c:v>129.30997561700028</c:v>
                </c:pt>
                <c:pt idx="98">
                  <c:v>129.30997561700028</c:v>
                </c:pt>
                <c:pt idx="99">
                  <c:v>129.30997561700028</c:v>
                </c:pt>
                <c:pt idx="100">
                  <c:v>129.30997561700028</c:v>
                </c:pt>
                <c:pt idx="101">
                  <c:v>129.30997561700028</c:v>
                </c:pt>
                <c:pt idx="102">
                  <c:v>129.30997561700028</c:v>
                </c:pt>
                <c:pt idx="103">
                  <c:v>129.30997561700028</c:v>
                </c:pt>
                <c:pt idx="104">
                  <c:v>129.30997561700028</c:v>
                </c:pt>
                <c:pt idx="105">
                  <c:v>129.30997561700028</c:v>
                </c:pt>
                <c:pt idx="106">
                  <c:v>129.30997561700028</c:v>
                </c:pt>
                <c:pt idx="107">
                  <c:v>129.30997561700028</c:v>
                </c:pt>
                <c:pt idx="108">
                  <c:v>129.30997561700028</c:v>
                </c:pt>
                <c:pt idx="109">
                  <c:v>129.30997561700028</c:v>
                </c:pt>
                <c:pt idx="110">
                  <c:v>129.30997561700028</c:v>
                </c:pt>
                <c:pt idx="111">
                  <c:v>129.30997561700028</c:v>
                </c:pt>
                <c:pt idx="112">
                  <c:v>129.30997561700028</c:v>
                </c:pt>
                <c:pt idx="113">
                  <c:v>129.30997561700028</c:v>
                </c:pt>
                <c:pt idx="114">
                  <c:v>129.30997561700028</c:v>
                </c:pt>
                <c:pt idx="115">
                  <c:v>129.30997561700028</c:v>
                </c:pt>
                <c:pt idx="116">
                  <c:v>129.30997561700028</c:v>
                </c:pt>
                <c:pt idx="117">
                  <c:v>129.30997561700028</c:v>
                </c:pt>
                <c:pt idx="118">
                  <c:v>129.30997561700028</c:v>
                </c:pt>
                <c:pt idx="119">
                  <c:v>129.30997561700028</c:v>
                </c:pt>
                <c:pt idx="120">
                  <c:v>129.30997561700028</c:v>
                </c:pt>
                <c:pt idx="121">
                  <c:v>104.0249711788601</c:v>
                </c:pt>
                <c:pt idx="122">
                  <c:v>104.0249711788601</c:v>
                </c:pt>
                <c:pt idx="123">
                  <c:v>104.0249711788601</c:v>
                </c:pt>
                <c:pt idx="124">
                  <c:v>104.0249711788601</c:v>
                </c:pt>
                <c:pt idx="125">
                  <c:v>104.0249711788601</c:v>
                </c:pt>
                <c:pt idx="126">
                  <c:v>104.0249711788601</c:v>
                </c:pt>
                <c:pt idx="127">
                  <c:v>104.0249711788601</c:v>
                </c:pt>
                <c:pt idx="128">
                  <c:v>104.0249711788601</c:v>
                </c:pt>
                <c:pt idx="129">
                  <c:v>104.0249711788601</c:v>
                </c:pt>
                <c:pt idx="130">
                  <c:v>104.0249711788601</c:v>
                </c:pt>
                <c:pt idx="131">
                  <c:v>104.0249711788601</c:v>
                </c:pt>
                <c:pt idx="132">
                  <c:v>104.0249711788601</c:v>
                </c:pt>
                <c:pt idx="133">
                  <c:v>104.0249711788601</c:v>
                </c:pt>
                <c:pt idx="134">
                  <c:v>104.0249711788601</c:v>
                </c:pt>
                <c:pt idx="135">
                  <c:v>104.0249711788601</c:v>
                </c:pt>
                <c:pt idx="136">
                  <c:v>104.0249711788601</c:v>
                </c:pt>
                <c:pt idx="137">
                  <c:v>104.0249711788601</c:v>
                </c:pt>
                <c:pt idx="138">
                  <c:v>104.0249711788601</c:v>
                </c:pt>
                <c:pt idx="139">
                  <c:v>104.0249711788601</c:v>
                </c:pt>
                <c:pt idx="140">
                  <c:v>104.0249711788601</c:v>
                </c:pt>
                <c:pt idx="141">
                  <c:v>104.0249711788601</c:v>
                </c:pt>
                <c:pt idx="142">
                  <c:v>104.0249711788601</c:v>
                </c:pt>
                <c:pt idx="143">
                  <c:v>104.0249711788601</c:v>
                </c:pt>
                <c:pt idx="144">
                  <c:v>104.0249711788601</c:v>
                </c:pt>
                <c:pt idx="145">
                  <c:v>104.0249711788601</c:v>
                </c:pt>
                <c:pt idx="146">
                  <c:v>104.0249711788601</c:v>
                </c:pt>
                <c:pt idx="147">
                  <c:v>104.0249711788601</c:v>
                </c:pt>
                <c:pt idx="148">
                  <c:v>104.0249711788601</c:v>
                </c:pt>
                <c:pt idx="149">
                  <c:v>104.0249711788601</c:v>
                </c:pt>
                <c:pt idx="150">
                  <c:v>104.0249711788601</c:v>
                </c:pt>
                <c:pt idx="151">
                  <c:v>104.0249711788601</c:v>
                </c:pt>
                <c:pt idx="152">
                  <c:v>64.512028542813908</c:v>
                </c:pt>
                <c:pt idx="153">
                  <c:v>64.512028542813908</c:v>
                </c:pt>
                <c:pt idx="154">
                  <c:v>64.512028542813908</c:v>
                </c:pt>
                <c:pt idx="155">
                  <c:v>64.512028542813908</c:v>
                </c:pt>
                <c:pt idx="156">
                  <c:v>64.512028542813908</c:v>
                </c:pt>
                <c:pt idx="157">
                  <c:v>64.512028542813908</c:v>
                </c:pt>
                <c:pt idx="158">
                  <c:v>64.512028542813908</c:v>
                </c:pt>
                <c:pt idx="159">
                  <c:v>64.512028542813908</c:v>
                </c:pt>
                <c:pt idx="160">
                  <c:v>64.512028542813908</c:v>
                </c:pt>
                <c:pt idx="161">
                  <c:v>64.512028542813908</c:v>
                </c:pt>
                <c:pt idx="162">
                  <c:v>64.512028542813908</c:v>
                </c:pt>
                <c:pt idx="163">
                  <c:v>64.512028542813908</c:v>
                </c:pt>
                <c:pt idx="164">
                  <c:v>64.512028542813908</c:v>
                </c:pt>
                <c:pt idx="165">
                  <c:v>64.512028542813908</c:v>
                </c:pt>
                <c:pt idx="166">
                  <c:v>64.512028542813908</c:v>
                </c:pt>
                <c:pt idx="167">
                  <c:v>64.512028542813908</c:v>
                </c:pt>
                <c:pt idx="168">
                  <c:v>64.512028542813908</c:v>
                </c:pt>
                <c:pt idx="169">
                  <c:v>64.512028542813908</c:v>
                </c:pt>
                <c:pt idx="170">
                  <c:v>64.512028542813908</c:v>
                </c:pt>
                <c:pt idx="171">
                  <c:v>64.512028542813908</c:v>
                </c:pt>
                <c:pt idx="172">
                  <c:v>64.512028542813908</c:v>
                </c:pt>
                <c:pt idx="173">
                  <c:v>64.512028542813908</c:v>
                </c:pt>
                <c:pt idx="174">
                  <c:v>64.512028542813908</c:v>
                </c:pt>
                <c:pt idx="175">
                  <c:v>64.512028542813908</c:v>
                </c:pt>
                <c:pt idx="176">
                  <c:v>64.512028542813908</c:v>
                </c:pt>
                <c:pt idx="177">
                  <c:v>64.512028542813908</c:v>
                </c:pt>
                <c:pt idx="178">
                  <c:v>64.512028542813908</c:v>
                </c:pt>
                <c:pt idx="179">
                  <c:v>64.512028542813908</c:v>
                </c:pt>
                <c:pt idx="180">
                  <c:v>64.512028542813908</c:v>
                </c:pt>
                <c:pt idx="181">
                  <c:v>64.512028542813908</c:v>
                </c:pt>
                <c:pt idx="182">
                  <c:v>28.410222830287367</c:v>
                </c:pt>
                <c:pt idx="183">
                  <c:v>28.410222830287367</c:v>
                </c:pt>
                <c:pt idx="184">
                  <c:v>28.410222830287367</c:v>
                </c:pt>
                <c:pt idx="185">
                  <c:v>28.410222830287367</c:v>
                </c:pt>
                <c:pt idx="186">
                  <c:v>28.410222830287367</c:v>
                </c:pt>
                <c:pt idx="187">
                  <c:v>28.410222830287367</c:v>
                </c:pt>
                <c:pt idx="188">
                  <c:v>28.410222830287367</c:v>
                </c:pt>
                <c:pt idx="189">
                  <c:v>28.410222830287367</c:v>
                </c:pt>
                <c:pt idx="190">
                  <c:v>28.410222830287367</c:v>
                </c:pt>
                <c:pt idx="191">
                  <c:v>28.410222830287367</c:v>
                </c:pt>
                <c:pt idx="192">
                  <c:v>28.410222830287367</c:v>
                </c:pt>
                <c:pt idx="193">
                  <c:v>28.410222830287367</c:v>
                </c:pt>
                <c:pt idx="194">
                  <c:v>28.410222830287367</c:v>
                </c:pt>
                <c:pt idx="195">
                  <c:v>28.410222830287367</c:v>
                </c:pt>
                <c:pt idx="196">
                  <c:v>28.410222830287367</c:v>
                </c:pt>
                <c:pt idx="197">
                  <c:v>28.410222830287367</c:v>
                </c:pt>
                <c:pt idx="198">
                  <c:v>28.410222830287367</c:v>
                </c:pt>
                <c:pt idx="199">
                  <c:v>28.410222830287367</c:v>
                </c:pt>
                <c:pt idx="200">
                  <c:v>28.410222830287367</c:v>
                </c:pt>
                <c:pt idx="201">
                  <c:v>28.410222830287367</c:v>
                </c:pt>
                <c:pt idx="202">
                  <c:v>28.410222830287367</c:v>
                </c:pt>
                <c:pt idx="203">
                  <c:v>28.410222830287367</c:v>
                </c:pt>
                <c:pt idx="204">
                  <c:v>28.410222830287367</c:v>
                </c:pt>
                <c:pt idx="205">
                  <c:v>28.410222830287367</c:v>
                </c:pt>
                <c:pt idx="206">
                  <c:v>28.410222830287367</c:v>
                </c:pt>
                <c:pt idx="207">
                  <c:v>28.410222830287367</c:v>
                </c:pt>
                <c:pt idx="208">
                  <c:v>28.410222830287367</c:v>
                </c:pt>
                <c:pt idx="209">
                  <c:v>28.410222830287367</c:v>
                </c:pt>
                <c:pt idx="210">
                  <c:v>28.410222830287367</c:v>
                </c:pt>
                <c:pt idx="211">
                  <c:v>28.410222830287367</c:v>
                </c:pt>
                <c:pt idx="212">
                  <c:v>28.410222830287367</c:v>
                </c:pt>
                <c:pt idx="213">
                  <c:v>17.313341416272394</c:v>
                </c:pt>
                <c:pt idx="214">
                  <c:v>17.313341416272394</c:v>
                </c:pt>
                <c:pt idx="215">
                  <c:v>17.313341416272394</c:v>
                </c:pt>
                <c:pt idx="216">
                  <c:v>17.313341416272394</c:v>
                </c:pt>
                <c:pt idx="217">
                  <c:v>17.313341416272394</c:v>
                </c:pt>
                <c:pt idx="218">
                  <c:v>17.313341416272394</c:v>
                </c:pt>
                <c:pt idx="219">
                  <c:v>17.313341416272394</c:v>
                </c:pt>
                <c:pt idx="220">
                  <c:v>17.313341416272394</c:v>
                </c:pt>
                <c:pt idx="221">
                  <c:v>17.313341416272394</c:v>
                </c:pt>
                <c:pt idx="222">
                  <c:v>17.313341416272394</c:v>
                </c:pt>
                <c:pt idx="223">
                  <c:v>17.313341416272394</c:v>
                </c:pt>
                <c:pt idx="224">
                  <c:v>17.313341416272394</c:v>
                </c:pt>
                <c:pt idx="225">
                  <c:v>17.313341416272394</c:v>
                </c:pt>
                <c:pt idx="226">
                  <c:v>17.313341416272394</c:v>
                </c:pt>
                <c:pt idx="227">
                  <c:v>17.313341416272394</c:v>
                </c:pt>
                <c:pt idx="228">
                  <c:v>17.313341416272394</c:v>
                </c:pt>
                <c:pt idx="229">
                  <c:v>17.313341416272394</c:v>
                </c:pt>
                <c:pt idx="230">
                  <c:v>17.313341416272394</c:v>
                </c:pt>
                <c:pt idx="231">
                  <c:v>17.313341416272394</c:v>
                </c:pt>
                <c:pt idx="232">
                  <c:v>17.313341416272394</c:v>
                </c:pt>
                <c:pt idx="233">
                  <c:v>17.313341416272394</c:v>
                </c:pt>
                <c:pt idx="234">
                  <c:v>17.313341416272394</c:v>
                </c:pt>
                <c:pt idx="235">
                  <c:v>17.313341416272394</c:v>
                </c:pt>
                <c:pt idx="236">
                  <c:v>17.313341416272394</c:v>
                </c:pt>
                <c:pt idx="237">
                  <c:v>17.313341416272394</c:v>
                </c:pt>
                <c:pt idx="238">
                  <c:v>17.313341416272394</c:v>
                </c:pt>
                <c:pt idx="239">
                  <c:v>17.313341416272394</c:v>
                </c:pt>
                <c:pt idx="240">
                  <c:v>17.313341416272394</c:v>
                </c:pt>
                <c:pt idx="241">
                  <c:v>17.313341416272394</c:v>
                </c:pt>
                <c:pt idx="242">
                  <c:v>17.313341416272394</c:v>
                </c:pt>
                <c:pt idx="243">
                  <c:v>17.313341416272394</c:v>
                </c:pt>
                <c:pt idx="244">
                  <c:v>20.95959048014743</c:v>
                </c:pt>
                <c:pt idx="245">
                  <c:v>20.95959048014743</c:v>
                </c:pt>
                <c:pt idx="246">
                  <c:v>20.95959048014743</c:v>
                </c:pt>
                <c:pt idx="247">
                  <c:v>20.95959048014743</c:v>
                </c:pt>
                <c:pt idx="248">
                  <c:v>20.95959048014743</c:v>
                </c:pt>
                <c:pt idx="249">
                  <c:v>20.95959048014743</c:v>
                </c:pt>
                <c:pt idx="250">
                  <c:v>20.95959048014743</c:v>
                </c:pt>
                <c:pt idx="251">
                  <c:v>20.95959048014743</c:v>
                </c:pt>
                <c:pt idx="252">
                  <c:v>20.95959048014743</c:v>
                </c:pt>
                <c:pt idx="253">
                  <c:v>20.95959048014743</c:v>
                </c:pt>
                <c:pt idx="254">
                  <c:v>20.95959048014743</c:v>
                </c:pt>
                <c:pt idx="255">
                  <c:v>20.95959048014743</c:v>
                </c:pt>
                <c:pt idx="256">
                  <c:v>20.95959048014743</c:v>
                </c:pt>
                <c:pt idx="257">
                  <c:v>20.95959048014743</c:v>
                </c:pt>
                <c:pt idx="258">
                  <c:v>20.95959048014743</c:v>
                </c:pt>
                <c:pt idx="259">
                  <c:v>20.95959048014743</c:v>
                </c:pt>
                <c:pt idx="260">
                  <c:v>20.95959048014743</c:v>
                </c:pt>
                <c:pt idx="261">
                  <c:v>20.95959048014743</c:v>
                </c:pt>
                <c:pt idx="262">
                  <c:v>20.95959048014743</c:v>
                </c:pt>
                <c:pt idx="263">
                  <c:v>20.95959048014743</c:v>
                </c:pt>
                <c:pt idx="264">
                  <c:v>20.95959048014743</c:v>
                </c:pt>
                <c:pt idx="265">
                  <c:v>20.95959048014743</c:v>
                </c:pt>
                <c:pt idx="266">
                  <c:v>20.95959048014743</c:v>
                </c:pt>
                <c:pt idx="267">
                  <c:v>20.95959048014743</c:v>
                </c:pt>
                <c:pt idx="268">
                  <c:v>20.95959048014743</c:v>
                </c:pt>
                <c:pt idx="269">
                  <c:v>20.95959048014743</c:v>
                </c:pt>
                <c:pt idx="270">
                  <c:v>20.95959048014743</c:v>
                </c:pt>
                <c:pt idx="271">
                  <c:v>20.95959048014743</c:v>
                </c:pt>
                <c:pt idx="272">
                  <c:v>20.95959048014743</c:v>
                </c:pt>
                <c:pt idx="273">
                  <c:v>20.95959048014743</c:v>
                </c:pt>
                <c:pt idx="274">
                  <c:v>41.360965957335978</c:v>
                </c:pt>
                <c:pt idx="275">
                  <c:v>41.360965957335978</c:v>
                </c:pt>
                <c:pt idx="276">
                  <c:v>41.360965957335978</c:v>
                </c:pt>
                <c:pt idx="277">
                  <c:v>41.360965957335978</c:v>
                </c:pt>
                <c:pt idx="278">
                  <c:v>41.360965957335978</c:v>
                </c:pt>
                <c:pt idx="279">
                  <c:v>41.360965957335978</c:v>
                </c:pt>
                <c:pt idx="280">
                  <c:v>41.360965957335978</c:v>
                </c:pt>
                <c:pt idx="281">
                  <c:v>41.360965957335978</c:v>
                </c:pt>
                <c:pt idx="282">
                  <c:v>41.360965957335978</c:v>
                </c:pt>
                <c:pt idx="283">
                  <c:v>41.360965957335978</c:v>
                </c:pt>
                <c:pt idx="284">
                  <c:v>41.360965957335978</c:v>
                </c:pt>
                <c:pt idx="285">
                  <c:v>41.360965957335978</c:v>
                </c:pt>
                <c:pt idx="286">
                  <c:v>41.360965957335978</c:v>
                </c:pt>
                <c:pt idx="287">
                  <c:v>41.360965957335978</c:v>
                </c:pt>
                <c:pt idx="288">
                  <c:v>41.360965957335978</c:v>
                </c:pt>
                <c:pt idx="289">
                  <c:v>41.360965957335978</c:v>
                </c:pt>
                <c:pt idx="290">
                  <c:v>41.360965957335978</c:v>
                </c:pt>
                <c:pt idx="291">
                  <c:v>41.360965957335978</c:v>
                </c:pt>
                <c:pt idx="292">
                  <c:v>41.360965957335978</c:v>
                </c:pt>
                <c:pt idx="293">
                  <c:v>41.360965957335978</c:v>
                </c:pt>
                <c:pt idx="294">
                  <c:v>41.360965957335978</c:v>
                </c:pt>
                <c:pt idx="295">
                  <c:v>41.360965957335978</c:v>
                </c:pt>
                <c:pt idx="296">
                  <c:v>41.360965957335978</c:v>
                </c:pt>
                <c:pt idx="297">
                  <c:v>41.360965957335978</c:v>
                </c:pt>
                <c:pt idx="298">
                  <c:v>41.360965957335978</c:v>
                </c:pt>
                <c:pt idx="299">
                  <c:v>41.360965957335978</c:v>
                </c:pt>
                <c:pt idx="300">
                  <c:v>41.360965957335978</c:v>
                </c:pt>
                <c:pt idx="301">
                  <c:v>41.360965957335978</c:v>
                </c:pt>
                <c:pt idx="302">
                  <c:v>41.360965957335978</c:v>
                </c:pt>
                <c:pt idx="303">
                  <c:v>41.360965957335978</c:v>
                </c:pt>
                <c:pt idx="304">
                  <c:v>41.360965957335978</c:v>
                </c:pt>
                <c:pt idx="305">
                  <c:v>85.678144231829236</c:v>
                </c:pt>
                <c:pt idx="306">
                  <c:v>85.678144231829236</c:v>
                </c:pt>
                <c:pt idx="307">
                  <c:v>85.678144231829236</c:v>
                </c:pt>
                <c:pt idx="308">
                  <c:v>85.678144231829236</c:v>
                </c:pt>
                <c:pt idx="309">
                  <c:v>85.678144231829236</c:v>
                </c:pt>
                <c:pt idx="310">
                  <c:v>85.678144231829236</c:v>
                </c:pt>
                <c:pt idx="311">
                  <c:v>85.678144231829236</c:v>
                </c:pt>
                <c:pt idx="312">
                  <c:v>85.678144231829236</c:v>
                </c:pt>
                <c:pt idx="313">
                  <c:v>85.678144231829236</c:v>
                </c:pt>
                <c:pt idx="314">
                  <c:v>85.678144231829236</c:v>
                </c:pt>
                <c:pt idx="315">
                  <c:v>85.678144231829236</c:v>
                </c:pt>
                <c:pt idx="316">
                  <c:v>85.678144231829236</c:v>
                </c:pt>
                <c:pt idx="317">
                  <c:v>85.678144231829236</c:v>
                </c:pt>
                <c:pt idx="318">
                  <c:v>85.678144231829236</c:v>
                </c:pt>
                <c:pt idx="319">
                  <c:v>85.678144231829236</c:v>
                </c:pt>
                <c:pt idx="320">
                  <c:v>85.678144231829236</c:v>
                </c:pt>
                <c:pt idx="321">
                  <c:v>85.678144231829236</c:v>
                </c:pt>
                <c:pt idx="322">
                  <c:v>85.678144231829236</c:v>
                </c:pt>
                <c:pt idx="323">
                  <c:v>85.678144231829236</c:v>
                </c:pt>
                <c:pt idx="324">
                  <c:v>85.678144231829236</c:v>
                </c:pt>
                <c:pt idx="325">
                  <c:v>85.678144231829236</c:v>
                </c:pt>
                <c:pt idx="326">
                  <c:v>85.678144231829236</c:v>
                </c:pt>
                <c:pt idx="327">
                  <c:v>85.678144231829236</c:v>
                </c:pt>
                <c:pt idx="328">
                  <c:v>85.678144231829236</c:v>
                </c:pt>
                <c:pt idx="329">
                  <c:v>85.678144231829236</c:v>
                </c:pt>
                <c:pt idx="330">
                  <c:v>85.678144231829236</c:v>
                </c:pt>
                <c:pt idx="331">
                  <c:v>85.678144231829236</c:v>
                </c:pt>
                <c:pt idx="332">
                  <c:v>85.678144231829236</c:v>
                </c:pt>
                <c:pt idx="333">
                  <c:v>85.678144231829236</c:v>
                </c:pt>
                <c:pt idx="334">
                  <c:v>85.678144231829236</c:v>
                </c:pt>
                <c:pt idx="335">
                  <c:v>109.27964473765024</c:v>
                </c:pt>
                <c:pt idx="336">
                  <c:v>109.27964473765024</c:v>
                </c:pt>
                <c:pt idx="337">
                  <c:v>109.27964473765024</c:v>
                </c:pt>
                <c:pt idx="338">
                  <c:v>109.27964473765024</c:v>
                </c:pt>
                <c:pt idx="339">
                  <c:v>109.27964473765024</c:v>
                </c:pt>
                <c:pt idx="340">
                  <c:v>109.27964473765024</c:v>
                </c:pt>
                <c:pt idx="341">
                  <c:v>109.27964473765024</c:v>
                </c:pt>
                <c:pt idx="342">
                  <c:v>109.27964473765024</c:v>
                </c:pt>
                <c:pt idx="343">
                  <c:v>109.27964473765024</c:v>
                </c:pt>
                <c:pt idx="344">
                  <c:v>109.27964473765024</c:v>
                </c:pt>
                <c:pt idx="345">
                  <c:v>109.27964473765024</c:v>
                </c:pt>
                <c:pt idx="346">
                  <c:v>109.27964473765024</c:v>
                </c:pt>
                <c:pt idx="347">
                  <c:v>109.27964473765024</c:v>
                </c:pt>
                <c:pt idx="348">
                  <c:v>109.27964473765024</c:v>
                </c:pt>
                <c:pt idx="349">
                  <c:v>109.27964473765024</c:v>
                </c:pt>
                <c:pt idx="350">
                  <c:v>109.27964473765024</c:v>
                </c:pt>
                <c:pt idx="351">
                  <c:v>109.27964473765024</c:v>
                </c:pt>
                <c:pt idx="352">
                  <c:v>109.27964473765024</c:v>
                </c:pt>
                <c:pt idx="353">
                  <c:v>109.27964473765024</c:v>
                </c:pt>
                <c:pt idx="354">
                  <c:v>109.27964473765024</c:v>
                </c:pt>
                <c:pt idx="355">
                  <c:v>109.27964473765024</c:v>
                </c:pt>
                <c:pt idx="356">
                  <c:v>109.27964473765024</c:v>
                </c:pt>
                <c:pt idx="357">
                  <c:v>109.27964473765024</c:v>
                </c:pt>
                <c:pt idx="358">
                  <c:v>109.27964473765024</c:v>
                </c:pt>
                <c:pt idx="359">
                  <c:v>109.27964473765024</c:v>
                </c:pt>
                <c:pt idx="360">
                  <c:v>109.27964473765024</c:v>
                </c:pt>
                <c:pt idx="361">
                  <c:v>109.27964473765024</c:v>
                </c:pt>
                <c:pt idx="362">
                  <c:v>109.27964473765024</c:v>
                </c:pt>
                <c:pt idx="363">
                  <c:v>109.27964473765024</c:v>
                </c:pt>
                <c:pt idx="364">
                  <c:v>109.27964473765024</c:v>
                </c:pt>
                <c:pt idx="365">
                  <c:v>109.27964473765024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3-4BEF-AF27-4A62EBB87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43888"/>
        <c:axId val="337744280"/>
      </c:areaChart>
      <c:areaChart>
        <c:grouping val="standard"/>
        <c:varyColors val="0"/>
        <c:ser>
          <c:idx val="0"/>
          <c:order val="2"/>
          <c:tx>
            <c:strRef>
              <c:f>'Data 4'!$F$5:$F$7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5F5F5"/>
            </a:solidFill>
            <a:ln w="12700">
              <a:solidFill>
                <a:srgbClr val="004563"/>
              </a:solidFill>
              <a:prstDash val="solid"/>
            </a:ln>
          </c:spPr>
          <c:val>
            <c:numRef>
              <c:f>'Data 4'!$F$8:$F$373</c:f>
              <c:numCache>
                <c:formatCode>0\ \ \ \ _)</c:formatCode>
                <c:ptCount val="366"/>
                <c:pt idx="0">
                  <c:v>120.61015823780208</c:v>
                </c:pt>
                <c:pt idx="1">
                  <c:v>120.61015823780208</c:v>
                </c:pt>
                <c:pt idx="2">
                  <c:v>120.61015823780208</c:v>
                </c:pt>
                <c:pt idx="3">
                  <c:v>120.61015823780208</c:v>
                </c:pt>
                <c:pt idx="4">
                  <c:v>120.61015823780208</c:v>
                </c:pt>
                <c:pt idx="5">
                  <c:v>120.61015823780208</c:v>
                </c:pt>
                <c:pt idx="6">
                  <c:v>120.61015823780208</c:v>
                </c:pt>
                <c:pt idx="7">
                  <c:v>120.61015823780208</c:v>
                </c:pt>
                <c:pt idx="8">
                  <c:v>120.61015823780208</c:v>
                </c:pt>
                <c:pt idx="9">
                  <c:v>120.61015823780208</c:v>
                </c:pt>
                <c:pt idx="10">
                  <c:v>120.61015823780208</c:v>
                </c:pt>
                <c:pt idx="11">
                  <c:v>120.61015823780208</c:v>
                </c:pt>
                <c:pt idx="12">
                  <c:v>120.61015823780208</c:v>
                </c:pt>
                <c:pt idx="13">
                  <c:v>120.61015823780208</c:v>
                </c:pt>
                <c:pt idx="14">
                  <c:v>109.51591220692852</c:v>
                </c:pt>
                <c:pt idx="15">
                  <c:v>102.83626179493038</c:v>
                </c:pt>
                <c:pt idx="16">
                  <c:v>95.593275680928514</c:v>
                </c:pt>
                <c:pt idx="17">
                  <c:v>78.560293868930387</c:v>
                </c:pt>
                <c:pt idx="18">
                  <c:v>81.28734691492852</c:v>
                </c:pt>
                <c:pt idx="19">
                  <c:v>107.22600599893039</c:v>
                </c:pt>
                <c:pt idx="20">
                  <c:v>110.01404580092853</c:v>
                </c:pt>
                <c:pt idx="21">
                  <c:v>120.61015823780208</c:v>
                </c:pt>
                <c:pt idx="22">
                  <c:v>120.61015823780208</c:v>
                </c:pt>
                <c:pt idx="23">
                  <c:v>120.61015823780208</c:v>
                </c:pt>
                <c:pt idx="24">
                  <c:v>120.61015823780208</c:v>
                </c:pt>
                <c:pt idx="25">
                  <c:v>113.04152681685576</c:v>
                </c:pt>
                <c:pt idx="26">
                  <c:v>106.39816320485762</c:v>
                </c:pt>
                <c:pt idx="27">
                  <c:v>117.32437367885576</c:v>
                </c:pt>
                <c:pt idx="28">
                  <c:v>120.61015823780208</c:v>
                </c:pt>
                <c:pt idx="29">
                  <c:v>120.61015823780208</c:v>
                </c:pt>
                <c:pt idx="30">
                  <c:v>120.61015823780208</c:v>
                </c:pt>
                <c:pt idx="31">
                  <c:v>123.04180331015149</c:v>
                </c:pt>
                <c:pt idx="32">
                  <c:v>123.04180331015149</c:v>
                </c:pt>
                <c:pt idx="33">
                  <c:v>123.04180331015149</c:v>
                </c:pt>
                <c:pt idx="34">
                  <c:v>123.04180331015149</c:v>
                </c:pt>
                <c:pt idx="35">
                  <c:v>101.21494766068176</c:v>
                </c:pt>
                <c:pt idx="36">
                  <c:v>119.89483406868176</c:v>
                </c:pt>
                <c:pt idx="37">
                  <c:v>123.04180331015149</c:v>
                </c:pt>
                <c:pt idx="38">
                  <c:v>111.28670961868175</c:v>
                </c:pt>
                <c:pt idx="39">
                  <c:v>81.632432828679896</c:v>
                </c:pt>
                <c:pt idx="40">
                  <c:v>93.540708556683612</c:v>
                </c:pt>
                <c:pt idx="41">
                  <c:v>120.88465370868362</c:v>
                </c:pt>
                <c:pt idx="42">
                  <c:v>123.04180331015149</c:v>
                </c:pt>
                <c:pt idx="43">
                  <c:v>96.852409229518202</c:v>
                </c:pt>
                <c:pt idx="44">
                  <c:v>123.04180331015149</c:v>
                </c:pt>
                <c:pt idx="45">
                  <c:v>77.77838789951447</c:v>
                </c:pt>
                <c:pt idx="46">
                  <c:v>60.043368629521922</c:v>
                </c:pt>
                <c:pt idx="47">
                  <c:v>83.628993823518201</c:v>
                </c:pt>
                <c:pt idx="48">
                  <c:v>108.06292742952006</c:v>
                </c:pt>
                <c:pt idx="49">
                  <c:v>106.53119925888871</c:v>
                </c:pt>
                <c:pt idx="50">
                  <c:v>108.25581243088871</c:v>
                </c:pt>
                <c:pt idx="51">
                  <c:v>96.380460498890557</c:v>
                </c:pt>
                <c:pt idx="52">
                  <c:v>87.246674430888703</c:v>
                </c:pt>
                <c:pt idx="53">
                  <c:v>70.277641382890565</c:v>
                </c:pt>
                <c:pt idx="54">
                  <c:v>100.43893846088871</c:v>
                </c:pt>
                <c:pt idx="55">
                  <c:v>64.336191080890572</c:v>
                </c:pt>
                <c:pt idx="56">
                  <c:v>73.978974691030174</c:v>
                </c:pt>
                <c:pt idx="57">
                  <c:v>62.875328969033902</c:v>
                </c:pt>
                <c:pt idx="58">
                  <c:v>77.942884185033904</c:v>
                </c:pt>
                <c:pt idx="59">
                  <c:v>37.557855961032047</c:v>
                </c:pt>
                <c:pt idx="60">
                  <c:v>43.078658777033908</c:v>
                </c:pt>
                <c:pt idx="61">
                  <c:v>76.267380159032058</c:v>
                </c:pt>
                <c:pt idx="62">
                  <c:v>77.871578835033915</c:v>
                </c:pt>
                <c:pt idx="63">
                  <c:v>132.5377482022528</c:v>
                </c:pt>
                <c:pt idx="64">
                  <c:v>132.5377482022528</c:v>
                </c:pt>
                <c:pt idx="65">
                  <c:v>132.5377482022528</c:v>
                </c:pt>
                <c:pt idx="66">
                  <c:v>132.5377482022528</c:v>
                </c:pt>
                <c:pt idx="67">
                  <c:v>132.5377482022528</c:v>
                </c:pt>
                <c:pt idx="68">
                  <c:v>132.5377482022528</c:v>
                </c:pt>
                <c:pt idx="69">
                  <c:v>132.5377482022528</c:v>
                </c:pt>
                <c:pt idx="70">
                  <c:v>132.5377482022528</c:v>
                </c:pt>
                <c:pt idx="71">
                  <c:v>132.5377482022528</c:v>
                </c:pt>
                <c:pt idx="72">
                  <c:v>118.60194963660987</c:v>
                </c:pt>
                <c:pt idx="73">
                  <c:v>117.30391945660801</c:v>
                </c:pt>
                <c:pt idx="74">
                  <c:v>86.369496016609872</c:v>
                </c:pt>
                <c:pt idx="75">
                  <c:v>108.84544928660988</c:v>
                </c:pt>
                <c:pt idx="76">
                  <c:v>108.86737097060801</c:v>
                </c:pt>
                <c:pt idx="77">
                  <c:v>132.5377482022528</c:v>
                </c:pt>
                <c:pt idx="78">
                  <c:v>132.5377482022528</c:v>
                </c:pt>
                <c:pt idx="79">
                  <c:v>132.5377482022528</c:v>
                </c:pt>
                <c:pt idx="80">
                  <c:v>132.5377482022528</c:v>
                </c:pt>
                <c:pt idx="81">
                  <c:v>132.5377482022528</c:v>
                </c:pt>
                <c:pt idx="82">
                  <c:v>132.5377482022528</c:v>
                </c:pt>
                <c:pt idx="83">
                  <c:v>132.5377482022528</c:v>
                </c:pt>
                <c:pt idx="84">
                  <c:v>113.15580332969643</c:v>
                </c:pt>
                <c:pt idx="85">
                  <c:v>71.520610169694564</c:v>
                </c:pt>
                <c:pt idx="86">
                  <c:v>92.584242263694577</c:v>
                </c:pt>
                <c:pt idx="87">
                  <c:v>92.001519359692693</c:v>
                </c:pt>
                <c:pt idx="88">
                  <c:v>39.350676359696429</c:v>
                </c:pt>
                <c:pt idx="89">
                  <c:v>46.330532759694563</c:v>
                </c:pt>
                <c:pt idx="90">
                  <c:v>51.606697719692704</c:v>
                </c:pt>
                <c:pt idx="91">
                  <c:v>129.30997561700028</c:v>
                </c:pt>
                <c:pt idx="92">
                  <c:v>122.0266781599335</c:v>
                </c:pt>
                <c:pt idx="93">
                  <c:v>126.28000615593163</c:v>
                </c:pt>
                <c:pt idx="94">
                  <c:v>94.510438413935361</c:v>
                </c:pt>
                <c:pt idx="95">
                  <c:v>96.545817115933488</c:v>
                </c:pt>
                <c:pt idx="96">
                  <c:v>126.34743885393536</c:v>
                </c:pt>
                <c:pt idx="97">
                  <c:v>128.90391283592976</c:v>
                </c:pt>
                <c:pt idx="98">
                  <c:v>113.33443736710225</c:v>
                </c:pt>
                <c:pt idx="99">
                  <c:v>102.36321143509852</c:v>
                </c:pt>
                <c:pt idx="100">
                  <c:v>100.0204638651004</c:v>
                </c:pt>
                <c:pt idx="101">
                  <c:v>104.58355007910039</c:v>
                </c:pt>
                <c:pt idx="102">
                  <c:v>94.167497721100389</c:v>
                </c:pt>
                <c:pt idx="103">
                  <c:v>102.59805064509852</c:v>
                </c:pt>
                <c:pt idx="104">
                  <c:v>114.42597703509853</c:v>
                </c:pt>
                <c:pt idx="105">
                  <c:v>129.30997561700028</c:v>
                </c:pt>
                <c:pt idx="106">
                  <c:v>129.30997561700028</c:v>
                </c:pt>
                <c:pt idx="107">
                  <c:v>129.30997561700028</c:v>
                </c:pt>
                <c:pt idx="108">
                  <c:v>129.30997561700028</c:v>
                </c:pt>
                <c:pt idx="109">
                  <c:v>129.30997561700028</c:v>
                </c:pt>
                <c:pt idx="110">
                  <c:v>129.30997561700028</c:v>
                </c:pt>
                <c:pt idx="111">
                  <c:v>129.30997561700028</c:v>
                </c:pt>
                <c:pt idx="112">
                  <c:v>129.30997561700028</c:v>
                </c:pt>
                <c:pt idx="113">
                  <c:v>129.30997561700028</c:v>
                </c:pt>
                <c:pt idx="114">
                  <c:v>129.30997561700028</c:v>
                </c:pt>
                <c:pt idx="115">
                  <c:v>129.30997561700028</c:v>
                </c:pt>
                <c:pt idx="116">
                  <c:v>129.30997561700028</c:v>
                </c:pt>
                <c:pt idx="117">
                  <c:v>129.30997561700028</c:v>
                </c:pt>
                <c:pt idx="118">
                  <c:v>129.30997561700028</c:v>
                </c:pt>
                <c:pt idx="119">
                  <c:v>129.30997561700028</c:v>
                </c:pt>
                <c:pt idx="120">
                  <c:v>129.30997561700028</c:v>
                </c:pt>
                <c:pt idx="121">
                  <c:v>104.0249711788601</c:v>
                </c:pt>
                <c:pt idx="122">
                  <c:v>104.0249711788601</c:v>
                </c:pt>
                <c:pt idx="123">
                  <c:v>104.0249711788601</c:v>
                </c:pt>
                <c:pt idx="124">
                  <c:v>104.0249711788601</c:v>
                </c:pt>
                <c:pt idx="125">
                  <c:v>104.0249711788601</c:v>
                </c:pt>
                <c:pt idx="126">
                  <c:v>104.0249711788601</c:v>
                </c:pt>
                <c:pt idx="127">
                  <c:v>104.0249711788601</c:v>
                </c:pt>
                <c:pt idx="128">
                  <c:v>104.0249711788601</c:v>
                </c:pt>
                <c:pt idx="129">
                  <c:v>99.36255984853311</c:v>
                </c:pt>
                <c:pt idx="130">
                  <c:v>88.671768668533119</c:v>
                </c:pt>
                <c:pt idx="131">
                  <c:v>98.18951377453125</c:v>
                </c:pt>
                <c:pt idx="132">
                  <c:v>104.0249711788601</c:v>
                </c:pt>
                <c:pt idx="133">
                  <c:v>104.0249711788601</c:v>
                </c:pt>
                <c:pt idx="134">
                  <c:v>104.0249711788601</c:v>
                </c:pt>
                <c:pt idx="135">
                  <c:v>104.0249711788601</c:v>
                </c:pt>
                <c:pt idx="136">
                  <c:v>104.0249711788601</c:v>
                </c:pt>
                <c:pt idx="137">
                  <c:v>98.115648367951266</c:v>
                </c:pt>
                <c:pt idx="138">
                  <c:v>104.0249711788601</c:v>
                </c:pt>
                <c:pt idx="139">
                  <c:v>96.214231315954976</c:v>
                </c:pt>
                <c:pt idx="140">
                  <c:v>88.68268179228059</c:v>
                </c:pt>
                <c:pt idx="141">
                  <c:v>99.657174528282454</c:v>
                </c:pt>
                <c:pt idx="142">
                  <c:v>104.0249711788601</c:v>
                </c:pt>
                <c:pt idx="143">
                  <c:v>75.843606652276861</c:v>
                </c:pt>
                <c:pt idx="144">
                  <c:v>73.442466940284319</c:v>
                </c:pt>
                <c:pt idx="145">
                  <c:v>79.647915048282442</c:v>
                </c:pt>
                <c:pt idx="146">
                  <c:v>71.41425592827872</c:v>
                </c:pt>
                <c:pt idx="147">
                  <c:v>56.840975135005515</c:v>
                </c:pt>
                <c:pt idx="148">
                  <c:v>68.149165055005525</c:v>
                </c:pt>
                <c:pt idx="149">
                  <c:v>87.454870175001787</c:v>
                </c:pt>
                <c:pt idx="150">
                  <c:v>65.99014155500366</c:v>
                </c:pt>
                <c:pt idx="151">
                  <c:v>60.008951887001793</c:v>
                </c:pt>
                <c:pt idx="152">
                  <c:v>64.512028542813908</c:v>
                </c:pt>
                <c:pt idx="153">
                  <c:v>64.512028542813908</c:v>
                </c:pt>
                <c:pt idx="154">
                  <c:v>61.905332875254736</c:v>
                </c:pt>
                <c:pt idx="155">
                  <c:v>55.473621055258469</c:v>
                </c:pt>
                <c:pt idx="156">
                  <c:v>55.856005679258466</c:v>
                </c:pt>
                <c:pt idx="157">
                  <c:v>38.132653167256606</c:v>
                </c:pt>
                <c:pt idx="158">
                  <c:v>32.878003795254742</c:v>
                </c:pt>
                <c:pt idx="159">
                  <c:v>34.727825193256606</c:v>
                </c:pt>
                <c:pt idx="160">
                  <c:v>44.663990163258468</c:v>
                </c:pt>
                <c:pt idx="161">
                  <c:v>64.512028542813908</c:v>
                </c:pt>
                <c:pt idx="162">
                  <c:v>55.397297491908645</c:v>
                </c:pt>
                <c:pt idx="163">
                  <c:v>61.927497781908649</c:v>
                </c:pt>
                <c:pt idx="164">
                  <c:v>56.816090815908645</c:v>
                </c:pt>
                <c:pt idx="165">
                  <c:v>53.090480763908644</c:v>
                </c:pt>
                <c:pt idx="166">
                  <c:v>64.512028542813908</c:v>
                </c:pt>
                <c:pt idx="167">
                  <c:v>64.512028542813908</c:v>
                </c:pt>
                <c:pt idx="168">
                  <c:v>57.908698474405043</c:v>
                </c:pt>
                <c:pt idx="169">
                  <c:v>51.140389274410644</c:v>
                </c:pt>
                <c:pt idx="170">
                  <c:v>48.942402670403183</c:v>
                </c:pt>
                <c:pt idx="171">
                  <c:v>32.105291590408768</c:v>
                </c:pt>
                <c:pt idx="172">
                  <c:v>26.65248139040877</c:v>
                </c:pt>
                <c:pt idx="173">
                  <c:v>45.374734656406915</c:v>
                </c:pt>
                <c:pt idx="174">
                  <c:v>63.074573162406914</c:v>
                </c:pt>
                <c:pt idx="175">
                  <c:v>38.71103894258237</c:v>
                </c:pt>
                <c:pt idx="176">
                  <c:v>49.306956966587954</c:v>
                </c:pt>
                <c:pt idx="177">
                  <c:v>49.329973556584228</c:v>
                </c:pt>
                <c:pt idx="178">
                  <c:v>34.30528931058236</c:v>
                </c:pt>
                <c:pt idx="179">
                  <c:v>30.354757186584227</c:v>
                </c:pt>
                <c:pt idx="180">
                  <c:v>45.563970554586078</c:v>
                </c:pt>
                <c:pt idx="181">
                  <c:v>58.461366558580501</c:v>
                </c:pt>
                <c:pt idx="182">
                  <c:v>28.410222830287367</c:v>
                </c:pt>
                <c:pt idx="183">
                  <c:v>28.410222830287367</c:v>
                </c:pt>
                <c:pt idx="184">
                  <c:v>14.066865667485342</c:v>
                </c:pt>
                <c:pt idx="185">
                  <c:v>8.3983418134853416</c:v>
                </c:pt>
                <c:pt idx="186">
                  <c:v>8.0012366394834817</c:v>
                </c:pt>
                <c:pt idx="187">
                  <c:v>17.791377753485342</c:v>
                </c:pt>
                <c:pt idx="188">
                  <c:v>25.094945113481618</c:v>
                </c:pt>
                <c:pt idx="189">
                  <c:v>28.410222830287367</c:v>
                </c:pt>
                <c:pt idx="190">
                  <c:v>27.082195738023067</c:v>
                </c:pt>
                <c:pt idx="191">
                  <c:v>21.241728378026789</c:v>
                </c:pt>
                <c:pt idx="192">
                  <c:v>17.792687728021207</c:v>
                </c:pt>
                <c:pt idx="193">
                  <c:v>8.9562365980249314</c:v>
                </c:pt>
                <c:pt idx="194">
                  <c:v>23.025830096023064</c:v>
                </c:pt>
                <c:pt idx="195">
                  <c:v>22.195257064024933</c:v>
                </c:pt>
                <c:pt idx="196">
                  <c:v>21.587210229732058</c:v>
                </c:pt>
                <c:pt idx="197">
                  <c:v>22.256527679732063</c:v>
                </c:pt>
                <c:pt idx="198">
                  <c:v>24.386599185732063</c:v>
                </c:pt>
                <c:pt idx="199">
                  <c:v>19.524965393733925</c:v>
                </c:pt>
                <c:pt idx="200">
                  <c:v>12.476329775733925</c:v>
                </c:pt>
                <c:pt idx="201">
                  <c:v>27.0448287037302</c:v>
                </c:pt>
                <c:pt idx="202">
                  <c:v>19.316497099733919</c:v>
                </c:pt>
                <c:pt idx="203">
                  <c:v>13.504739751972309</c:v>
                </c:pt>
                <c:pt idx="204">
                  <c:v>17.08586853997231</c:v>
                </c:pt>
                <c:pt idx="205">
                  <c:v>13.806570359974176</c:v>
                </c:pt>
                <c:pt idx="206">
                  <c:v>5.5892363519723078</c:v>
                </c:pt>
                <c:pt idx="207">
                  <c:v>4.0950785359760342</c:v>
                </c:pt>
                <c:pt idx="208">
                  <c:v>27.265467839974168</c:v>
                </c:pt>
                <c:pt idx="209">
                  <c:v>28.410222830287367</c:v>
                </c:pt>
                <c:pt idx="210">
                  <c:v>14.44973433717055</c:v>
                </c:pt>
                <c:pt idx="211">
                  <c:v>11.960392885170542</c:v>
                </c:pt>
                <c:pt idx="212">
                  <c:v>28.410222830287367</c:v>
                </c:pt>
                <c:pt idx="213">
                  <c:v>1.1842854931686888</c:v>
                </c:pt>
                <c:pt idx="214">
                  <c:v>1.2291496491705476</c:v>
                </c:pt>
                <c:pt idx="215">
                  <c:v>2.2662959891686913</c:v>
                </c:pt>
                <c:pt idx="216">
                  <c:v>1.0242204831686832</c:v>
                </c:pt>
                <c:pt idx="217">
                  <c:v>1.280619305211061</c:v>
                </c:pt>
                <c:pt idx="218">
                  <c:v>5.0690575292054714</c:v>
                </c:pt>
                <c:pt idx="219">
                  <c:v>9.7617761772054656</c:v>
                </c:pt>
                <c:pt idx="220">
                  <c:v>1.2596635252110573</c:v>
                </c:pt>
                <c:pt idx="221">
                  <c:v>1.431573849207336</c:v>
                </c:pt>
                <c:pt idx="222">
                  <c:v>2.0885627332091974</c:v>
                </c:pt>
                <c:pt idx="223">
                  <c:v>10.206986065207333</c:v>
                </c:pt>
                <c:pt idx="224">
                  <c:v>17.313341416272394</c:v>
                </c:pt>
                <c:pt idx="225">
                  <c:v>17.313341416272394</c:v>
                </c:pt>
                <c:pt idx="226">
                  <c:v>17.313341416272394</c:v>
                </c:pt>
                <c:pt idx="227">
                  <c:v>1.4367211132628872</c:v>
                </c:pt>
                <c:pt idx="228">
                  <c:v>1.36805154325916</c:v>
                </c:pt>
                <c:pt idx="229">
                  <c:v>17.313341416272394</c:v>
                </c:pt>
                <c:pt idx="230">
                  <c:v>17.313341416272394</c:v>
                </c:pt>
                <c:pt idx="231">
                  <c:v>6.7076170905173056</c:v>
                </c:pt>
                <c:pt idx="232">
                  <c:v>5.7604087785191735</c:v>
                </c:pt>
                <c:pt idx="233">
                  <c:v>15.528971570519177</c:v>
                </c:pt>
                <c:pt idx="234">
                  <c:v>4.7741597785173076</c:v>
                </c:pt>
                <c:pt idx="235">
                  <c:v>0.57842827851731271</c:v>
                </c:pt>
                <c:pt idx="236">
                  <c:v>7.5759309585191659</c:v>
                </c:pt>
                <c:pt idx="237">
                  <c:v>17.313341416272394</c:v>
                </c:pt>
                <c:pt idx="238">
                  <c:v>17.313341416272394</c:v>
                </c:pt>
                <c:pt idx="239">
                  <c:v>13.108033395380131</c:v>
                </c:pt>
                <c:pt idx="240">
                  <c:v>7.3366255233819899</c:v>
                </c:pt>
                <c:pt idx="241">
                  <c:v>0.57914879137639941</c:v>
                </c:pt>
                <c:pt idx="242">
                  <c:v>0.59493596938385596</c:v>
                </c:pt>
                <c:pt idx="243">
                  <c:v>2.5399333773782637</c:v>
                </c:pt>
                <c:pt idx="244">
                  <c:v>9.9157058673782661</c:v>
                </c:pt>
                <c:pt idx="245">
                  <c:v>20.153271213409287</c:v>
                </c:pt>
                <c:pt idx="246">
                  <c:v>20.95959048014743</c:v>
                </c:pt>
                <c:pt idx="247">
                  <c:v>19.219243357407425</c:v>
                </c:pt>
                <c:pt idx="248">
                  <c:v>2.4857805174055612</c:v>
                </c:pt>
                <c:pt idx="249">
                  <c:v>1.1927802294074208</c:v>
                </c:pt>
                <c:pt idx="250">
                  <c:v>1.9528572214055602</c:v>
                </c:pt>
                <c:pt idx="251">
                  <c:v>10.516595965407426</c:v>
                </c:pt>
                <c:pt idx="252">
                  <c:v>20.95959048014743</c:v>
                </c:pt>
                <c:pt idx="253">
                  <c:v>17.835714077325989</c:v>
                </c:pt>
                <c:pt idx="254">
                  <c:v>15.430868341322261</c:v>
                </c:pt>
                <c:pt idx="255">
                  <c:v>1.5664787813259899</c:v>
                </c:pt>
                <c:pt idx="256">
                  <c:v>1.4851167173222639</c:v>
                </c:pt>
                <c:pt idx="257">
                  <c:v>20.95959048014743</c:v>
                </c:pt>
                <c:pt idx="258">
                  <c:v>20.95959048014743</c:v>
                </c:pt>
                <c:pt idx="259">
                  <c:v>20.95959048014743</c:v>
                </c:pt>
                <c:pt idx="260">
                  <c:v>20.95959048014743</c:v>
                </c:pt>
                <c:pt idx="261">
                  <c:v>17.305753081036965</c:v>
                </c:pt>
                <c:pt idx="262">
                  <c:v>7.5177133050350964</c:v>
                </c:pt>
                <c:pt idx="263">
                  <c:v>6.3890751850351011</c:v>
                </c:pt>
                <c:pt idx="264">
                  <c:v>20.95959048014743</c:v>
                </c:pt>
                <c:pt idx="265">
                  <c:v>20.95959048014743</c:v>
                </c:pt>
                <c:pt idx="266">
                  <c:v>20.95959048014743</c:v>
                </c:pt>
                <c:pt idx="267">
                  <c:v>20.95959048014743</c:v>
                </c:pt>
                <c:pt idx="268">
                  <c:v>14.38581081373521</c:v>
                </c:pt>
                <c:pt idx="269">
                  <c:v>9.8621068577314794</c:v>
                </c:pt>
                <c:pt idx="270">
                  <c:v>13.26400406973521</c:v>
                </c:pt>
                <c:pt idx="271">
                  <c:v>20.942873981735211</c:v>
                </c:pt>
                <c:pt idx="272">
                  <c:v>20.95959048014743</c:v>
                </c:pt>
                <c:pt idx="273">
                  <c:v>20.95959048014743</c:v>
                </c:pt>
                <c:pt idx="274">
                  <c:v>34.484269008399984</c:v>
                </c:pt>
                <c:pt idx="275">
                  <c:v>33.251194404401843</c:v>
                </c:pt>
                <c:pt idx="276">
                  <c:v>31.903827480398125</c:v>
                </c:pt>
                <c:pt idx="277">
                  <c:v>32.307551376400916</c:v>
                </c:pt>
                <c:pt idx="278">
                  <c:v>36.51101262840092</c:v>
                </c:pt>
                <c:pt idx="279">
                  <c:v>41.360965957335978</c:v>
                </c:pt>
                <c:pt idx="280">
                  <c:v>41.360965957335978</c:v>
                </c:pt>
                <c:pt idx="281">
                  <c:v>41.360965957335978</c:v>
                </c:pt>
                <c:pt idx="282">
                  <c:v>41.360965957335978</c:v>
                </c:pt>
                <c:pt idx="283">
                  <c:v>31.932171363482272</c:v>
                </c:pt>
                <c:pt idx="284">
                  <c:v>27.284127463484133</c:v>
                </c:pt>
                <c:pt idx="285">
                  <c:v>33.38150365548227</c:v>
                </c:pt>
                <c:pt idx="286">
                  <c:v>41.360965957335978</c:v>
                </c:pt>
                <c:pt idx="287">
                  <c:v>40.406727836433134</c:v>
                </c:pt>
                <c:pt idx="288">
                  <c:v>41.360965957335978</c:v>
                </c:pt>
                <c:pt idx="289">
                  <c:v>41.360965957335978</c:v>
                </c:pt>
                <c:pt idx="290">
                  <c:v>41.360965957335978</c:v>
                </c:pt>
                <c:pt idx="291">
                  <c:v>41.360965957335978</c:v>
                </c:pt>
                <c:pt idx="292">
                  <c:v>17.77103218643127</c:v>
                </c:pt>
                <c:pt idx="293">
                  <c:v>33.208155356433132</c:v>
                </c:pt>
                <c:pt idx="294">
                  <c:v>41.360965957335978</c:v>
                </c:pt>
                <c:pt idx="295">
                  <c:v>41.360965957335978</c:v>
                </c:pt>
                <c:pt idx="296">
                  <c:v>41.360965957335978</c:v>
                </c:pt>
                <c:pt idx="297">
                  <c:v>41.360965957335978</c:v>
                </c:pt>
                <c:pt idx="298">
                  <c:v>41.360965957335978</c:v>
                </c:pt>
                <c:pt idx="299">
                  <c:v>41.360965957335978</c:v>
                </c:pt>
                <c:pt idx="300">
                  <c:v>41.360965957335978</c:v>
                </c:pt>
                <c:pt idx="301">
                  <c:v>41.360965957335978</c:v>
                </c:pt>
                <c:pt idx="302">
                  <c:v>41.360965957335978</c:v>
                </c:pt>
                <c:pt idx="303">
                  <c:v>41.360965957335978</c:v>
                </c:pt>
                <c:pt idx="304">
                  <c:v>41.360965957335978</c:v>
                </c:pt>
                <c:pt idx="305">
                  <c:v>67.439131476561428</c:v>
                </c:pt>
                <c:pt idx="306">
                  <c:v>85.678144231829236</c:v>
                </c:pt>
                <c:pt idx="307">
                  <c:v>84.876946158563285</c:v>
                </c:pt>
                <c:pt idx="308">
                  <c:v>85.678144231829236</c:v>
                </c:pt>
                <c:pt idx="309">
                  <c:v>84.994874821518337</c:v>
                </c:pt>
                <c:pt idx="310">
                  <c:v>82.460786099520206</c:v>
                </c:pt>
                <c:pt idx="311">
                  <c:v>85.111399417518342</c:v>
                </c:pt>
                <c:pt idx="312">
                  <c:v>85.678144231829236</c:v>
                </c:pt>
                <c:pt idx="313">
                  <c:v>85.678144231829236</c:v>
                </c:pt>
                <c:pt idx="314">
                  <c:v>85.678144231829236</c:v>
                </c:pt>
                <c:pt idx="315">
                  <c:v>85.678144231829236</c:v>
                </c:pt>
                <c:pt idx="316">
                  <c:v>85.678144231829236</c:v>
                </c:pt>
                <c:pt idx="317">
                  <c:v>85.678144231829236</c:v>
                </c:pt>
                <c:pt idx="318">
                  <c:v>68.749278420722021</c:v>
                </c:pt>
                <c:pt idx="319">
                  <c:v>46.994863764720165</c:v>
                </c:pt>
                <c:pt idx="320">
                  <c:v>84.323376144723895</c:v>
                </c:pt>
                <c:pt idx="321">
                  <c:v>85.678144231829236</c:v>
                </c:pt>
                <c:pt idx="322">
                  <c:v>67.968658425442811</c:v>
                </c:pt>
                <c:pt idx="323">
                  <c:v>61.253144337444667</c:v>
                </c:pt>
                <c:pt idx="324">
                  <c:v>54.597239157440946</c:v>
                </c:pt>
                <c:pt idx="325">
                  <c:v>51.938485237442805</c:v>
                </c:pt>
                <c:pt idx="326">
                  <c:v>44.799852517442815</c:v>
                </c:pt>
                <c:pt idx="327">
                  <c:v>82.423770433442812</c:v>
                </c:pt>
                <c:pt idx="328">
                  <c:v>85.234718897440956</c:v>
                </c:pt>
                <c:pt idx="329">
                  <c:v>66.728341300664411</c:v>
                </c:pt>
                <c:pt idx="330">
                  <c:v>62.85127694066442</c:v>
                </c:pt>
                <c:pt idx="331">
                  <c:v>77.113845596664419</c:v>
                </c:pt>
                <c:pt idx="332">
                  <c:v>60.699643756666276</c:v>
                </c:pt>
                <c:pt idx="333">
                  <c:v>56.366979740662558</c:v>
                </c:pt>
                <c:pt idx="334">
                  <c:v>75.470445708664428</c:v>
                </c:pt>
                <c:pt idx="335">
                  <c:v>60.124714868663489</c:v>
                </c:pt>
                <c:pt idx="336">
                  <c:v>70.373460138760265</c:v>
                </c:pt>
                <c:pt idx="337">
                  <c:v>82.599717910759324</c:v>
                </c:pt>
                <c:pt idx="338">
                  <c:v>78.032862996759334</c:v>
                </c:pt>
                <c:pt idx="339">
                  <c:v>61.522234550759329</c:v>
                </c:pt>
                <c:pt idx="340">
                  <c:v>45.103965910761197</c:v>
                </c:pt>
                <c:pt idx="341">
                  <c:v>40.65508330075933</c:v>
                </c:pt>
                <c:pt idx="342">
                  <c:v>61.980312170759326</c:v>
                </c:pt>
                <c:pt idx="343">
                  <c:v>109.27964473765024</c:v>
                </c:pt>
                <c:pt idx="344">
                  <c:v>109.27964473765024</c:v>
                </c:pt>
                <c:pt idx="345">
                  <c:v>109.27964473765024</c:v>
                </c:pt>
                <c:pt idx="346">
                  <c:v>109.27964473765024</c:v>
                </c:pt>
                <c:pt idx="347">
                  <c:v>109.27964473765024</c:v>
                </c:pt>
                <c:pt idx="348">
                  <c:v>109.27964473765024</c:v>
                </c:pt>
                <c:pt idx="349">
                  <c:v>109.27964473765024</c:v>
                </c:pt>
                <c:pt idx="350">
                  <c:v>109.27964473765024</c:v>
                </c:pt>
                <c:pt idx="351">
                  <c:v>109.27964473765024</c:v>
                </c:pt>
                <c:pt idx="352">
                  <c:v>109.27964473765024</c:v>
                </c:pt>
                <c:pt idx="353">
                  <c:v>109.27964473765024</c:v>
                </c:pt>
                <c:pt idx="354">
                  <c:v>109.27964473765024</c:v>
                </c:pt>
                <c:pt idx="355">
                  <c:v>109.27964473765024</c:v>
                </c:pt>
                <c:pt idx="356">
                  <c:v>109.27964473765024</c:v>
                </c:pt>
                <c:pt idx="357">
                  <c:v>109.27964473765024</c:v>
                </c:pt>
                <c:pt idx="358">
                  <c:v>109.27964473765024</c:v>
                </c:pt>
                <c:pt idx="359">
                  <c:v>104.23266497200888</c:v>
                </c:pt>
                <c:pt idx="360">
                  <c:v>109.27964473765024</c:v>
                </c:pt>
                <c:pt idx="361">
                  <c:v>109.13303586600702</c:v>
                </c:pt>
                <c:pt idx="362">
                  <c:v>109.27964473765024</c:v>
                </c:pt>
                <c:pt idx="363">
                  <c:v>109.27964473765024</c:v>
                </c:pt>
                <c:pt idx="364">
                  <c:v>109.27964473765024</c:v>
                </c:pt>
                <c:pt idx="365">
                  <c:v>109.27964473765024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3-4BEF-AF27-4A62EBB87438}"/>
            </c:ext>
          </c:extLst>
        </c:ser>
        <c:ser>
          <c:idx val="3"/>
          <c:order val="3"/>
          <c:dLbls>
            <c:dLbl>
              <c:idx val="14"/>
              <c:layout>
                <c:manualLayout>
                  <c:x val="5.4229934924078091E-3"/>
                  <c:y val="-0.1518026565464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3-4BEF-AF27-4A62EBB87438}"/>
                </c:ext>
              </c:extLst>
            </c:dLbl>
            <c:dLbl>
              <c:idx val="45"/>
              <c:layout>
                <c:manualLayout>
                  <c:x val="0"/>
                  <c:y val="-0.12228547332911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C3-4BEF-AF27-4A62EBB87438}"/>
                </c:ext>
              </c:extLst>
            </c:dLbl>
            <c:dLbl>
              <c:idx val="73"/>
              <c:layout>
                <c:manualLayout>
                  <c:x val="1.8076644974692696E-3"/>
                  <c:y val="-0.1771030993042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C3-4BEF-AF27-4A62EBB87438}"/>
                </c:ext>
              </c:extLst>
            </c:dLbl>
            <c:dLbl>
              <c:idx val="104"/>
              <c:layout>
                <c:manualLayout>
                  <c:x val="-1.0845986984815618E-2"/>
                  <c:y val="-0.147585916086864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C3-4BEF-AF27-4A62EBB87438}"/>
                </c:ext>
              </c:extLst>
            </c:dLbl>
            <c:dLbl>
              <c:idx val="134"/>
              <c:layout>
                <c:manualLayout>
                  <c:x val="1.4461315979754157E-2"/>
                  <c:y val="-0.1138519924098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9-4489-9555-FAF7215D06F6}"/>
                </c:ext>
              </c:extLst>
            </c:dLbl>
            <c:dLbl>
              <c:idx val="165"/>
              <c:layout>
                <c:manualLayout>
                  <c:x val="0"/>
                  <c:y val="-7.590132827324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9-4489-9555-FAF7215D06F6}"/>
                </c:ext>
              </c:extLst>
            </c:dLbl>
            <c:dLbl>
              <c:idx val="195"/>
              <c:layout>
                <c:manualLayout>
                  <c:x val="0"/>
                  <c:y val="-5.903436643474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C3-4BEF-AF27-4A62EBB87438}"/>
                </c:ext>
              </c:extLst>
            </c:dLbl>
            <c:dLbl>
              <c:idx val="226"/>
              <c:layout>
                <c:manualLayout>
                  <c:x val="-1.8076644974692696E-3"/>
                  <c:y val="-7.5901328273244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C3-4BEF-AF27-4A62EBB87438}"/>
                </c:ext>
              </c:extLst>
            </c:dLbl>
            <c:dLbl>
              <c:idx val="257"/>
              <c:layout>
                <c:manualLayout>
                  <c:x val="-1.4461315979754157E-2"/>
                  <c:y val="-5.0600885515496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C3-4BEF-AF27-4A62EBB87438}"/>
                </c:ext>
              </c:extLst>
            </c:dLbl>
            <c:dLbl>
              <c:idx val="287"/>
              <c:layout>
                <c:manualLayout>
                  <c:x val="-1.0845986984815618E-2"/>
                  <c:y val="-7.168458781362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C3-4BEF-AF27-4A62EBB87438}"/>
                </c:ext>
              </c:extLst>
            </c:dLbl>
            <c:dLbl>
              <c:idx val="318"/>
              <c:layout>
                <c:manualLayout>
                  <c:x val="-3.6153289949385392E-3"/>
                  <c:y val="1.2650221378873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C3-4BEF-AF27-4A62EBB87438}"/>
                </c:ext>
              </c:extLst>
            </c:dLbl>
            <c:dLbl>
              <c:idx val="348"/>
              <c:layout>
                <c:manualLayout>
                  <c:x val="9.0383224873463487E-3"/>
                  <c:y val="-1.546120307615331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C3-4BEF-AF27-4A62EBB874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4'!$G$8:$G$373</c:f>
              <c:numCache>
                <c:formatCode>General</c:formatCode>
                <c:ptCount val="366"/>
                <c:pt idx="14" formatCode="0\ \ \ \ _)">
                  <c:v>120.61015823780208</c:v>
                </c:pt>
                <c:pt idx="45" formatCode="0\ \ \ \ _)">
                  <c:v>123.04180331015149</c:v>
                </c:pt>
                <c:pt idx="73" formatCode="0\ \ \ \ _)">
                  <c:v>132.5377482022528</c:v>
                </c:pt>
                <c:pt idx="104" formatCode="0\ \ \ \ _)">
                  <c:v>129.30997561700028</c:v>
                </c:pt>
                <c:pt idx="134" formatCode="0\ \ \ \ _)">
                  <c:v>104.0249711788601</c:v>
                </c:pt>
                <c:pt idx="165" formatCode="0\ \ \ \ _)">
                  <c:v>64.512028542813908</c:v>
                </c:pt>
                <c:pt idx="195" formatCode="0\ \ \ \ _)">
                  <c:v>28.410222830287367</c:v>
                </c:pt>
                <c:pt idx="226" formatCode="0\ \ \ \ _)">
                  <c:v>17.313341416272394</c:v>
                </c:pt>
                <c:pt idx="257" formatCode="0\ \ \ \ _)">
                  <c:v>20.95959048014743</c:v>
                </c:pt>
                <c:pt idx="287" formatCode="0\ \ \ \ _)">
                  <c:v>41.360965957335978</c:v>
                </c:pt>
                <c:pt idx="318" formatCode="0\ \ \ \ _)">
                  <c:v>85.678144231829236</c:v>
                </c:pt>
                <c:pt idx="348" formatCode="0\ \ \ \ _)">
                  <c:v>109.27964473765024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C3-4BEF-AF27-4A62EBB87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44672"/>
        <c:axId val="337745064"/>
      </c:areaChart>
      <c:catAx>
        <c:axId val="3377438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one"/>
        <c:spPr>
          <a:ln w="3175">
            <a:solidFill>
              <a:srgbClr val="A6A6A6"/>
            </a:solidFill>
            <a:prstDash val="solid"/>
          </a:ln>
        </c:spPr>
        <c:crossAx val="337744280"/>
        <c:crosses val="autoZero"/>
        <c:auto val="0"/>
        <c:lblAlgn val="ctr"/>
        <c:lblOffset val="100"/>
        <c:tickMarkSkip val="1"/>
        <c:noMultiLvlLbl val="0"/>
      </c:catAx>
      <c:valAx>
        <c:axId val="337744280"/>
        <c:scaling>
          <c:orientation val="minMax"/>
          <c:max val="5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3888"/>
        <c:crosses val="autoZero"/>
        <c:crossBetween val="midCat"/>
        <c:majorUnit val="100"/>
        <c:minorUnit val="50"/>
      </c:valAx>
      <c:catAx>
        <c:axId val="337744672"/>
        <c:scaling>
          <c:orientation val="minMax"/>
        </c:scaling>
        <c:delete val="1"/>
        <c:axPos val="b"/>
        <c:majorTickMark val="out"/>
        <c:minorTickMark val="none"/>
        <c:tickLblPos val="nextTo"/>
        <c:crossAx val="337745064"/>
        <c:crosses val="autoZero"/>
        <c:auto val="0"/>
        <c:lblAlgn val="ctr"/>
        <c:lblOffset val="100"/>
        <c:noMultiLvlLbl val="0"/>
      </c:catAx>
      <c:valAx>
        <c:axId val="337745064"/>
        <c:scaling>
          <c:orientation val="minMax"/>
        </c:scaling>
        <c:delete val="1"/>
        <c:axPos val="l"/>
        <c:numFmt formatCode="0\ \ \ \ _)" sourceLinked="1"/>
        <c:majorTickMark val="out"/>
        <c:minorTickMark val="none"/>
        <c:tickLblPos val="nextTo"/>
        <c:crossAx val="33774467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-4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73469387755103"/>
          <c:y val="0.18462652564469048"/>
          <c:w val="0.68571428571428572"/>
          <c:h val="0.64087696958672247"/>
        </c:manualLayout>
      </c:layout>
      <c:areaChart>
        <c:grouping val="standard"/>
        <c:varyColors val="0"/>
        <c:ser>
          <c:idx val="7"/>
          <c:order val="0"/>
          <c:spPr>
            <a:solidFill>
              <a:srgbClr val="C0C0FF"/>
            </a:solidFill>
            <a:ln w="25400">
              <a:noFill/>
            </a:ln>
          </c:spPr>
          <c:cat>
            <c:strRef>
              <c:f>'Data 4'!$C$379:$C$438</c:f>
              <c:strCache>
                <c:ptCount val="60"/>
                <c:pt idx="0">
                  <c:v>2016 Enero</c:v>
                </c:pt>
                <c:pt idx="1">
                  <c:v>2016 Febrero</c:v>
                </c:pt>
                <c:pt idx="2">
                  <c:v>2016 Marzo</c:v>
                </c:pt>
                <c:pt idx="3">
                  <c:v>2016 Abril</c:v>
                </c:pt>
                <c:pt idx="4">
                  <c:v>2016 Mayo</c:v>
                </c:pt>
                <c:pt idx="5">
                  <c:v>2016 Junio</c:v>
                </c:pt>
                <c:pt idx="6">
                  <c:v>2016 Julio</c:v>
                </c:pt>
                <c:pt idx="7">
                  <c:v>2016 Agosto</c:v>
                </c:pt>
                <c:pt idx="8">
                  <c:v>2016 Septiembre</c:v>
                </c:pt>
                <c:pt idx="9">
                  <c:v>2016 Octubre</c:v>
                </c:pt>
                <c:pt idx="10">
                  <c:v>2016 Noviembre</c:v>
                </c:pt>
                <c:pt idx="11">
                  <c:v>2016 Diciembre</c:v>
                </c:pt>
                <c:pt idx="12">
                  <c:v>2017 Enero</c:v>
                </c:pt>
                <c:pt idx="13">
                  <c:v>2017 Febrero</c:v>
                </c:pt>
                <c:pt idx="14">
                  <c:v>2017 Marzo</c:v>
                </c:pt>
                <c:pt idx="15">
                  <c:v>2017 Abril</c:v>
                </c:pt>
                <c:pt idx="16">
                  <c:v>2017 Mayo</c:v>
                </c:pt>
                <c:pt idx="17">
                  <c:v>2017 Junio</c:v>
                </c:pt>
                <c:pt idx="18">
                  <c:v>2017 Julio</c:v>
                </c:pt>
                <c:pt idx="19">
                  <c:v>2017 Agosto</c:v>
                </c:pt>
                <c:pt idx="20">
                  <c:v>2017 Septiembre</c:v>
                </c:pt>
                <c:pt idx="21">
                  <c:v>2017 Octubre</c:v>
                </c:pt>
                <c:pt idx="22">
                  <c:v>2017 Noviembre</c:v>
                </c:pt>
                <c:pt idx="23">
                  <c:v>2017 Diciembre</c:v>
                </c:pt>
                <c:pt idx="24">
                  <c:v>2018 Enero</c:v>
                </c:pt>
                <c:pt idx="25">
                  <c:v>2018 Febrero</c:v>
                </c:pt>
                <c:pt idx="26">
                  <c:v>2018 Marzo</c:v>
                </c:pt>
                <c:pt idx="27">
                  <c:v>2018 Abril</c:v>
                </c:pt>
                <c:pt idx="28">
                  <c:v>2018 Mayo</c:v>
                </c:pt>
                <c:pt idx="29">
                  <c:v>2018 Junio</c:v>
                </c:pt>
                <c:pt idx="30">
                  <c:v>2018 Julio</c:v>
                </c:pt>
                <c:pt idx="31">
                  <c:v>2018 Agosto</c:v>
                </c:pt>
                <c:pt idx="32">
                  <c:v>2018 Septiembre</c:v>
                </c:pt>
                <c:pt idx="33">
                  <c:v>2018 Octubre</c:v>
                </c:pt>
                <c:pt idx="34">
                  <c:v>2018 Noviembre</c:v>
                </c:pt>
                <c:pt idx="35">
                  <c:v>2018 Diciembre</c:v>
                </c:pt>
                <c:pt idx="36">
                  <c:v>2019 Enero</c:v>
                </c:pt>
                <c:pt idx="37">
                  <c:v>2019 Febrero</c:v>
                </c:pt>
                <c:pt idx="38">
                  <c:v>2019 Marzo</c:v>
                </c:pt>
                <c:pt idx="39">
                  <c:v>2019 Abril</c:v>
                </c:pt>
                <c:pt idx="40">
                  <c:v>2019 Mayo</c:v>
                </c:pt>
                <c:pt idx="41">
                  <c:v>2019 Junio</c:v>
                </c:pt>
                <c:pt idx="42">
                  <c:v>2019 Julio</c:v>
                </c:pt>
                <c:pt idx="43">
                  <c:v>2019 Agosto</c:v>
                </c:pt>
                <c:pt idx="44">
                  <c:v>2019 Septiembre</c:v>
                </c:pt>
                <c:pt idx="45">
                  <c:v>2019 Octubre</c:v>
                </c:pt>
                <c:pt idx="46">
                  <c:v>2019 Noviembre</c:v>
                </c:pt>
                <c:pt idx="47">
                  <c:v>2019 Diciembre</c:v>
                </c:pt>
                <c:pt idx="48">
                  <c:v>2020 Enero</c:v>
                </c:pt>
                <c:pt idx="49">
                  <c:v>2020 Febrero</c:v>
                </c:pt>
                <c:pt idx="50">
                  <c:v>2020 Marzo</c:v>
                </c:pt>
                <c:pt idx="51">
                  <c:v>2020 Abril</c:v>
                </c:pt>
                <c:pt idx="52">
                  <c:v>2020 Mayo</c:v>
                </c:pt>
                <c:pt idx="53">
                  <c:v>2020 Junio</c:v>
                </c:pt>
                <c:pt idx="54">
                  <c:v>2020 Julio</c:v>
                </c:pt>
                <c:pt idx="55">
                  <c:v>2020 Agosto</c:v>
                </c:pt>
                <c:pt idx="56">
                  <c:v>2020 Septiembre</c:v>
                </c:pt>
                <c:pt idx="57">
                  <c:v>2020 Octubre</c:v>
                </c:pt>
                <c:pt idx="58">
                  <c:v>2020 Noviembre</c:v>
                </c:pt>
                <c:pt idx="59">
                  <c:v>2020 Diciembre</c:v>
                </c:pt>
              </c:strCache>
            </c:strRef>
          </c:cat>
          <c:val>
            <c:numRef>
              <c:f>'Data 4'!$F$379:$F$438</c:f>
              <c:numCache>
                <c:formatCode>#,##0\ _)</c:formatCode>
                <c:ptCount val="60"/>
                <c:pt idx="0">
                  <c:v>13001.923073300004</c:v>
                </c:pt>
                <c:pt idx="1">
                  <c:v>13315.635805449998</c:v>
                </c:pt>
                <c:pt idx="2">
                  <c:v>13856.730464399996</c:v>
                </c:pt>
                <c:pt idx="3">
                  <c:v>14018.94815805</c:v>
                </c:pt>
                <c:pt idx="4">
                  <c:v>14159.331713699998</c:v>
                </c:pt>
                <c:pt idx="5">
                  <c:v>13746.649614300002</c:v>
                </c:pt>
                <c:pt idx="6">
                  <c:v>12254.397128699993</c:v>
                </c:pt>
                <c:pt idx="7">
                  <c:v>10936.8661656</c:v>
                </c:pt>
                <c:pt idx="8">
                  <c:v>10062.053802299999</c:v>
                </c:pt>
                <c:pt idx="9">
                  <c:v>9669.2149038000007</c:v>
                </c:pt>
                <c:pt idx="10">
                  <c:v>11022.843214199998</c:v>
                </c:pt>
                <c:pt idx="11">
                  <c:v>13351.207724999991</c:v>
                </c:pt>
                <c:pt idx="12">
                  <c:v>13008.613363950004</c:v>
                </c:pt>
                <c:pt idx="13">
                  <c:v>13281.664873649997</c:v>
                </c:pt>
                <c:pt idx="14">
                  <c:v>13801.362023799997</c:v>
                </c:pt>
                <c:pt idx="15">
                  <c:v>13963.73314565</c:v>
                </c:pt>
                <c:pt idx="16">
                  <c:v>14131.526504949998</c:v>
                </c:pt>
                <c:pt idx="17">
                  <c:v>13746.674503350001</c:v>
                </c:pt>
                <c:pt idx="18">
                  <c:v>12256.393885149993</c:v>
                </c:pt>
                <c:pt idx="19">
                  <c:v>10936.14513655</c:v>
                </c:pt>
                <c:pt idx="20">
                  <c:v>10089.784508599998</c:v>
                </c:pt>
                <c:pt idx="21">
                  <c:v>9703.2406173500003</c:v>
                </c:pt>
                <c:pt idx="22">
                  <c:v>11121.649687099996</c:v>
                </c:pt>
                <c:pt idx="23">
                  <c:v>13517.033399999991</c:v>
                </c:pt>
                <c:pt idx="24">
                  <c:v>13015.303654600004</c:v>
                </c:pt>
                <c:pt idx="25">
                  <c:v>13247.693941849997</c:v>
                </c:pt>
                <c:pt idx="26">
                  <c:v>13745.993583199999</c:v>
                </c:pt>
                <c:pt idx="27">
                  <c:v>13908.518133250001</c:v>
                </c:pt>
                <c:pt idx="28">
                  <c:v>14103.721296199999</c:v>
                </c:pt>
                <c:pt idx="29">
                  <c:v>13746.699392400003</c:v>
                </c:pt>
                <c:pt idx="30">
                  <c:v>12258.390641599992</c:v>
                </c:pt>
                <c:pt idx="31">
                  <c:v>10935.424107500001</c:v>
                </c:pt>
                <c:pt idx="32">
                  <c:v>10117.515214899999</c:v>
                </c:pt>
                <c:pt idx="33">
                  <c:v>9737.2663309</c:v>
                </c:pt>
                <c:pt idx="34">
                  <c:v>11146.955049999997</c:v>
                </c:pt>
                <c:pt idx="35">
                  <c:v>13456.058434449991</c:v>
                </c:pt>
                <c:pt idx="36">
                  <c:v>13020.290870750003</c:v>
                </c:pt>
                <c:pt idx="37">
                  <c:v>13213.723010049996</c:v>
                </c:pt>
                <c:pt idx="38">
                  <c:v>13690.625142599998</c:v>
                </c:pt>
                <c:pt idx="39">
                  <c:v>13853.30312085</c:v>
                </c:pt>
                <c:pt idx="40">
                  <c:v>14075.916087449999</c:v>
                </c:pt>
                <c:pt idx="41">
                  <c:v>13746.724281450002</c:v>
                </c:pt>
                <c:pt idx="42">
                  <c:v>12260.387398049996</c:v>
                </c:pt>
                <c:pt idx="43">
                  <c:v>10934.703078450004</c:v>
                </c:pt>
                <c:pt idx="44">
                  <c:v>10145.245921199999</c:v>
                </c:pt>
                <c:pt idx="45">
                  <c:v>9771.2920444499996</c:v>
                </c:pt>
                <c:pt idx="46">
                  <c:v>11172.260412899997</c:v>
                </c:pt>
                <c:pt idx="47">
                  <c:v>13395.083468899993</c:v>
                </c:pt>
                <c:pt idx="48">
                  <c:v>13025.278086900002</c:v>
                </c:pt>
                <c:pt idx="49">
                  <c:v>13282.205454749997</c:v>
                </c:pt>
                <c:pt idx="50">
                  <c:v>13779.121679499998</c:v>
                </c:pt>
                <c:pt idx="51">
                  <c:v>13901.975652950001</c:v>
                </c:pt>
                <c:pt idx="52">
                  <c:v>14115.337503700002</c:v>
                </c:pt>
                <c:pt idx="53">
                  <c:v>13804.115890500001</c:v>
                </c:pt>
                <c:pt idx="54">
                  <c:v>12335.885264499995</c:v>
                </c:pt>
                <c:pt idx="55">
                  <c:v>11008.379514400005</c:v>
                </c:pt>
                <c:pt idx="56">
                  <c:v>10216.987657999998</c:v>
                </c:pt>
                <c:pt idx="57">
                  <c:v>9860.0850484999992</c:v>
                </c:pt>
                <c:pt idx="58">
                  <c:v>11197.565775799998</c:v>
                </c:pt>
                <c:pt idx="59">
                  <c:v>13334.108503349993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4-44BB-B491-3BE94324A998}"/>
            </c:ext>
          </c:extLst>
        </c:ser>
        <c:ser>
          <c:idx val="8"/>
          <c:order val="1"/>
          <c:spPr>
            <a:solidFill>
              <a:srgbClr val="F7D2C6"/>
            </a:solidFill>
            <a:ln w="25400">
              <a:noFill/>
            </a:ln>
          </c:spPr>
          <c:cat>
            <c:strRef>
              <c:f>'Data 4'!$C$379:$C$438</c:f>
              <c:strCache>
                <c:ptCount val="60"/>
                <c:pt idx="0">
                  <c:v>2016 Enero</c:v>
                </c:pt>
                <c:pt idx="1">
                  <c:v>2016 Febrero</c:v>
                </c:pt>
                <c:pt idx="2">
                  <c:v>2016 Marzo</c:v>
                </c:pt>
                <c:pt idx="3">
                  <c:v>2016 Abril</c:v>
                </c:pt>
                <c:pt idx="4">
                  <c:v>2016 Mayo</c:v>
                </c:pt>
                <c:pt idx="5">
                  <c:v>2016 Junio</c:v>
                </c:pt>
                <c:pt idx="6">
                  <c:v>2016 Julio</c:v>
                </c:pt>
                <c:pt idx="7">
                  <c:v>2016 Agosto</c:v>
                </c:pt>
                <c:pt idx="8">
                  <c:v>2016 Septiembre</c:v>
                </c:pt>
                <c:pt idx="9">
                  <c:v>2016 Octubre</c:v>
                </c:pt>
                <c:pt idx="10">
                  <c:v>2016 Noviembre</c:v>
                </c:pt>
                <c:pt idx="11">
                  <c:v>2016 Diciembre</c:v>
                </c:pt>
                <c:pt idx="12">
                  <c:v>2017 Enero</c:v>
                </c:pt>
                <c:pt idx="13">
                  <c:v>2017 Febrero</c:v>
                </c:pt>
                <c:pt idx="14">
                  <c:v>2017 Marzo</c:v>
                </c:pt>
                <c:pt idx="15">
                  <c:v>2017 Abril</c:v>
                </c:pt>
                <c:pt idx="16">
                  <c:v>2017 Mayo</c:v>
                </c:pt>
                <c:pt idx="17">
                  <c:v>2017 Junio</c:v>
                </c:pt>
                <c:pt idx="18">
                  <c:v>2017 Julio</c:v>
                </c:pt>
                <c:pt idx="19">
                  <c:v>2017 Agosto</c:v>
                </c:pt>
                <c:pt idx="20">
                  <c:v>2017 Septiembre</c:v>
                </c:pt>
                <c:pt idx="21">
                  <c:v>2017 Octubre</c:v>
                </c:pt>
                <c:pt idx="22">
                  <c:v>2017 Noviembre</c:v>
                </c:pt>
                <c:pt idx="23">
                  <c:v>2017 Diciembre</c:v>
                </c:pt>
                <c:pt idx="24">
                  <c:v>2018 Enero</c:v>
                </c:pt>
                <c:pt idx="25">
                  <c:v>2018 Febrero</c:v>
                </c:pt>
                <c:pt idx="26">
                  <c:v>2018 Marzo</c:v>
                </c:pt>
                <c:pt idx="27">
                  <c:v>2018 Abril</c:v>
                </c:pt>
                <c:pt idx="28">
                  <c:v>2018 Mayo</c:v>
                </c:pt>
                <c:pt idx="29">
                  <c:v>2018 Junio</c:v>
                </c:pt>
                <c:pt idx="30">
                  <c:v>2018 Julio</c:v>
                </c:pt>
                <c:pt idx="31">
                  <c:v>2018 Agosto</c:v>
                </c:pt>
                <c:pt idx="32">
                  <c:v>2018 Septiembre</c:v>
                </c:pt>
                <c:pt idx="33">
                  <c:v>2018 Octubre</c:v>
                </c:pt>
                <c:pt idx="34">
                  <c:v>2018 Noviembre</c:v>
                </c:pt>
                <c:pt idx="35">
                  <c:v>2018 Diciembre</c:v>
                </c:pt>
                <c:pt idx="36">
                  <c:v>2019 Enero</c:v>
                </c:pt>
                <c:pt idx="37">
                  <c:v>2019 Febrero</c:v>
                </c:pt>
                <c:pt idx="38">
                  <c:v>2019 Marzo</c:v>
                </c:pt>
                <c:pt idx="39">
                  <c:v>2019 Abril</c:v>
                </c:pt>
                <c:pt idx="40">
                  <c:v>2019 Mayo</c:v>
                </c:pt>
                <c:pt idx="41">
                  <c:v>2019 Junio</c:v>
                </c:pt>
                <c:pt idx="42">
                  <c:v>2019 Julio</c:v>
                </c:pt>
                <c:pt idx="43">
                  <c:v>2019 Agosto</c:v>
                </c:pt>
                <c:pt idx="44">
                  <c:v>2019 Septiembre</c:v>
                </c:pt>
                <c:pt idx="45">
                  <c:v>2019 Octubre</c:v>
                </c:pt>
                <c:pt idx="46">
                  <c:v>2019 Noviembre</c:v>
                </c:pt>
                <c:pt idx="47">
                  <c:v>2019 Diciembre</c:v>
                </c:pt>
                <c:pt idx="48">
                  <c:v>2020 Enero</c:v>
                </c:pt>
                <c:pt idx="49">
                  <c:v>2020 Febrero</c:v>
                </c:pt>
                <c:pt idx="50">
                  <c:v>2020 Marzo</c:v>
                </c:pt>
                <c:pt idx="51">
                  <c:v>2020 Abril</c:v>
                </c:pt>
                <c:pt idx="52">
                  <c:v>2020 Mayo</c:v>
                </c:pt>
                <c:pt idx="53">
                  <c:v>2020 Junio</c:v>
                </c:pt>
                <c:pt idx="54">
                  <c:v>2020 Julio</c:v>
                </c:pt>
                <c:pt idx="55">
                  <c:v>2020 Agosto</c:v>
                </c:pt>
                <c:pt idx="56">
                  <c:v>2020 Septiembre</c:v>
                </c:pt>
                <c:pt idx="57">
                  <c:v>2020 Octubre</c:v>
                </c:pt>
                <c:pt idx="58">
                  <c:v>2020 Noviembre</c:v>
                </c:pt>
                <c:pt idx="59">
                  <c:v>2020 Diciembre</c:v>
                </c:pt>
              </c:strCache>
            </c:strRef>
          </c:cat>
          <c:val>
            <c:numRef>
              <c:f>'Data 4'!$G$379:$G$438</c:f>
              <c:numCache>
                <c:formatCode>#,##0\ _)</c:formatCode>
                <c:ptCount val="60"/>
                <c:pt idx="0">
                  <c:v>5366.0883737999993</c:v>
                </c:pt>
                <c:pt idx="1">
                  <c:v>5433.6103363999982</c:v>
                </c:pt>
                <c:pt idx="2">
                  <c:v>5567.7525970500001</c:v>
                </c:pt>
                <c:pt idx="3">
                  <c:v>6896.5553699999991</c:v>
                </c:pt>
                <c:pt idx="4">
                  <c:v>6811.580915999999</c:v>
                </c:pt>
                <c:pt idx="5">
                  <c:v>6354.8202665494709</c:v>
                </c:pt>
                <c:pt idx="6">
                  <c:v>5493.291874283691</c:v>
                </c:pt>
                <c:pt idx="7">
                  <c:v>4803.7868059580323</c:v>
                </c:pt>
                <c:pt idx="8">
                  <c:v>4577.5855157886908</c:v>
                </c:pt>
                <c:pt idx="9">
                  <c:v>4301.1970530812014</c:v>
                </c:pt>
                <c:pt idx="10">
                  <c:v>4697.7883147999992</c:v>
                </c:pt>
                <c:pt idx="11">
                  <c:v>5303.8663332499982</c:v>
                </c:pt>
                <c:pt idx="12">
                  <c:v>5403.4139422499993</c:v>
                </c:pt>
                <c:pt idx="13">
                  <c:v>5478.8528454999978</c:v>
                </c:pt>
                <c:pt idx="14">
                  <c:v>5631.5576993999994</c:v>
                </c:pt>
                <c:pt idx="15">
                  <c:v>6949.440314999998</c:v>
                </c:pt>
                <c:pt idx="16">
                  <c:v>6888.8467169999985</c:v>
                </c:pt>
                <c:pt idx="17">
                  <c:v>6417.2284330989414</c:v>
                </c:pt>
                <c:pt idx="18">
                  <c:v>5554.6724485673794</c:v>
                </c:pt>
                <c:pt idx="19">
                  <c:v>4856.8921119160632</c:v>
                </c:pt>
                <c:pt idx="20">
                  <c:v>4619.6147315773833</c:v>
                </c:pt>
                <c:pt idx="21">
                  <c:v>4371.5985061624033</c:v>
                </c:pt>
                <c:pt idx="22">
                  <c:v>4788.3119296000004</c:v>
                </c:pt>
                <c:pt idx="23">
                  <c:v>5336.3411438999974</c:v>
                </c:pt>
                <c:pt idx="24">
                  <c:v>5440.7395106999993</c:v>
                </c:pt>
                <c:pt idx="25">
                  <c:v>5524.0953545999973</c:v>
                </c:pt>
                <c:pt idx="26">
                  <c:v>5695.3628017499996</c:v>
                </c:pt>
                <c:pt idx="27">
                  <c:v>7002.3252599999996</c:v>
                </c:pt>
                <c:pt idx="28">
                  <c:v>6966.112517999999</c:v>
                </c:pt>
                <c:pt idx="29">
                  <c:v>6477.8415149489419</c:v>
                </c:pt>
                <c:pt idx="30">
                  <c:v>5616.0530228510679</c:v>
                </c:pt>
                <c:pt idx="31">
                  <c:v>4909.997417874094</c:v>
                </c:pt>
                <c:pt idx="32">
                  <c:v>4649.6124081773833</c:v>
                </c:pt>
                <c:pt idx="33">
                  <c:v>4395.4606318624037</c:v>
                </c:pt>
                <c:pt idx="34">
                  <c:v>4794.2765906499999</c:v>
                </c:pt>
                <c:pt idx="35">
                  <c:v>5331.3250531999984</c:v>
                </c:pt>
                <c:pt idx="36">
                  <c:v>5449.8113076999989</c:v>
                </c:pt>
                <c:pt idx="37">
                  <c:v>5542.2838559499978</c:v>
                </c:pt>
                <c:pt idx="38">
                  <c:v>5759.1679040999989</c:v>
                </c:pt>
                <c:pt idx="39">
                  <c:v>7055.2102049999985</c:v>
                </c:pt>
                <c:pt idx="40">
                  <c:v>7043.3783189999976</c:v>
                </c:pt>
                <c:pt idx="41">
                  <c:v>6538.4545967989416</c:v>
                </c:pt>
                <c:pt idx="42">
                  <c:v>5677.4335971347564</c:v>
                </c:pt>
                <c:pt idx="43">
                  <c:v>4963.102723832124</c:v>
                </c:pt>
                <c:pt idx="44">
                  <c:v>4679.6100847773832</c:v>
                </c:pt>
                <c:pt idx="45">
                  <c:v>4419.3227575624023</c:v>
                </c:pt>
                <c:pt idx="46">
                  <c:v>4800.2412517000002</c:v>
                </c:pt>
                <c:pt idx="47">
                  <c:v>5326.3089624999975</c:v>
                </c:pt>
                <c:pt idx="48">
                  <c:v>5458.8831046999985</c:v>
                </c:pt>
                <c:pt idx="49">
                  <c:v>5560.4723572999983</c:v>
                </c:pt>
                <c:pt idx="50">
                  <c:v>5822.9730064499981</c:v>
                </c:pt>
                <c:pt idx="51">
                  <c:v>7108.0951499999992</c:v>
                </c:pt>
                <c:pt idx="52">
                  <c:v>7120.6441199999972</c:v>
                </c:pt>
                <c:pt idx="53">
                  <c:v>6599.0676786489421</c:v>
                </c:pt>
                <c:pt idx="54">
                  <c:v>5738.8141714184449</c:v>
                </c:pt>
                <c:pt idx="55">
                  <c:v>5016.2080297901548</c:v>
                </c:pt>
                <c:pt idx="56">
                  <c:v>4709.6077613773832</c:v>
                </c:pt>
                <c:pt idx="57">
                  <c:v>4443.1848832624037</c:v>
                </c:pt>
                <c:pt idx="58">
                  <c:v>4806.2059127499997</c:v>
                </c:pt>
                <c:pt idx="59">
                  <c:v>5321.2928717999985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4-44BB-B491-3BE9432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298576"/>
        <c:axId val="338298968"/>
      </c:areaChart>
      <c:lineChart>
        <c:grouping val="standard"/>
        <c:varyColors val="0"/>
        <c:ser>
          <c:idx val="0"/>
          <c:order val="2"/>
          <c:tx>
            <c:v>Media estadística</c:v>
          </c:tx>
          <c:spPr>
            <a:ln w="25400">
              <a:solidFill>
                <a:srgbClr val="B38FEE"/>
              </a:solidFill>
              <a:prstDash val="solid"/>
            </a:ln>
          </c:spPr>
          <c:marker>
            <c:symbol val="none"/>
          </c:marker>
          <c:cat>
            <c:strRef>
              <c:f>'Data 4'!$C$379:$C$438</c:f>
              <c:strCache>
                <c:ptCount val="60"/>
                <c:pt idx="0">
                  <c:v>2016 Enero</c:v>
                </c:pt>
                <c:pt idx="1">
                  <c:v>2016 Febrero</c:v>
                </c:pt>
                <c:pt idx="2">
                  <c:v>2016 Marzo</c:v>
                </c:pt>
                <c:pt idx="3">
                  <c:v>2016 Abril</c:v>
                </c:pt>
                <c:pt idx="4">
                  <c:v>2016 Mayo</c:v>
                </c:pt>
                <c:pt idx="5">
                  <c:v>2016 Junio</c:v>
                </c:pt>
                <c:pt idx="6">
                  <c:v>2016 Julio</c:v>
                </c:pt>
                <c:pt idx="7">
                  <c:v>2016 Agosto</c:v>
                </c:pt>
                <c:pt idx="8">
                  <c:v>2016 Septiembre</c:v>
                </c:pt>
                <c:pt idx="9">
                  <c:v>2016 Octubre</c:v>
                </c:pt>
                <c:pt idx="10">
                  <c:v>2016 Noviembre</c:v>
                </c:pt>
                <c:pt idx="11">
                  <c:v>2016 Diciembre</c:v>
                </c:pt>
                <c:pt idx="12">
                  <c:v>2017 Enero</c:v>
                </c:pt>
                <c:pt idx="13">
                  <c:v>2017 Febrero</c:v>
                </c:pt>
                <c:pt idx="14">
                  <c:v>2017 Marzo</c:v>
                </c:pt>
                <c:pt idx="15">
                  <c:v>2017 Abril</c:v>
                </c:pt>
                <c:pt idx="16">
                  <c:v>2017 Mayo</c:v>
                </c:pt>
                <c:pt idx="17">
                  <c:v>2017 Junio</c:v>
                </c:pt>
                <c:pt idx="18">
                  <c:v>2017 Julio</c:v>
                </c:pt>
                <c:pt idx="19">
                  <c:v>2017 Agosto</c:v>
                </c:pt>
                <c:pt idx="20">
                  <c:v>2017 Septiembre</c:v>
                </c:pt>
                <c:pt idx="21">
                  <c:v>2017 Octubre</c:v>
                </c:pt>
                <c:pt idx="22">
                  <c:v>2017 Noviembre</c:v>
                </c:pt>
                <c:pt idx="23">
                  <c:v>2017 Diciembre</c:v>
                </c:pt>
                <c:pt idx="24">
                  <c:v>2018 Enero</c:v>
                </c:pt>
                <c:pt idx="25">
                  <c:v>2018 Febrero</c:v>
                </c:pt>
                <c:pt idx="26">
                  <c:v>2018 Marzo</c:v>
                </c:pt>
                <c:pt idx="27">
                  <c:v>2018 Abril</c:v>
                </c:pt>
                <c:pt idx="28">
                  <c:v>2018 Mayo</c:v>
                </c:pt>
                <c:pt idx="29">
                  <c:v>2018 Junio</c:v>
                </c:pt>
                <c:pt idx="30">
                  <c:v>2018 Julio</c:v>
                </c:pt>
                <c:pt idx="31">
                  <c:v>2018 Agosto</c:v>
                </c:pt>
                <c:pt idx="32">
                  <c:v>2018 Septiembre</c:v>
                </c:pt>
                <c:pt idx="33">
                  <c:v>2018 Octubre</c:v>
                </c:pt>
                <c:pt idx="34">
                  <c:v>2018 Noviembre</c:v>
                </c:pt>
                <c:pt idx="35">
                  <c:v>2018 Diciembre</c:v>
                </c:pt>
                <c:pt idx="36">
                  <c:v>2019 Enero</c:v>
                </c:pt>
                <c:pt idx="37">
                  <c:v>2019 Febrero</c:v>
                </c:pt>
                <c:pt idx="38">
                  <c:v>2019 Marzo</c:v>
                </c:pt>
                <c:pt idx="39">
                  <c:v>2019 Abril</c:v>
                </c:pt>
                <c:pt idx="40">
                  <c:v>2019 Mayo</c:v>
                </c:pt>
                <c:pt idx="41">
                  <c:v>2019 Junio</c:v>
                </c:pt>
                <c:pt idx="42">
                  <c:v>2019 Julio</c:v>
                </c:pt>
                <c:pt idx="43">
                  <c:v>2019 Agosto</c:v>
                </c:pt>
                <c:pt idx="44">
                  <c:v>2019 Septiembre</c:v>
                </c:pt>
                <c:pt idx="45">
                  <c:v>2019 Octubre</c:v>
                </c:pt>
                <c:pt idx="46">
                  <c:v>2019 Noviembre</c:v>
                </c:pt>
                <c:pt idx="47">
                  <c:v>2019 Diciembre</c:v>
                </c:pt>
                <c:pt idx="48">
                  <c:v>2020 Enero</c:v>
                </c:pt>
                <c:pt idx="49">
                  <c:v>2020 Febrero</c:v>
                </c:pt>
                <c:pt idx="50">
                  <c:v>2020 Marzo</c:v>
                </c:pt>
                <c:pt idx="51">
                  <c:v>2020 Abril</c:v>
                </c:pt>
                <c:pt idx="52">
                  <c:v>2020 Mayo</c:v>
                </c:pt>
                <c:pt idx="53">
                  <c:v>2020 Junio</c:v>
                </c:pt>
                <c:pt idx="54">
                  <c:v>2020 Julio</c:v>
                </c:pt>
                <c:pt idx="55">
                  <c:v>2020 Agosto</c:v>
                </c:pt>
                <c:pt idx="56">
                  <c:v>2020 Septiembre</c:v>
                </c:pt>
                <c:pt idx="57">
                  <c:v>2020 Octubre</c:v>
                </c:pt>
                <c:pt idx="58">
                  <c:v>2020 Noviembre</c:v>
                </c:pt>
                <c:pt idx="59">
                  <c:v>2020 Diciembre</c:v>
                </c:pt>
              </c:strCache>
            </c:strRef>
          </c:cat>
          <c:val>
            <c:numRef>
              <c:f>'Data 4'!$H$379:$H$438</c:f>
              <c:numCache>
                <c:formatCode>#,##0\ _)</c:formatCode>
                <c:ptCount val="60"/>
                <c:pt idx="0">
                  <c:v>10017.398068145898</c:v>
                </c:pt>
                <c:pt idx="1">
                  <c:v>10361.451485587933</c:v>
                </c:pt>
                <c:pt idx="2">
                  <c:v>10787.23844307053</c:v>
                </c:pt>
                <c:pt idx="3">
                  <c:v>11295.168263833441</c:v>
                </c:pt>
                <c:pt idx="4">
                  <c:v>11509.475757224862</c:v>
                </c:pt>
                <c:pt idx="5">
                  <c:v>10990.077492749471</c:v>
                </c:pt>
                <c:pt idx="6">
                  <c:v>9894.1857898336893</c:v>
                </c:pt>
                <c:pt idx="7">
                  <c:v>8861.6220681080304</c:v>
                </c:pt>
                <c:pt idx="8">
                  <c:v>8141.3619611886943</c:v>
                </c:pt>
                <c:pt idx="9">
                  <c:v>8029.890741831201</c:v>
                </c:pt>
                <c:pt idx="10">
                  <c:v>8512.8249399986198</c:v>
                </c:pt>
                <c:pt idx="11">
                  <c:v>9210.0257353681754</c:v>
                </c:pt>
                <c:pt idx="12">
                  <c:v>10035.589788045898</c:v>
                </c:pt>
                <c:pt idx="13">
                  <c:v>10426.681519987935</c:v>
                </c:pt>
                <c:pt idx="14">
                  <c:v>10863.831882220529</c:v>
                </c:pt>
                <c:pt idx="15">
                  <c:v>11392.93876443344</c:v>
                </c:pt>
                <c:pt idx="16">
                  <c:v>11608.769747974862</c:v>
                </c:pt>
                <c:pt idx="17">
                  <c:v>11080.852725649473</c:v>
                </c:pt>
                <c:pt idx="18">
                  <c:v>9976.6060623836893</c:v>
                </c:pt>
                <c:pt idx="19">
                  <c:v>8897.0981413080317</c:v>
                </c:pt>
                <c:pt idx="20">
                  <c:v>8164.2557859386925</c:v>
                </c:pt>
                <c:pt idx="21">
                  <c:v>8040.776914731201</c:v>
                </c:pt>
                <c:pt idx="22">
                  <c:v>8517.8723477986205</c:v>
                </c:pt>
                <c:pt idx="23">
                  <c:v>9077.0402756681742</c:v>
                </c:pt>
                <c:pt idx="24">
                  <c:v>9768.7862404958978</c:v>
                </c:pt>
                <c:pt idx="25">
                  <c:v>10246.239431537933</c:v>
                </c:pt>
                <c:pt idx="26">
                  <c:v>10704.10729132053</c:v>
                </c:pt>
                <c:pt idx="27">
                  <c:v>11260.627811983439</c:v>
                </c:pt>
                <c:pt idx="28">
                  <c:v>11479.752390524864</c:v>
                </c:pt>
                <c:pt idx="29">
                  <c:v>10910.385488499473</c:v>
                </c:pt>
                <c:pt idx="30">
                  <c:v>9805.5363168836884</c:v>
                </c:pt>
                <c:pt idx="31">
                  <c:v>8722.05248320803</c:v>
                </c:pt>
                <c:pt idx="32">
                  <c:v>7980.0246175386947</c:v>
                </c:pt>
                <c:pt idx="33">
                  <c:v>7851.3065504312008</c:v>
                </c:pt>
                <c:pt idx="34">
                  <c:v>8185.911173848619</c:v>
                </c:pt>
                <c:pt idx="35">
                  <c:v>8645.3592049681756</c:v>
                </c:pt>
                <c:pt idx="36">
                  <c:v>9388.9296029958969</c:v>
                </c:pt>
                <c:pt idx="37">
                  <c:v>9889.1240943879329</c:v>
                </c:pt>
                <c:pt idx="38">
                  <c:v>10570.14772097053</c:v>
                </c:pt>
                <c:pt idx="39">
                  <c:v>11183.148309133439</c:v>
                </c:pt>
                <c:pt idx="40">
                  <c:v>11397.034267874862</c:v>
                </c:pt>
                <c:pt idx="41">
                  <c:v>10842.690741399472</c:v>
                </c:pt>
                <c:pt idx="42">
                  <c:v>9738.8161322836859</c:v>
                </c:pt>
                <c:pt idx="43">
                  <c:v>8674.1946441437685</c:v>
                </c:pt>
                <c:pt idx="44">
                  <c:v>7914.693031672703</c:v>
                </c:pt>
                <c:pt idx="45">
                  <c:v>7790.0287429473083</c:v>
                </c:pt>
                <c:pt idx="46">
                  <c:v>8146.8772984649422</c:v>
                </c:pt>
                <c:pt idx="47">
                  <c:v>8613.6806204130498</c:v>
                </c:pt>
                <c:pt idx="48">
                  <c:v>9322.7080025003343</c:v>
                </c:pt>
                <c:pt idx="49">
                  <c:v>9851.4627672801198</c:v>
                </c:pt>
                <c:pt idx="50">
                  <c:v>10516.451776491249</c:v>
                </c:pt>
                <c:pt idx="51">
                  <c:v>11159.497806794267</c:v>
                </c:pt>
                <c:pt idx="52">
                  <c:v>11373.399940146151</c:v>
                </c:pt>
                <c:pt idx="53">
                  <c:v>10842.247789768779</c:v>
                </c:pt>
                <c:pt idx="54">
                  <c:v>9747.2628189624047</c:v>
                </c:pt>
                <c:pt idx="55">
                  <c:v>8682.152701913692</c:v>
                </c:pt>
                <c:pt idx="56">
                  <c:v>7899.635656205076</c:v>
                </c:pt>
                <c:pt idx="57">
                  <c:v>7706.6327509883004</c:v>
                </c:pt>
                <c:pt idx="58">
                  <c:v>8149.1649360341953</c:v>
                </c:pt>
                <c:pt idx="59">
                  <c:v>8688.9230952214075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24-44BB-B491-3BE94324A998}"/>
            </c:ext>
          </c:extLst>
        </c:ser>
        <c:ser>
          <c:idx val="1"/>
          <c:order val="3"/>
          <c:tx>
            <c:v>Máxima capacidad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Ref>
              <c:f>'Data 4'!$C$379:$C$438</c:f>
              <c:strCache>
                <c:ptCount val="60"/>
                <c:pt idx="0">
                  <c:v>2016 Enero</c:v>
                </c:pt>
                <c:pt idx="1">
                  <c:v>2016 Febrero</c:v>
                </c:pt>
                <c:pt idx="2">
                  <c:v>2016 Marzo</c:v>
                </c:pt>
                <c:pt idx="3">
                  <c:v>2016 Abril</c:v>
                </c:pt>
                <c:pt idx="4">
                  <c:v>2016 Mayo</c:v>
                </c:pt>
                <c:pt idx="5">
                  <c:v>2016 Junio</c:v>
                </c:pt>
                <c:pt idx="6">
                  <c:v>2016 Julio</c:v>
                </c:pt>
                <c:pt idx="7">
                  <c:v>2016 Agosto</c:v>
                </c:pt>
                <c:pt idx="8">
                  <c:v>2016 Septiembre</c:v>
                </c:pt>
                <c:pt idx="9">
                  <c:v>2016 Octubre</c:v>
                </c:pt>
                <c:pt idx="10">
                  <c:v>2016 Noviembre</c:v>
                </c:pt>
                <c:pt idx="11">
                  <c:v>2016 Diciembre</c:v>
                </c:pt>
                <c:pt idx="12">
                  <c:v>2017 Enero</c:v>
                </c:pt>
                <c:pt idx="13">
                  <c:v>2017 Febrero</c:v>
                </c:pt>
                <c:pt idx="14">
                  <c:v>2017 Marzo</c:v>
                </c:pt>
                <c:pt idx="15">
                  <c:v>2017 Abril</c:v>
                </c:pt>
                <c:pt idx="16">
                  <c:v>2017 Mayo</c:v>
                </c:pt>
                <c:pt idx="17">
                  <c:v>2017 Junio</c:v>
                </c:pt>
                <c:pt idx="18">
                  <c:v>2017 Julio</c:v>
                </c:pt>
                <c:pt idx="19">
                  <c:v>2017 Agosto</c:v>
                </c:pt>
                <c:pt idx="20">
                  <c:v>2017 Septiembre</c:v>
                </c:pt>
                <c:pt idx="21">
                  <c:v>2017 Octubre</c:v>
                </c:pt>
                <c:pt idx="22">
                  <c:v>2017 Noviembre</c:v>
                </c:pt>
                <c:pt idx="23">
                  <c:v>2017 Diciembre</c:v>
                </c:pt>
                <c:pt idx="24">
                  <c:v>2018 Enero</c:v>
                </c:pt>
                <c:pt idx="25">
                  <c:v>2018 Febrero</c:v>
                </c:pt>
                <c:pt idx="26">
                  <c:v>2018 Marzo</c:v>
                </c:pt>
                <c:pt idx="27">
                  <c:v>2018 Abril</c:v>
                </c:pt>
                <c:pt idx="28">
                  <c:v>2018 Mayo</c:v>
                </c:pt>
                <c:pt idx="29">
                  <c:v>2018 Junio</c:v>
                </c:pt>
                <c:pt idx="30">
                  <c:v>2018 Julio</c:v>
                </c:pt>
                <c:pt idx="31">
                  <c:v>2018 Agosto</c:v>
                </c:pt>
                <c:pt idx="32">
                  <c:v>2018 Septiembre</c:v>
                </c:pt>
                <c:pt idx="33">
                  <c:v>2018 Octubre</c:v>
                </c:pt>
                <c:pt idx="34">
                  <c:v>2018 Noviembre</c:v>
                </c:pt>
                <c:pt idx="35">
                  <c:v>2018 Diciembre</c:v>
                </c:pt>
                <c:pt idx="36">
                  <c:v>2019 Enero</c:v>
                </c:pt>
                <c:pt idx="37">
                  <c:v>2019 Febrero</c:v>
                </c:pt>
                <c:pt idx="38">
                  <c:v>2019 Marzo</c:v>
                </c:pt>
                <c:pt idx="39">
                  <c:v>2019 Abril</c:v>
                </c:pt>
                <c:pt idx="40">
                  <c:v>2019 Mayo</c:v>
                </c:pt>
                <c:pt idx="41">
                  <c:v>2019 Junio</c:v>
                </c:pt>
                <c:pt idx="42">
                  <c:v>2019 Julio</c:v>
                </c:pt>
                <c:pt idx="43">
                  <c:v>2019 Agosto</c:v>
                </c:pt>
                <c:pt idx="44">
                  <c:v>2019 Septiembre</c:v>
                </c:pt>
                <c:pt idx="45">
                  <c:v>2019 Octubre</c:v>
                </c:pt>
                <c:pt idx="46">
                  <c:v>2019 Noviembre</c:v>
                </c:pt>
                <c:pt idx="47">
                  <c:v>2019 Diciembre</c:v>
                </c:pt>
                <c:pt idx="48">
                  <c:v>2020 Enero</c:v>
                </c:pt>
                <c:pt idx="49">
                  <c:v>2020 Febrero</c:v>
                </c:pt>
                <c:pt idx="50">
                  <c:v>2020 Marzo</c:v>
                </c:pt>
                <c:pt idx="51">
                  <c:v>2020 Abril</c:v>
                </c:pt>
                <c:pt idx="52">
                  <c:v>2020 Mayo</c:v>
                </c:pt>
                <c:pt idx="53">
                  <c:v>2020 Junio</c:v>
                </c:pt>
                <c:pt idx="54">
                  <c:v>2020 Julio</c:v>
                </c:pt>
                <c:pt idx="55">
                  <c:v>2020 Agosto</c:v>
                </c:pt>
                <c:pt idx="56">
                  <c:v>2020 Septiembre</c:v>
                </c:pt>
                <c:pt idx="57">
                  <c:v>2020 Octubre</c:v>
                </c:pt>
                <c:pt idx="58">
                  <c:v>2020 Noviembre</c:v>
                </c:pt>
                <c:pt idx="59">
                  <c:v>2020 Diciembre</c:v>
                </c:pt>
              </c:strCache>
            </c:strRef>
          </c:cat>
          <c:val>
            <c:numRef>
              <c:f>'Data 4'!$E$379:$E$438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24-44BB-B491-3BE94324A998}"/>
            </c:ext>
          </c:extLst>
        </c:ser>
        <c:ser>
          <c:idx val="6"/>
          <c:order val="4"/>
          <c:tx>
            <c:v>Real</c:v>
          </c:tx>
          <c:spPr>
            <a:ln w="25400">
              <a:solidFill>
                <a:srgbClr val="004563"/>
              </a:solidFill>
              <a:prstDash val="solid"/>
            </a:ln>
          </c:spPr>
          <c:marker>
            <c:symbol val="none"/>
          </c:marker>
          <c:cat>
            <c:strRef>
              <c:f>'Data 4'!$C$379:$C$438</c:f>
              <c:strCache>
                <c:ptCount val="60"/>
                <c:pt idx="0">
                  <c:v>2016 Enero</c:v>
                </c:pt>
                <c:pt idx="1">
                  <c:v>2016 Febrero</c:v>
                </c:pt>
                <c:pt idx="2">
                  <c:v>2016 Marzo</c:v>
                </c:pt>
                <c:pt idx="3">
                  <c:v>2016 Abril</c:v>
                </c:pt>
                <c:pt idx="4">
                  <c:v>2016 Mayo</c:v>
                </c:pt>
                <c:pt idx="5">
                  <c:v>2016 Junio</c:v>
                </c:pt>
                <c:pt idx="6">
                  <c:v>2016 Julio</c:v>
                </c:pt>
                <c:pt idx="7">
                  <c:v>2016 Agosto</c:v>
                </c:pt>
                <c:pt idx="8">
                  <c:v>2016 Septiembre</c:v>
                </c:pt>
                <c:pt idx="9">
                  <c:v>2016 Octubre</c:v>
                </c:pt>
                <c:pt idx="10">
                  <c:v>2016 Noviembre</c:v>
                </c:pt>
                <c:pt idx="11">
                  <c:v>2016 Diciembre</c:v>
                </c:pt>
                <c:pt idx="12">
                  <c:v>2017 Enero</c:v>
                </c:pt>
                <c:pt idx="13">
                  <c:v>2017 Febrero</c:v>
                </c:pt>
                <c:pt idx="14">
                  <c:v>2017 Marzo</c:v>
                </c:pt>
                <c:pt idx="15">
                  <c:v>2017 Abril</c:v>
                </c:pt>
                <c:pt idx="16">
                  <c:v>2017 Mayo</c:v>
                </c:pt>
                <c:pt idx="17">
                  <c:v>2017 Junio</c:v>
                </c:pt>
                <c:pt idx="18">
                  <c:v>2017 Julio</c:v>
                </c:pt>
                <c:pt idx="19">
                  <c:v>2017 Agosto</c:v>
                </c:pt>
                <c:pt idx="20">
                  <c:v>2017 Septiembre</c:v>
                </c:pt>
                <c:pt idx="21">
                  <c:v>2017 Octubre</c:v>
                </c:pt>
                <c:pt idx="22">
                  <c:v>2017 Noviembre</c:v>
                </c:pt>
                <c:pt idx="23">
                  <c:v>2017 Diciembre</c:v>
                </c:pt>
                <c:pt idx="24">
                  <c:v>2018 Enero</c:v>
                </c:pt>
                <c:pt idx="25">
                  <c:v>2018 Febrero</c:v>
                </c:pt>
                <c:pt idx="26">
                  <c:v>2018 Marzo</c:v>
                </c:pt>
                <c:pt idx="27">
                  <c:v>2018 Abril</c:v>
                </c:pt>
                <c:pt idx="28">
                  <c:v>2018 Mayo</c:v>
                </c:pt>
                <c:pt idx="29">
                  <c:v>2018 Junio</c:v>
                </c:pt>
                <c:pt idx="30">
                  <c:v>2018 Julio</c:v>
                </c:pt>
                <c:pt idx="31">
                  <c:v>2018 Agosto</c:v>
                </c:pt>
                <c:pt idx="32">
                  <c:v>2018 Septiembre</c:v>
                </c:pt>
                <c:pt idx="33">
                  <c:v>2018 Octubre</c:v>
                </c:pt>
                <c:pt idx="34">
                  <c:v>2018 Noviembre</c:v>
                </c:pt>
                <c:pt idx="35">
                  <c:v>2018 Diciembre</c:v>
                </c:pt>
                <c:pt idx="36">
                  <c:v>2019 Enero</c:v>
                </c:pt>
                <c:pt idx="37">
                  <c:v>2019 Febrero</c:v>
                </c:pt>
                <c:pt idx="38">
                  <c:v>2019 Marzo</c:v>
                </c:pt>
                <c:pt idx="39">
                  <c:v>2019 Abril</c:v>
                </c:pt>
                <c:pt idx="40">
                  <c:v>2019 Mayo</c:v>
                </c:pt>
                <c:pt idx="41">
                  <c:v>2019 Junio</c:v>
                </c:pt>
                <c:pt idx="42">
                  <c:v>2019 Julio</c:v>
                </c:pt>
                <c:pt idx="43">
                  <c:v>2019 Agosto</c:v>
                </c:pt>
                <c:pt idx="44">
                  <c:v>2019 Septiembre</c:v>
                </c:pt>
                <c:pt idx="45">
                  <c:v>2019 Octubre</c:v>
                </c:pt>
                <c:pt idx="46">
                  <c:v>2019 Noviembre</c:v>
                </c:pt>
                <c:pt idx="47">
                  <c:v>2019 Diciembre</c:v>
                </c:pt>
                <c:pt idx="48">
                  <c:v>2020 Enero</c:v>
                </c:pt>
                <c:pt idx="49">
                  <c:v>2020 Febrero</c:v>
                </c:pt>
                <c:pt idx="50">
                  <c:v>2020 Marzo</c:v>
                </c:pt>
                <c:pt idx="51">
                  <c:v>2020 Abril</c:v>
                </c:pt>
                <c:pt idx="52">
                  <c:v>2020 Mayo</c:v>
                </c:pt>
                <c:pt idx="53">
                  <c:v>2020 Junio</c:v>
                </c:pt>
                <c:pt idx="54">
                  <c:v>2020 Julio</c:v>
                </c:pt>
                <c:pt idx="55">
                  <c:v>2020 Agosto</c:v>
                </c:pt>
                <c:pt idx="56">
                  <c:v>2020 Septiembre</c:v>
                </c:pt>
                <c:pt idx="57">
                  <c:v>2020 Octubre</c:v>
                </c:pt>
                <c:pt idx="58">
                  <c:v>2020 Noviembre</c:v>
                </c:pt>
                <c:pt idx="59">
                  <c:v>2020 Diciembre</c:v>
                </c:pt>
              </c:strCache>
            </c:strRef>
          </c:cat>
          <c:val>
            <c:numRef>
              <c:f>'Data 4'!$D$379:$D$438</c:f>
              <c:numCache>
                <c:formatCode>#,##0\ _)</c:formatCode>
                <c:ptCount val="60"/>
                <c:pt idx="0">
                  <c:v>11227.656998</c:v>
                </c:pt>
                <c:pt idx="1">
                  <c:v>12066.238818</c:v>
                </c:pt>
                <c:pt idx="2">
                  <c:v>12306.055883000001</c:v>
                </c:pt>
                <c:pt idx="3">
                  <c:v>13179.567322000001</c:v>
                </c:pt>
                <c:pt idx="4">
                  <c:v>13577.542675000001</c:v>
                </c:pt>
                <c:pt idx="5">
                  <c:v>12751.035658000001</c:v>
                </c:pt>
                <c:pt idx="6">
                  <c:v>11400.747851</c:v>
                </c:pt>
                <c:pt idx="7">
                  <c:v>9726.8527639999993</c:v>
                </c:pt>
                <c:pt idx="8">
                  <c:v>8542.9985949999991</c:v>
                </c:pt>
                <c:pt idx="9">
                  <c:v>7639.5428579999998</c:v>
                </c:pt>
                <c:pt idx="10">
                  <c:v>7737.8927560000002</c:v>
                </c:pt>
                <c:pt idx="11">
                  <c:v>7271.9042060000002</c:v>
                </c:pt>
                <c:pt idx="12">
                  <c:v>6352.3982489999999</c:v>
                </c:pt>
                <c:pt idx="13">
                  <c:v>8201.5317109999996</c:v>
                </c:pt>
                <c:pt idx="14">
                  <c:v>8171.2895820000003</c:v>
                </c:pt>
                <c:pt idx="15">
                  <c:v>8002.4783509999997</c:v>
                </c:pt>
                <c:pt idx="16">
                  <c:v>8068.3502509999998</c:v>
                </c:pt>
                <c:pt idx="17">
                  <c:v>7504.6737370000001</c:v>
                </c:pt>
                <c:pt idx="18">
                  <c:v>6868.7604899999997</c:v>
                </c:pt>
                <c:pt idx="19">
                  <c:v>6036.3040380000002</c:v>
                </c:pt>
                <c:pt idx="20">
                  <c:v>5135.5098319999997</c:v>
                </c:pt>
                <c:pt idx="21">
                  <c:v>4708.038114</c:v>
                </c:pt>
                <c:pt idx="22">
                  <c:v>4403.8701209999999</c:v>
                </c:pt>
                <c:pt idx="23">
                  <c:v>4883.4119860000001</c:v>
                </c:pt>
                <c:pt idx="24">
                  <c:v>5398.2220399999997</c:v>
                </c:pt>
                <c:pt idx="25">
                  <c:v>5616.4103269999996</c:v>
                </c:pt>
                <c:pt idx="26">
                  <c:v>9699.4711430000007</c:v>
                </c:pt>
                <c:pt idx="27">
                  <c:v>11897.527653000001</c:v>
                </c:pt>
                <c:pt idx="28">
                  <c:v>12095.723247</c:v>
                </c:pt>
                <c:pt idx="29">
                  <c:v>11876.304858</c:v>
                </c:pt>
                <c:pt idx="30">
                  <c:v>10246.502908</c:v>
                </c:pt>
                <c:pt idx="31">
                  <c:v>9315.071518714738</c:v>
                </c:pt>
                <c:pt idx="32">
                  <c:v>8192.9385726801847</c:v>
                </c:pt>
                <c:pt idx="33">
                  <c:v>7628.6385403221575</c:v>
                </c:pt>
                <c:pt idx="34">
                  <c:v>8008.9796223264248</c:v>
                </c:pt>
                <c:pt idx="35">
                  <c:v>8172.2198288975096</c:v>
                </c:pt>
                <c:pt idx="36">
                  <c:v>8071.161100088786</c:v>
                </c:pt>
                <c:pt idx="37">
                  <c:v>8866.4553178437</c:v>
                </c:pt>
                <c:pt idx="38">
                  <c:v>8992.1477604144093</c:v>
                </c:pt>
                <c:pt idx="39">
                  <c:v>9541.0680132165635</c:v>
                </c:pt>
                <c:pt idx="40">
                  <c:v>9882.00640542582</c:v>
                </c:pt>
                <c:pt idx="41">
                  <c:v>9327.57464738616</c:v>
                </c:pt>
                <c:pt idx="42">
                  <c:v>8160.8349135743301</c:v>
                </c:pt>
                <c:pt idx="43">
                  <c:v>7263.6708853984701</c:v>
                </c:pt>
                <c:pt idx="44">
                  <c:v>6466.33274064748</c:v>
                </c:pt>
                <c:pt idx="45">
                  <c:v>6358.0428308198098</c:v>
                </c:pt>
                <c:pt idx="46">
                  <c:v>7808.1870513850999</c:v>
                </c:pt>
                <c:pt idx="47">
                  <c:v>9451.9329261671392</c:v>
                </c:pt>
                <c:pt idx="48">
                  <c:v>10203.8438416341</c:v>
                </c:pt>
                <c:pt idx="49">
                  <c:v>10293.721620606701</c:v>
                </c:pt>
                <c:pt idx="50">
                  <c:v>10922.4629058602</c:v>
                </c:pt>
                <c:pt idx="51">
                  <c:v>12482.965359777099</c:v>
                </c:pt>
                <c:pt idx="52">
                  <c:v>12968.344471210001</c:v>
                </c:pt>
                <c:pt idx="53">
                  <c:v>12284.2351167291</c:v>
                </c:pt>
                <c:pt idx="54">
                  <c:v>11078.2673362971</c:v>
                </c:pt>
                <c:pt idx="55">
                  <c:v>9493.5710276489899</c:v>
                </c:pt>
                <c:pt idx="56">
                  <c:v>8414.2036093792703</c:v>
                </c:pt>
                <c:pt idx="57">
                  <c:v>8468.7189392685304</c:v>
                </c:pt>
                <c:pt idx="58">
                  <c:v>8407.9337983359892</c:v>
                </c:pt>
                <c:pt idx="59">
                  <c:v>9418.9304168690905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24-44BB-B491-3BE9432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99360"/>
        <c:axId val="338299752"/>
      </c:lineChart>
      <c:catAx>
        <c:axId val="33829857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9525">
            <a:noFill/>
          </a:ln>
        </c:spPr>
        <c:crossAx val="338298968"/>
        <c:crossesAt val="0"/>
        <c:auto val="0"/>
        <c:lblAlgn val="ctr"/>
        <c:lblOffset val="100"/>
        <c:tickLblSkip val="12"/>
        <c:tickMarkSkip val="12"/>
        <c:noMultiLvlLbl val="0"/>
      </c:catAx>
      <c:valAx>
        <c:axId val="338298968"/>
        <c:scaling>
          <c:orientation val="minMax"/>
          <c:max val="19000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298576"/>
        <c:crosses val="autoZero"/>
        <c:crossBetween val="midCat"/>
        <c:majorUnit val="2000"/>
        <c:minorUnit val="400"/>
      </c:valAx>
      <c:catAx>
        <c:axId val="33829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299752"/>
        <c:crosses val="autoZero"/>
        <c:auto val="0"/>
        <c:lblAlgn val="ctr"/>
        <c:lblOffset val="100"/>
        <c:noMultiLvlLbl val="0"/>
      </c:catAx>
      <c:valAx>
        <c:axId val="338299752"/>
        <c:scaling>
          <c:orientation val="minMax"/>
        </c:scaling>
        <c:delete val="1"/>
        <c:axPos val="l"/>
        <c:numFmt formatCode="#,##0\ _)" sourceLinked="1"/>
        <c:majorTickMark val="out"/>
        <c:minorTickMark val="none"/>
        <c:tickLblPos val="nextTo"/>
        <c:crossAx val="338299360"/>
        <c:crosses val="autoZero"/>
        <c:crossBetween val="midCat"/>
      </c:valAx>
      <c:spPr>
        <a:solidFill>
          <a:srgbClr val="F7D2C6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6136944984566415"/>
          <c:y val="4.3478260869565216E-2"/>
          <c:w val="0.77995212701101846"/>
          <c:h val="0.126482628406627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71821891681679E-2"/>
          <c:y val="0.16460232432790362"/>
          <c:w val="0.82537002901700884"/>
          <c:h val="0.71983615428253944"/>
        </c:manualLayout>
      </c:layout>
      <c:barChart>
        <c:barDir val="bar"/>
        <c:grouping val="clustered"/>
        <c:varyColors val="0"/>
        <c:ser>
          <c:idx val="1"/>
          <c:order val="0"/>
          <c:tx>
            <c:v> ≤ 220 kV</c:v>
          </c:tx>
          <c:spPr>
            <a:solidFill>
              <a:srgbClr val="92D050"/>
            </a:solidFill>
          </c:spPr>
          <c:invertIfNegative val="0"/>
          <c:cat>
            <c:strRef>
              <c:f>'Data 3'!$F$26:$J$26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 (1)</c:v>
                </c:pt>
              </c:strCache>
            </c:strRef>
          </c:cat>
          <c:val>
            <c:numRef>
              <c:f>'Data 3'!$F$32:$J$32</c:f>
              <c:numCache>
                <c:formatCode>#,##0</c:formatCode>
                <c:ptCount val="5"/>
                <c:pt idx="0">
                  <c:v>19091.544500000007</c:v>
                </c:pt>
                <c:pt idx="1">
                  <c:v>19116.907210000008</c:v>
                </c:pt>
                <c:pt idx="2">
                  <c:v>19192.410210000005</c:v>
                </c:pt>
                <c:pt idx="3">
                  <c:v>19276.545210000011</c:v>
                </c:pt>
                <c:pt idx="4">
                  <c:v>19310.05621000001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E-4C9D-81DC-B83F50CACE96}"/>
            </c:ext>
          </c:extLst>
        </c:ser>
        <c:ser>
          <c:idx val="0"/>
          <c:order val="1"/>
          <c:tx>
            <c:v>400 kV</c:v>
          </c:tx>
          <c:spPr>
            <a:solidFill>
              <a:srgbClr val="F79646"/>
            </a:solidFill>
            <a:ln w="12700"/>
          </c:spPr>
          <c:invertIfNegative val="0"/>
          <c:cat>
            <c:strRef>
              <c:f>'Data 3'!$F$26:$J$26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 (1)</c:v>
                </c:pt>
              </c:strCache>
            </c:strRef>
          </c:cat>
          <c:val>
            <c:numRef>
              <c:f>'Data 3'!$F$29:$J$29</c:f>
              <c:numCache>
                <c:formatCode>#,##0</c:formatCode>
                <c:ptCount val="5"/>
                <c:pt idx="0">
                  <c:v>21615.888999999999</c:v>
                </c:pt>
                <c:pt idx="1">
                  <c:v>21724.85</c:v>
                </c:pt>
                <c:pt idx="2">
                  <c:v>21726.609999999997</c:v>
                </c:pt>
                <c:pt idx="3">
                  <c:v>21738.015999999996</c:v>
                </c:pt>
                <c:pt idx="4">
                  <c:v>21753.143999999997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E-4C9D-81DC-B83F50CA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38300536"/>
        <c:axId val="338300928"/>
      </c:barChart>
      <c:catAx>
        <c:axId val="338300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300928"/>
        <c:crosses val="autoZero"/>
        <c:auto val="1"/>
        <c:lblAlgn val="ctr"/>
        <c:lblOffset val="100"/>
        <c:noMultiLvlLbl val="0"/>
      </c:catAx>
      <c:valAx>
        <c:axId val="338300928"/>
        <c:scaling>
          <c:orientation val="minMax"/>
          <c:max val="22000"/>
          <c:min val="160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300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6531313152838298"/>
          <c:y val="3.3682614956380683E-2"/>
          <c:w val="0.16182526575247105"/>
          <c:h val="6.468669126196670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464394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5'!$D$199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5'!$B$200:$C$259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5'!$D$200:$D$259</c:f>
              <c:numCache>
                <c:formatCode>0.0</c:formatCode>
                <c:ptCount val="60"/>
                <c:pt idx="0">
                  <c:v>2.5790000000000002</c:v>
                </c:pt>
                <c:pt idx="1">
                  <c:v>1.1910000000000001</c:v>
                </c:pt>
                <c:pt idx="2">
                  <c:v>0.95300000000000007</c:v>
                </c:pt>
                <c:pt idx="3">
                  <c:v>1.115</c:v>
                </c:pt>
                <c:pt idx="4">
                  <c:v>1.252</c:v>
                </c:pt>
                <c:pt idx="5">
                  <c:v>1.1659999999999999</c:v>
                </c:pt>
                <c:pt idx="6">
                  <c:v>-1.425</c:v>
                </c:pt>
                <c:pt idx="7">
                  <c:v>-2.0030000000000001</c:v>
                </c:pt>
                <c:pt idx="8">
                  <c:v>-0.437</c:v>
                </c:pt>
                <c:pt idx="9">
                  <c:v>0.22300000000000003</c:v>
                </c:pt>
                <c:pt idx="10">
                  <c:v>0.26</c:v>
                </c:pt>
                <c:pt idx="11">
                  <c:v>0.60899999999999999</c:v>
                </c:pt>
                <c:pt idx="12">
                  <c:v>2.4910000000000001</c:v>
                </c:pt>
                <c:pt idx="13">
                  <c:v>2.879</c:v>
                </c:pt>
                <c:pt idx="14">
                  <c:v>1.992</c:v>
                </c:pt>
                <c:pt idx="15">
                  <c:v>1.7290000000000001</c:v>
                </c:pt>
                <c:pt idx="16">
                  <c:v>1.5429999999999999</c:v>
                </c:pt>
                <c:pt idx="17">
                  <c:v>2.137</c:v>
                </c:pt>
                <c:pt idx="18">
                  <c:v>3.702</c:v>
                </c:pt>
                <c:pt idx="19">
                  <c:v>4.7839999999999998</c:v>
                </c:pt>
                <c:pt idx="20">
                  <c:v>3.3860000000000001</c:v>
                </c:pt>
                <c:pt idx="21">
                  <c:v>2.7909999999999999</c:v>
                </c:pt>
                <c:pt idx="22">
                  <c:v>2.8289999999999997</c:v>
                </c:pt>
                <c:pt idx="23">
                  <c:v>3.3180000000000001</c:v>
                </c:pt>
                <c:pt idx="24">
                  <c:v>1.4409999999999998</c:v>
                </c:pt>
                <c:pt idx="25">
                  <c:v>2.629</c:v>
                </c:pt>
                <c:pt idx="26">
                  <c:v>4.2329999999999997</c:v>
                </c:pt>
                <c:pt idx="27">
                  <c:v>4.3929999999999998</c:v>
                </c:pt>
                <c:pt idx="28">
                  <c:v>4.0890000000000004</c:v>
                </c:pt>
                <c:pt idx="29">
                  <c:v>2.585</c:v>
                </c:pt>
                <c:pt idx="30">
                  <c:v>2.1069999999999998</c:v>
                </c:pt>
                <c:pt idx="31">
                  <c:v>1.1079999999999999</c:v>
                </c:pt>
                <c:pt idx="32">
                  <c:v>2.3539999999999996</c:v>
                </c:pt>
                <c:pt idx="33">
                  <c:v>2.42</c:v>
                </c:pt>
                <c:pt idx="34">
                  <c:v>1.9789999999999999</c:v>
                </c:pt>
                <c:pt idx="35">
                  <c:v>0.68100000000000005</c:v>
                </c:pt>
                <c:pt idx="36">
                  <c:v>2.0590000000000002</c:v>
                </c:pt>
                <c:pt idx="37">
                  <c:v>0.312</c:v>
                </c:pt>
                <c:pt idx="38">
                  <c:v>-0.96799999999999997</c:v>
                </c:pt>
                <c:pt idx="39">
                  <c:v>-0.83499999999999996</c:v>
                </c:pt>
                <c:pt idx="40">
                  <c:v>-0.71299999999999997</c:v>
                </c:pt>
                <c:pt idx="41">
                  <c:v>3.1E-2</c:v>
                </c:pt>
                <c:pt idx="42">
                  <c:v>0.46200000000000002</c:v>
                </c:pt>
                <c:pt idx="43">
                  <c:v>0.51900000000000002</c:v>
                </c:pt>
                <c:pt idx="44">
                  <c:v>-0.248</c:v>
                </c:pt>
                <c:pt idx="45">
                  <c:v>-3.2000000000000001E-2</c:v>
                </c:pt>
                <c:pt idx="46">
                  <c:v>0.34499999999999997</c:v>
                </c:pt>
                <c:pt idx="47">
                  <c:v>0.95399999999999996</c:v>
                </c:pt>
                <c:pt idx="48">
                  <c:v>-7.8E-2</c:v>
                </c:pt>
                <c:pt idx="49">
                  <c:v>0.42300000000000004</c:v>
                </c:pt>
                <c:pt idx="50">
                  <c:v>0.28999999999999998</c:v>
                </c:pt>
                <c:pt idx="51">
                  <c:v>-2.0950000000000002</c:v>
                </c:pt>
                <c:pt idx="52">
                  <c:v>-4.5890000000000004</c:v>
                </c:pt>
                <c:pt idx="53">
                  <c:v>-7.5969999999999995</c:v>
                </c:pt>
                <c:pt idx="54">
                  <c:v>-11.241</c:v>
                </c:pt>
                <c:pt idx="55">
                  <c:v>-13.533999999999999</c:v>
                </c:pt>
                <c:pt idx="56">
                  <c:v>-16.238</c:v>
                </c:pt>
                <c:pt idx="57">
                  <c:v>-18.440999999999999</c:v>
                </c:pt>
                <c:pt idx="58">
                  <c:v>-19.443999999999999</c:v>
                </c:pt>
                <c:pt idx="59">
                  <c:v>-19.193999999999999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6-450D-BC2C-2C511E14F321}"/>
            </c:ext>
          </c:extLst>
        </c:ser>
        <c:ser>
          <c:idx val="1"/>
          <c:order val="1"/>
          <c:tx>
            <c:strRef>
              <c:f>'Data 5'!$E$199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5'!$B$200:$C$259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5'!$E$200:$E$259</c:f>
              <c:numCache>
                <c:formatCode>0.0</c:formatCode>
                <c:ptCount val="60"/>
                <c:pt idx="0">
                  <c:v>2.1698300000000001</c:v>
                </c:pt>
                <c:pt idx="1">
                  <c:v>2.0270699999999997</c:v>
                </c:pt>
                <c:pt idx="2">
                  <c:v>2.1329899999999999</c:v>
                </c:pt>
                <c:pt idx="3">
                  <c:v>2.2030500000000002</c:v>
                </c:pt>
                <c:pt idx="4">
                  <c:v>2.7943599999999997</c:v>
                </c:pt>
                <c:pt idx="5">
                  <c:v>3.0374600000000003</c:v>
                </c:pt>
                <c:pt idx="6">
                  <c:v>1.5188999999999999</c:v>
                </c:pt>
                <c:pt idx="7">
                  <c:v>1.2387900000000001</c:v>
                </c:pt>
                <c:pt idx="8">
                  <c:v>2.5015099999999997</c:v>
                </c:pt>
                <c:pt idx="9">
                  <c:v>2.7688299999999999</c:v>
                </c:pt>
                <c:pt idx="10">
                  <c:v>2.8652099999999998</c:v>
                </c:pt>
                <c:pt idx="11">
                  <c:v>2.30124</c:v>
                </c:pt>
                <c:pt idx="12">
                  <c:v>3.0247000000000002</c:v>
                </c:pt>
                <c:pt idx="13">
                  <c:v>2.7402299999999999</c:v>
                </c:pt>
                <c:pt idx="14">
                  <c:v>2.0333299999999999</c:v>
                </c:pt>
                <c:pt idx="15">
                  <c:v>2.0105599999999999</c:v>
                </c:pt>
                <c:pt idx="16">
                  <c:v>1.45166</c:v>
                </c:pt>
                <c:pt idx="17">
                  <c:v>1.6652199999999999</c:v>
                </c:pt>
                <c:pt idx="18">
                  <c:v>2.7310600000000003</c:v>
                </c:pt>
                <c:pt idx="19">
                  <c:v>3.2076699999999998</c:v>
                </c:pt>
                <c:pt idx="20">
                  <c:v>2.27399</c:v>
                </c:pt>
                <c:pt idx="21">
                  <c:v>1.8916499999999998</c:v>
                </c:pt>
                <c:pt idx="22">
                  <c:v>1.9488100000000002</c:v>
                </c:pt>
                <c:pt idx="23">
                  <c:v>2.6702300000000001</c:v>
                </c:pt>
                <c:pt idx="24">
                  <c:v>1.8800000000000001</c:v>
                </c:pt>
                <c:pt idx="25">
                  <c:v>2.234</c:v>
                </c:pt>
                <c:pt idx="26">
                  <c:v>3.1789999999999998</c:v>
                </c:pt>
                <c:pt idx="27">
                  <c:v>2.9610000000000003</c:v>
                </c:pt>
                <c:pt idx="28">
                  <c:v>2.9649999999999999</c:v>
                </c:pt>
                <c:pt idx="29">
                  <c:v>2.06</c:v>
                </c:pt>
                <c:pt idx="30">
                  <c:v>1.6400000000000001</c:v>
                </c:pt>
                <c:pt idx="31">
                  <c:v>1.2109999999999999</c:v>
                </c:pt>
                <c:pt idx="32">
                  <c:v>1.8919999999999999</c:v>
                </c:pt>
                <c:pt idx="33">
                  <c:v>1.7409999999999999</c:v>
                </c:pt>
                <c:pt idx="34">
                  <c:v>1.353</c:v>
                </c:pt>
                <c:pt idx="35">
                  <c:v>0.309</c:v>
                </c:pt>
                <c:pt idx="36">
                  <c:v>0.78499999999999992</c:v>
                </c:pt>
                <c:pt idx="37">
                  <c:v>0.42599999999999999</c:v>
                </c:pt>
                <c:pt idx="38">
                  <c:v>-0.27299999999999996</c:v>
                </c:pt>
                <c:pt idx="39">
                  <c:v>0.108</c:v>
                </c:pt>
                <c:pt idx="40">
                  <c:v>1.9E-2</c:v>
                </c:pt>
                <c:pt idx="41">
                  <c:v>0.434</c:v>
                </c:pt>
                <c:pt idx="42">
                  <c:v>0.38</c:v>
                </c:pt>
                <c:pt idx="43">
                  <c:v>0.54200000000000004</c:v>
                </c:pt>
                <c:pt idx="44">
                  <c:v>0.193</c:v>
                </c:pt>
                <c:pt idx="45">
                  <c:v>0.49699999999999994</c:v>
                </c:pt>
                <c:pt idx="46">
                  <c:v>0.59699999999999998</c:v>
                </c:pt>
                <c:pt idx="47">
                  <c:v>0.94400000000000006</c:v>
                </c:pt>
                <c:pt idx="48">
                  <c:v>0.60099999999999998</c:v>
                </c:pt>
                <c:pt idx="49">
                  <c:v>0.69599999999999995</c:v>
                </c:pt>
                <c:pt idx="50">
                  <c:v>0.28500000000000003</c:v>
                </c:pt>
                <c:pt idx="51">
                  <c:v>-2.218</c:v>
                </c:pt>
                <c:pt idx="52">
                  <c:v>-4.9009999999999998</c:v>
                </c:pt>
                <c:pt idx="53">
                  <c:v>-7.8630000000000004</c:v>
                </c:pt>
                <c:pt idx="54">
                  <c:v>-10.621</c:v>
                </c:pt>
                <c:pt idx="55">
                  <c:v>-13.008000000000001</c:v>
                </c:pt>
                <c:pt idx="56">
                  <c:v>-15.704000000000001</c:v>
                </c:pt>
                <c:pt idx="57">
                  <c:v>-17.788999999999998</c:v>
                </c:pt>
                <c:pt idx="58">
                  <c:v>-18.340999999999998</c:v>
                </c:pt>
                <c:pt idx="59">
                  <c:v>-17.991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6-450D-BC2C-2C511E14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01320"/>
        <c:axId val="338301712"/>
      </c:lineChart>
      <c:catAx>
        <c:axId val="338301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8301712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38301712"/>
        <c:scaling>
          <c:orientation val="minMax"/>
          <c:max val="10"/>
          <c:min val="-2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8301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5'!$D$262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5'!$A$263:$C$322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5'!$D$263:$D$322</c:f>
              <c:numCache>
                <c:formatCode>0.0</c:formatCode>
                <c:ptCount val="60"/>
                <c:pt idx="0">
                  <c:v>0.90100000000000002</c:v>
                </c:pt>
                <c:pt idx="1">
                  <c:v>1.105</c:v>
                </c:pt>
                <c:pt idx="2">
                  <c:v>1.097</c:v>
                </c:pt>
                <c:pt idx="3">
                  <c:v>1.32</c:v>
                </c:pt>
                <c:pt idx="4">
                  <c:v>1.2130000000000001</c:v>
                </c:pt>
                <c:pt idx="5">
                  <c:v>1.532</c:v>
                </c:pt>
                <c:pt idx="6">
                  <c:v>1.103</c:v>
                </c:pt>
                <c:pt idx="7">
                  <c:v>1.1990000000000001</c:v>
                </c:pt>
                <c:pt idx="8">
                  <c:v>1.2050000000000001</c:v>
                </c:pt>
                <c:pt idx="9">
                  <c:v>1.2919999999999998</c:v>
                </c:pt>
                <c:pt idx="10">
                  <c:v>1.3069999999999999</c:v>
                </c:pt>
                <c:pt idx="11">
                  <c:v>1.284</c:v>
                </c:pt>
                <c:pt idx="12">
                  <c:v>1.5620000000000001</c:v>
                </c:pt>
                <c:pt idx="13">
                  <c:v>1.1619999999999999</c:v>
                </c:pt>
                <c:pt idx="14">
                  <c:v>1.298</c:v>
                </c:pt>
                <c:pt idx="15">
                  <c:v>1.294</c:v>
                </c:pt>
                <c:pt idx="16">
                  <c:v>1.677</c:v>
                </c:pt>
                <c:pt idx="17">
                  <c:v>1.675</c:v>
                </c:pt>
                <c:pt idx="18">
                  <c:v>1.7919999999999998</c:v>
                </c:pt>
                <c:pt idx="19">
                  <c:v>1.659</c:v>
                </c:pt>
                <c:pt idx="20">
                  <c:v>1.764</c:v>
                </c:pt>
                <c:pt idx="21">
                  <c:v>2.0420000000000003</c:v>
                </c:pt>
                <c:pt idx="22">
                  <c:v>2.202</c:v>
                </c:pt>
                <c:pt idx="23">
                  <c:v>2.1379999999999999</c:v>
                </c:pt>
                <c:pt idx="24">
                  <c:v>2.012</c:v>
                </c:pt>
                <c:pt idx="25">
                  <c:v>2.3730000000000002</c:v>
                </c:pt>
                <c:pt idx="26">
                  <c:v>2.0830000000000002</c:v>
                </c:pt>
                <c:pt idx="27">
                  <c:v>1.8599999999999999</c:v>
                </c:pt>
                <c:pt idx="28">
                  <c:v>1.3599999999999999</c:v>
                </c:pt>
                <c:pt idx="29">
                  <c:v>0.82900000000000007</c:v>
                </c:pt>
                <c:pt idx="30">
                  <c:v>0.61799999999999999</c:v>
                </c:pt>
                <c:pt idx="31">
                  <c:v>0.157</c:v>
                </c:pt>
                <c:pt idx="32">
                  <c:v>9.9000000000000005E-2</c:v>
                </c:pt>
                <c:pt idx="33">
                  <c:v>-0.34799999999999998</c:v>
                </c:pt>
                <c:pt idx="34">
                  <c:v>-0.85400000000000009</c:v>
                </c:pt>
                <c:pt idx="35">
                  <c:v>-1.0009999999999999</c:v>
                </c:pt>
                <c:pt idx="36">
                  <c:v>-1.1100000000000001</c:v>
                </c:pt>
                <c:pt idx="37">
                  <c:v>-1.343</c:v>
                </c:pt>
                <c:pt idx="38">
                  <c:v>-1.17</c:v>
                </c:pt>
                <c:pt idx="39">
                  <c:v>-1.167</c:v>
                </c:pt>
                <c:pt idx="40">
                  <c:v>-0.92800000000000005</c:v>
                </c:pt>
                <c:pt idx="41">
                  <c:v>-0.59300000000000008</c:v>
                </c:pt>
                <c:pt idx="42">
                  <c:v>-0.40400000000000003</c:v>
                </c:pt>
                <c:pt idx="43">
                  <c:v>-5.5999999999999994E-2</c:v>
                </c:pt>
                <c:pt idx="44">
                  <c:v>-0.252</c:v>
                </c:pt>
                <c:pt idx="45">
                  <c:v>-0.183</c:v>
                </c:pt>
                <c:pt idx="46">
                  <c:v>0.22899999999999998</c:v>
                </c:pt>
                <c:pt idx="47">
                  <c:v>0.377</c:v>
                </c:pt>
                <c:pt idx="48">
                  <c:v>0.39400000000000002</c:v>
                </c:pt>
                <c:pt idx="49">
                  <c:v>0.747</c:v>
                </c:pt>
                <c:pt idx="50">
                  <c:v>0.01</c:v>
                </c:pt>
                <c:pt idx="51">
                  <c:v>-1.6930000000000001</c:v>
                </c:pt>
                <c:pt idx="52">
                  <c:v>-3.4060000000000001</c:v>
                </c:pt>
                <c:pt idx="53">
                  <c:v>-4.75</c:v>
                </c:pt>
                <c:pt idx="54">
                  <c:v>-5.7850000000000001</c:v>
                </c:pt>
                <c:pt idx="55">
                  <c:v>-6.7100000000000009</c:v>
                </c:pt>
                <c:pt idx="56">
                  <c:v>-7.3510000000000009</c:v>
                </c:pt>
                <c:pt idx="57">
                  <c:v>-8.42</c:v>
                </c:pt>
                <c:pt idx="58">
                  <c:v>-9.49</c:v>
                </c:pt>
                <c:pt idx="59">
                  <c:v>-10.474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6-4940-A9AB-668FF0D7299D}"/>
            </c:ext>
          </c:extLst>
        </c:ser>
        <c:ser>
          <c:idx val="1"/>
          <c:order val="1"/>
          <c:tx>
            <c:strRef>
              <c:f>'Data 5'!$E$262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5'!$A$263:$C$322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5'!$E$263:$E$322</c:f>
              <c:numCache>
                <c:formatCode>0.0</c:formatCode>
                <c:ptCount val="60"/>
                <c:pt idx="0">
                  <c:v>0.77482000000000006</c:v>
                </c:pt>
                <c:pt idx="1">
                  <c:v>0.98951999999999996</c:v>
                </c:pt>
                <c:pt idx="2">
                  <c:v>1.0038500000000001</c:v>
                </c:pt>
                <c:pt idx="3">
                  <c:v>1.25746</c:v>
                </c:pt>
                <c:pt idx="4">
                  <c:v>1.12019</c:v>
                </c:pt>
                <c:pt idx="5">
                  <c:v>1.4767300000000001</c:v>
                </c:pt>
                <c:pt idx="6">
                  <c:v>1.1836800000000001</c:v>
                </c:pt>
                <c:pt idx="7">
                  <c:v>1.2676700000000001</c:v>
                </c:pt>
                <c:pt idx="8">
                  <c:v>1.30139</c:v>
                </c:pt>
                <c:pt idx="9">
                  <c:v>1.37599</c:v>
                </c:pt>
                <c:pt idx="10">
                  <c:v>1.4064399999999999</c:v>
                </c:pt>
                <c:pt idx="11">
                  <c:v>1.35226</c:v>
                </c:pt>
                <c:pt idx="12">
                  <c:v>1.50997</c:v>
                </c:pt>
                <c:pt idx="13">
                  <c:v>1.1430400000000001</c:v>
                </c:pt>
                <c:pt idx="14">
                  <c:v>1.3009899999999999</c:v>
                </c:pt>
                <c:pt idx="15">
                  <c:v>1.42188</c:v>
                </c:pt>
                <c:pt idx="16">
                  <c:v>1.8173000000000001</c:v>
                </c:pt>
                <c:pt idx="17">
                  <c:v>1.8162799999999999</c:v>
                </c:pt>
                <c:pt idx="18">
                  <c:v>1.8806300000000002</c:v>
                </c:pt>
                <c:pt idx="19">
                  <c:v>1.78888</c:v>
                </c:pt>
                <c:pt idx="20">
                  <c:v>1.9259900000000001</c:v>
                </c:pt>
                <c:pt idx="21">
                  <c:v>2.1127600000000002</c:v>
                </c:pt>
                <c:pt idx="22">
                  <c:v>2.2874599999999998</c:v>
                </c:pt>
                <c:pt idx="23">
                  <c:v>2.31318</c:v>
                </c:pt>
                <c:pt idx="24">
                  <c:v>2.2319999999999998</c:v>
                </c:pt>
                <c:pt idx="25">
                  <c:v>2.5309999999999997</c:v>
                </c:pt>
                <c:pt idx="26">
                  <c:v>2.3640000000000003</c:v>
                </c:pt>
                <c:pt idx="27">
                  <c:v>1.9300000000000002</c:v>
                </c:pt>
                <c:pt idx="28">
                  <c:v>1.4379999999999999</c:v>
                </c:pt>
                <c:pt idx="29">
                  <c:v>0.94400000000000006</c:v>
                </c:pt>
                <c:pt idx="30">
                  <c:v>0.69399999999999995</c:v>
                </c:pt>
                <c:pt idx="31">
                  <c:v>0.23400000000000001</c:v>
                </c:pt>
                <c:pt idx="32">
                  <c:v>0.16600000000000001</c:v>
                </c:pt>
                <c:pt idx="33">
                  <c:v>-0.28800000000000003</c:v>
                </c:pt>
                <c:pt idx="34">
                  <c:v>-0.84899999999999998</c:v>
                </c:pt>
                <c:pt idx="35">
                  <c:v>-1.089</c:v>
                </c:pt>
                <c:pt idx="36">
                  <c:v>-1.244</c:v>
                </c:pt>
                <c:pt idx="37">
                  <c:v>-1.5230000000000001</c:v>
                </c:pt>
                <c:pt idx="38">
                  <c:v>-1.5209999999999999</c:v>
                </c:pt>
                <c:pt idx="39">
                  <c:v>-1.4500000000000002</c:v>
                </c:pt>
                <c:pt idx="40">
                  <c:v>-1.2409999999999999</c:v>
                </c:pt>
                <c:pt idx="41">
                  <c:v>-0.94500000000000006</c:v>
                </c:pt>
                <c:pt idx="42">
                  <c:v>-0.80700000000000005</c:v>
                </c:pt>
                <c:pt idx="43">
                  <c:v>-0.51400000000000001</c:v>
                </c:pt>
                <c:pt idx="44">
                  <c:v>-0.78800000000000003</c:v>
                </c:pt>
                <c:pt idx="45">
                  <c:v>-0.77200000000000002</c:v>
                </c:pt>
                <c:pt idx="46">
                  <c:v>-0.29599999999999999</c:v>
                </c:pt>
                <c:pt idx="47">
                  <c:v>-0.19900000000000001</c:v>
                </c:pt>
                <c:pt idx="48">
                  <c:v>-3.7999999999999999E-2</c:v>
                </c:pt>
                <c:pt idx="49">
                  <c:v>0.42799999999999999</c:v>
                </c:pt>
                <c:pt idx="50">
                  <c:v>-0.28300000000000003</c:v>
                </c:pt>
                <c:pt idx="51">
                  <c:v>-1.9550000000000001</c:v>
                </c:pt>
                <c:pt idx="52">
                  <c:v>-3.6150000000000002</c:v>
                </c:pt>
                <c:pt idx="53">
                  <c:v>-4.9910000000000005</c:v>
                </c:pt>
                <c:pt idx="54">
                  <c:v>-6.0249999999999995</c:v>
                </c:pt>
                <c:pt idx="55">
                  <c:v>-6.9349999999999996</c:v>
                </c:pt>
                <c:pt idx="56">
                  <c:v>-7.5990000000000002</c:v>
                </c:pt>
                <c:pt idx="57">
                  <c:v>-8.5269999999999992</c:v>
                </c:pt>
                <c:pt idx="58">
                  <c:v>-9.6280000000000001</c:v>
                </c:pt>
                <c:pt idx="59">
                  <c:v>-10.546999999999999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6-4940-A9AB-668FF0D72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037992"/>
        <c:axId val="340038384"/>
      </c:lineChart>
      <c:catAx>
        <c:axId val="34003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83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400383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7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5'!$E$325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5'!$E$326:$E$337</c:f>
              <c:numCache>
                <c:formatCode>0.0</c:formatCode>
                <c:ptCount val="12"/>
                <c:pt idx="0">
                  <c:v>-0.49300000000000005</c:v>
                </c:pt>
                <c:pt idx="1">
                  <c:v>-0.13</c:v>
                </c:pt>
                <c:pt idx="2">
                  <c:v>0.37</c:v>
                </c:pt>
                <c:pt idx="3">
                  <c:v>9.4E-2</c:v>
                </c:pt>
                <c:pt idx="4">
                  <c:v>-0.33700000000000002</c:v>
                </c:pt>
                <c:pt idx="5">
                  <c:v>0.436</c:v>
                </c:pt>
                <c:pt idx="6">
                  <c:v>0.156</c:v>
                </c:pt>
                <c:pt idx="7">
                  <c:v>-6.0999999999999999E-2</c:v>
                </c:pt>
                <c:pt idx="8">
                  <c:v>0.38600000000000001</c:v>
                </c:pt>
                <c:pt idx="9">
                  <c:v>-0.25600000000000001</c:v>
                </c:pt>
                <c:pt idx="10">
                  <c:v>0.193</c:v>
                </c:pt>
                <c:pt idx="11">
                  <c:v>-1.514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F-4E42-A256-7208AC702440}"/>
            </c:ext>
          </c:extLst>
        </c:ser>
        <c:ser>
          <c:idx val="2"/>
          <c:order val="2"/>
          <c:tx>
            <c:strRef>
              <c:f>'Data 5'!$F$325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5'!$F$326:$F$337</c:f>
              <c:numCache>
                <c:formatCode>0.0</c:formatCode>
                <c:ptCount val="12"/>
                <c:pt idx="0">
                  <c:v>-2.847</c:v>
                </c:pt>
                <c:pt idx="1">
                  <c:v>-2.903</c:v>
                </c:pt>
                <c:pt idx="2">
                  <c:v>-0.38800000000000001</c:v>
                </c:pt>
                <c:pt idx="3">
                  <c:v>-1.0009999999999999</c:v>
                </c:pt>
                <c:pt idx="4">
                  <c:v>1.35</c:v>
                </c:pt>
                <c:pt idx="5">
                  <c:v>-1.089</c:v>
                </c:pt>
                <c:pt idx="6">
                  <c:v>-2.0110000000000001</c:v>
                </c:pt>
                <c:pt idx="7">
                  <c:v>0.45900000000000002</c:v>
                </c:pt>
                <c:pt idx="8">
                  <c:v>-1.0980000000000001</c:v>
                </c:pt>
                <c:pt idx="9">
                  <c:v>-1.7690000000000001</c:v>
                </c:pt>
                <c:pt idx="10">
                  <c:v>-4.3419999999999996</c:v>
                </c:pt>
                <c:pt idx="11">
                  <c:v>0.99799999999999989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F-4E42-A256-7208AC702440}"/>
            </c:ext>
          </c:extLst>
        </c:ser>
        <c:ser>
          <c:idx val="3"/>
          <c:order val="3"/>
          <c:tx>
            <c:strRef>
              <c:f>'Data 5'!$G$325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5'!$G$326:$G$337</c:f>
              <c:numCache>
                <c:formatCode>0.0</c:formatCode>
                <c:ptCount val="12"/>
                <c:pt idx="0">
                  <c:v>-1.125</c:v>
                </c:pt>
                <c:pt idx="1">
                  <c:v>0.16600000000000001</c:v>
                </c:pt>
                <c:pt idx="2">
                  <c:v>-7.5370000000000008</c:v>
                </c:pt>
                <c:pt idx="3">
                  <c:v>-27.026</c:v>
                </c:pt>
                <c:pt idx="4">
                  <c:v>-32.426000000000002</c:v>
                </c:pt>
                <c:pt idx="5">
                  <c:v>-32.489000000000004</c:v>
                </c:pt>
                <c:pt idx="6">
                  <c:v>-24.631</c:v>
                </c:pt>
                <c:pt idx="7">
                  <c:v>-20.082000000000001</c:v>
                </c:pt>
                <c:pt idx="8">
                  <c:v>-28.83</c:v>
                </c:pt>
                <c:pt idx="9">
                  <c:v>-22.945</c:v>
                </c:pt>
                <c:pt idx="10">
                  <c:v>-7.5490000000000004</c:v>
                </c:pt>
                <c:pt idx="11">
                  <c:v>4.1020000000000003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F-4E42-A256-7208AC702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039168"/>
        <c:axId val="340039560"/>
      </c:barChart>
      <c:lineChart>
        <c:grouping val="standard"/>
        <c:varyColors val="0"/>
        <c:ser>
          <c:idx val="0"/>
          <c:order val="0"/>
          <c:tx>
            <c:strRef>
              <c:f>'Data 5'!$D$325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5'!$D$326:$D$337</c:f>
              <c:numCache>
                <c:formatCode>0.0</c:formatCode>
                <c:ptCount val="12"/>
                <c:pt idx="0">
                  <c:v>-4.4649999999999999</c:v>
                </c:pt>
                <c:pt idx="1">
                  <c:v>-2.867</c:v>
                </c:pt>
                <c:pt idx="2">
                  <c:v>-7.5550000000000006</c:v>
                </c:pt>
                <c:pt idx="3">
                  <c:v>-27.933000000000003</c:v>
                </c:pt>
                <c:pt idx="4">
                  <c:v>-31.413000000000004</c:v>
                </c:pt>
                <c:pt idx="5">
                  <c:v>-33.141999999999996</c:v>
                </c:pt>
                <c:pt idx="6">
                  <c:v>-26.485999999999997</c:v>
                </c:pt>
                <c:pt idx="7">
                  <c:v>-19.683999999999997</c:v>
                </c:pt>
                <c:pt idx="8">
                  <c:v>-29.542000000000002</c:v>
                </c:pt>
                <c:pt idx="9">
                  <c:v>-24.97</c:v>
                </c:pt>
                <c:pt idx="10">
                  <c:v>-11.698</c:v>
                </c:pt>
                <c:pt idx="11">
                  <c:v>3.5860000000000003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AF-4E42-A256-7208AC702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39168"/>
        <c:axId val="340039560"/>
      </c:lineChart>
      <c:catAx>
        <c:axId val="340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9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0395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5'!$E$340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5'!$E$341:$E$352</c:f>
              <c:numCache>
                <c:formatCode>0.0</c:formatCode>
                <c:ptCount val="12"/>
                <c:pt idx="0">
                  <c:v>-0.91699999999999993</c:v>
                </c:pt>
                <c:pt idx="1">
                  <c:v>-0.45599999999999996</c:v>
                </c:pt>
                <c:pt idx="2">
                  <c:v>0.47499999999999998</c:v>
                </c:pt>
                <c:pt idx="3">
                  <c:v>-5.3999999999999999E-2</c:v>
                </c:pt>
                <c:pt idx="4">
                  <c:v>-0.32200000000000001</c:v>
                </c:pt>
                <c:pt idx="5">
                  <c:v>0.56200000000000006</c:v>
                </c:pt>
                <c:pt idx="6">
                  <c:v>6.9999999999999993E-2</c:v>
                </c:pt>
                <c:pt idx="7">
                  <c:v>-0.122</c:v>
                </c:pt>
                <c:pt idx="8">
                  <c:v>0.439</c:v>
                </c:pt>
                <c:pt idx="9">
                  <c:v>-0.48299999999999998</c:v>
                </c:pt>
                <c:pt idx="10">
                  <c:v>0.10200000000000001</c:v>
                </c:pt>
                <c:pt idx="11">
                  <c:v>-2.3E-2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1-4193-8C32-02C74E9A5902}"/>
            </c:ext>
          </c:extLst>
        </c:ser>
        <c:ser>
          <c:idx val="2"/>
          <c:order val="2"/>
          <c:tx>
            <c:strRef>
              <c:f>'Data 5'!$F$340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5'!$F$341:$F$352</c:f>
              <c:numCache>
                <c:formatCode>0.0</c:formatCode>
                <c:ptCount val="12"/>
                <c:pt idx="0">
                  <c:v>-5.2999999999999999E-2</c:v>
                </c:pt>
                <c:pt idx="1">
                  <c:v>-0.20500000000000002</c:v>
                </c:pt>
                <c:pt idx="2">
                  <c:v>-1.8000000000000002E-2</c:v>
                </c:pt>
                <c:pt idx="3">
                  <c:v>-5.6999999999999995E-2</c:v>
                </c:pt>
                <c:pt idx="4">
                  <c:v>-7.4E-37</c:v>
                </c:pt>
                <c:pt idx="5">
                  <c:v>-0.10100000000000001</c:v>
                </c:pt>
                <c:pt idx="6">
                  <c:v>0.69899999999999995</c:v>
                </c:pt>
                <c:pt idx="7">
                  <c:v>0.54799999999999993</c:v>
                </c:pt>
                <c:pt idx="8">
                  <c:v>0.38700000000000001</c:v>
                </c:pt>
                <c:pt idx="9">
                  <c:v>-6.0999999999999999E-2</c:v>
                </c:pt>
                <c:pt idx="10">
                  <c:v>9.5000000000000001E-2</c:v>
                </c:pt>
                <c:pt idx="11">
                  <c:v>5.5999999999999994E-2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1-4193-8C32-02C74E9A5902}"/>
            </c:ext>
          </c:extLst>
        </c:ser>
        <c:ser>
          <c:idx val="3"/>
          <c:order val="3"/>
          <c:tx>
            <c:strRef>
              <c:f>'Data 5'!$G$340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5'!$G$341:$G$352</c:f>
              <c:numCache>
                <c:formatCode>0.0</c:formatCode>
                <c:ptCount val="12"/>
                <c:pt idx="0">
                  <c:v>1.1820000000000002</c:v>
                </c:pt>
                <c:pt idx="1">
                  <c:v>4.6820000000000004</c:v>
                </c:pt>
                <c:pt idx="2">
                  <c:v>-8.0960000000000001</c:v>
                </c:pt>
                <c:pt idx="3">
                  <c:v>-21.663</c:v>
                </c:pt>
                <c:pt idx="4">
                  <c:v>-19.462</c:v>
                </c:pt>
                <c:pt idx="5">
                  <c:v>-16.134999999999998</c:v>
                </c:pt>
                <c:pt idx="6">
                  <c:v>-12.008000000000001</c:v>
                </c:pt>
                <c:pt idx="7">
                  <c:v>-10.084</c:v>
                </c:pt>
                <c:pt idx="8">
                  <c:v>-9.84</c:v>
                </c:pt>
                <c:pt idx="9">
                  <c:v>-12.282</c:v>
                </c:pt>
                <c:pt idx="10">
                  <c:v>-11.434999999999999</c:v>
                </c:pt>
                <c:pt idx="11">
                  <c:v>-11.036999999999999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1-4193-8C32-02C74E9A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040344"/>
        <c:axId val="340040736"/>
      </c:barChart>
      <c:lineChart>
        <c:grouping val="standard"/>
        <c:varyColors val="0"/>
        <c:ser>
          <c:idx val="0"/>
          <c:order val="0"/>
          <c:tx>
            <c:strRef>
              <c:f>'Data 5'!$D$340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5'!$D$341:$D$352</c:f>
              <c:numCache>
                <c:formatCode>0.0</c:formatCode>
                <c:ptCount val="12"/>
                <c:pt idx="0">
                  <c:v>0.21199999999999999</c:v>
                </c:pt>
                <c:pt idx="1">
                  <c:v>4.0209999999999999</c:v>
                </c:pt>
                <c:pt idx="2">
                  <c:v>-7.6390000000000002</c:v>
                </c:pt>
                <c:pt idx="3">
                  <c:v>-21.773999999999997</c:v>
                </c:pt>
                <c:pt idx="4">
                  <c:v>-19.783999999999999</c:v>
                </c:pt>
                <c:pt idx="5">
                  <c:v>-15.673999999999999</c:v>
                </c:pt>
                <c:pt idx="6">
                  <c:v>-11.239000000000001</c:v>
                </c:pt>
                <c:pt idx="7">
                  <c:v>-9.6579999999999995</c:v>
                </c:pt>
                <c:pt idx="8">
                  <c:v>-9.0139999999999993</c:v>
                </c:pt>
                <c:pt idx="9">
                  <c:v>-12.826000000000001</c:v>
                </c:pt>
                <c:pt idx="10">
                  <c:v>-11.238</c:v>
                </c:pt>
                <c:pt idx="11">
                  <c:v>-11.004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1-4193-8C32-02C74E9A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40344"/>
        <c:axId val="340040736"/>
      </c:lineChart>
      <c:catAx>
        <c:axId val="34004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4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0407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40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C4E9-4C80-AD8F-DCA2DC8CF9E7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C4E9-4C80-AD8F-DCA2DC8CF9E7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C4E9-4C80-AD8F-DCA2DC8CF9E7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C4E9-4C80-AD8F-DCA2DC8CF9E7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C4E9-4C80-AD8F-DCA2DC8CF9E7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C4E9-4C80-AD8F-DCA2DC8CF9E7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C4E9-4C80-AD8F-DCA2DC8CF9E7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C4E9-4C80-AD8F-DCA2DC8CF9E7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C4E9-4C80-AD8F-DCA2DC8CF9E7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C4E9-4C80-AD8F-DCA2DC8CF9E7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C4E9-4C80-AD8F-DCA2DC8CF9E7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C4E9-4C80-AD8F-DCA2DC8CF9E7}"/>
              </c:ext>
            </c:extLst>
          </c:dPt>
          <c:dLbls>
            <c:dLbl>
              <c:idx val="0"/>
              <c:layout>
                <c:manualLayout>
                  <c:x val="0.25519697842647721"/>
                  <c:y val="6.0054552004528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4E9-4C80-AD8F-DCA2DC8CF9E7}"/>
                </c:ext>
              </c:extLst>
            </c:dLbl>
            <c:dLbl>
              <c:idx val="1"/>
              <c:layout>
                <c:manualLayout>
                  <c:x val="0.1808990461558159"/>
                  <c:y val="5.71120374659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9-4C80-AD8F-DCA2DC8CF9E7}"/>
                </c:ext>
              </c:extLst>
            </c:dLbl>
            <c:dLbl>
              <c:idx val="2"/>
              <c:layout>
                <c:manualLayout>
                  <c:x val="0.19074092567697332"/>
                  <c:y val="5.8866759302146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4E9-4C80-AD8F-DCA2DC8CF9E7}"/>
                </c:ext>
              </c:extLst>
            </c:dLbl>
            <c:dLbl>
              <c:idx val="3"/>
              <c:layout>
                <c:manualLayout>
                  <c:x val="-0.12085525894629025"/>
                  <c:y val="0.126442900519787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9-4C80-AD8F-DCA2DC8CF9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E9-4C80-AD8F-DCA2DC8CF9E7}"/>
                </c:ext>
              </c:extLst>
            </c:dLbl>
            <c:dLbl>
              <c:idx val="5"/>
              <c:layout>
                <c:manualLayout>
                  <c:x val="-0.2891827667882978"/>
                  <c:y val="0.272694560238793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4E9-4C80-AD8F-DCA2DC8CF9E7}"/>
                </c:ext>
              </c:extLst>
            </c:dLbl>
            <c:dLbl>
              <c:idx val="6"/>
              <c:layout>
                <c:manualLayout>
                  <c:x val="-0.25930324563088153"/>
                  <c:y val="6.5359477124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65853658536587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4E9-4C80-AD8F-DCA2DC8CF9E7}"/>
                </c:ext>
              </c:extLst>
            </c:dLbl>
            <c:dLbl>
              <c:idx val="7"/>
              <c:layout>
                <c:manualLayout>
                  <c:x val="-0.2786249279815633"/>
                  <c:y val="-4.24538109206937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9044235324243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4E9-4C80-AD8F-DCA2DC8CF9E7}"/>
                </c:ext>
              </c:extLst>
            </c:dLbl>
            <c:dLbl>
              <c:idx val="8"/>
              <c:layout>
                <c:manualLayout>
                  <c:x val="-9.3665450355290961E-2"/>
                  <c:y val="-0.112873655498944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E9-4C80-AD8F-DCA2DC8CF9E7}"/>
                </c:ext>
              </c:extLst>
            </c:dLbl>
            <c:dLbl>
              <c:idx val="9"/>
              <c:layout>
                <c:manualLayout>
                  <c:x val="0.11769899494270533"/>
                  <c:y val="-9.70095208687149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4E9-4C80-AD8F-DCA2DC8CF9E7}"/>
                </c:ext>
              </c:extLst>
            </c:dLbl>
            <c:dLbl>
              <c:idx val="10"/>
              <c:layout>
                <c:manualLayout>
                  <c:x val="0.27594801869278535"/>
                  <c:y val="-1.66122175904482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4E9-4C80-AD8F-DCA2DC8CF9E7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4E9-4C80-AD8F-DCA2DC8CF9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5'!$C$373:$C$383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'Data 5'!$F$373:$F$383</c:f>
              <c:numCache>
                <c:formatCode>#,##0.0\ \ \ _)</c:formatCode>
                <c:ptCount val="11"/>
                <c:pt idx="0">
                  <c:v>11.827195697489802</c:v>
                </c:pt>
                <c:pt idx="1">
                  <c:v>6.8354522397598618</c:v>
                </c:pt>
                <c:pt idx="2">
                  <c:v>29.685672783003014</c:v>
                </c:pt>
                <c:pt idx="3">
                  <c:v>42.069413551664084</c:v>
                </c:pt>
                <c:pt idx="5">
                  <c:v>0.56502809296092449</c:v>
                </c:pt>
                <c:pt idx="6">
                  <c:v>1.8339018204233777</c:v>
                </c:pt>
                <c:pt idx="7">
                  <c:v>1.8339018204233777</c:v>
                </c:pt>
                <c:pt idx="8">
                  <c:v>0.17836411421898446</c:v>
                </c:pt>
                <c:pt idx="9">
                  <c:v>5.0666257389468869</c:v>
                </c:pt>
                <c:pt idx="10">
                  <c:v>0.10444414110967364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4E9-4C80-AD8F-DCA2DC8CF9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14DE-47D5-BFE9-8E1E500364AC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14DE-47D5-BFE9-8E1E500364AC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14DE-47D5-BFE9-8E1E500364AC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14DE-47D5-BFE9-8E1E500364AC}"/>
              </c:ext>
            </c:extLst>
          </c:dPt>
          <c:dPt>
            <c:idx val="4"/>
            <c:bubble3D val="0"/>
            <c:spPr>
              <a:solidFill>
                <a:srgbClr val="C91C17"/>
              </a:solidFill>
            </c:spPr>
            <c:extLst>
              <c:ext xmlns:c16="http://schemas.microsoft.com/office/drawing/2014/chart" uri="{C3380CC4-5D6E-409C-BE32-E72D297353CC}">
                <c16:uniqueId val="{00000009-14DE-47D5-BFE9-8E1E500364AC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14DE-47D5-BFE9-8E1E500364AC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14DE-47D5-BFE9-8E1E500364AC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14DE-47D5-BFE9-8E1E500364AC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14DE-47D5-BFE9-8E1E500364AC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14DE-47D5-BFE9-8E1E500364AC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14DE-47D5-BFE9-8E1E500364AC}"/>
              </c:ext>
            </c:extLst>
          </c:dPt>
          <c:dPt>
            <c:idx val="1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7-14DE-47D5-BFE9-8E1E500364AC}"/>
              </c:ext>
            </c:extLst>
          </c:dPt>
          <c:dLbls>
            <c:dLbl>
              <c:idx val="0"/>
              <c:layout>
                <c:manualLayout>
                  <c:x val="6.0075027206964865E-2"/>
                  <c:y val="-9.3957490607791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4DE-47D5-BFE9-8E1E500364AC}"/>
                </c:ext>
              </c:extLst>
            </c:dLbl>
            <c:dLbl>
              <c:idx val="1"/>
              <c:layout>
                <c:manualLayout>
                  <c:x val="0.16463888355418976"/>
                  <c:y val="-8.4064433122330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E-47D5-BFE9-8E1E500364AC}"/>
                </c:ext>
              </c:extLst>
            </c:dLbl>
            <c:dLbl>
              <c:idx val="2"/>
              <c:layout>
                <c:manualLayout>
                  <c:x val="0.16472466551437157"/>
                  <c:y val="-2.1432144511347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4DE-47D5-BFE9-8E1E500364AC}"/>
                </c:ext>
              </c:extLst>
            </c:dLbl>
            <c:dLbl>
              <c:idx val="3"/>
              <c:layout>
                <c:manualLayout>
                  <c:x val="0.23361628576915691"/>
                  <c:y val="-5.8527095877721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4DE-47D5-BFE9-8E1E500364AC}"/>
                </c:ext>
              </c:extLst>
            </c:dLbl>
            <c:dLbl>
              <c:idx val="4"/>
              <c:layout>
                <c:manualLayout>
                  <c:x val="-0.15284540042250816"/>
                  <c:y val="0.226767124697648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0893028615325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4DE-47D5-BFE9-8E1E500364AC}"/>
                </c:ext>
              </c:extLst>
            </c:dLbl>
            <c:dLbl>
              <c:idx val="5"/>
              <c:layout>
                <c:manualLayout>
                  <c:x val="-0.18519992318033415"/>
                  <c:y val="0.136746847820493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4DE-47D5-BFE9-8E1E500364AC}"/>
                </c:ext>
              </c:extLst>
            </c:dLbl>
            <c:dLbl>
              <c:idx val="6"/>
              <c:layout>
                <c:manualLayout>
                  <c:x val="-0.19254772421739966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609756097561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4DE-47D5-BFE9-8E1E500364AC}"/>
                </c:ext>
              </c:extLst>
            </c:dLbl>
            <c:dLbl>
              <c:idx val="7"/>
              <c:layout>
                <c:manualLayout>
                  <c:x val="-0.18149644709045515"/>
                  <c:y val="-0.105198908959909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0767556494462"/>
                      <c:h val="0.16515053265400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4DE-47D5-BFE9-8E1E500364AC}"/>
                </c:ext>
              </c:extLst>
            </c:dLbl>
            <c:dLbl>
              <c:idx val="8"/>
              <c:layout>
                <c:manualLayout>
                  <c:x val="-0.18147032840407143"/>
                  <c:y val="-0.212220060727703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DE-47D5-BFE9-8E1E500364AC}"/>
                </c:ext>
              </c:extLst>
            </c:dLbl>
            <c:dLbl>
              <c:idx val="9"/>
              <c:layout>
                <c:manualLayout>
                  <c:x val="-0.14896767172396133"/>
                  <c:y val="-0.300931089496165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4DE-47D5-BFE9-8E1E500364A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DE-47D5-BFE9-8E1E500364AC}"/>
                </c:ext>
              </c:extLst>
            </c:dLbl>
            <c:dLbl>
              <c:idx val="11"/>
              <c:layout>
                <c:manualLayout>
                  <c:x val="-0.10710709941745086"/>
                  <c:y val="-0.15265133034841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9186991869918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4DE-47D5-BFE9-8E1E500364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5'!$C$404:$C$415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5'!$F$404:$F$415</c:f>
              <c:numCache>
                <c:formatCode>#,##0.0\ \ \ _)</c:formatCode>
                <c:ptCount val="12"/>
                <c:pt idx="0">
                  <c:v>4.4857621751412458</c:v>
                </c:pt>
                <c:pt idx="1">
                  <c:v>5.7130916897849495</c:v>
                </c:pt>
                <c:pt idx="2">
                  <c:v>4.2608438133231497</c:v>
                </c:pt>
                <c:pt idx="3">
                  <c:v>48.814333091095811</c:v>
                </c:pt>
                <c:pt idx="4">
                  <c:v>7.900129986196637E-2</c:v>
                </c:pt>
                <c:pt idx="5">
                  <c:v>0.68447868569179271</c:v>
                </c:pt>
                <c:pt idx="6">
                  <c:v>2.3070416066535571</c:v>
                </c:pt>
                <c:pt idx="7">
                  <c:v>2.3070416066535571</c:v>
                </c:pt>
                <c:pt idx="8">
                  <c:v>7.367165138916705E-2</c:v>
                </c:pt>
                <c:pt idx="9">
                  <c:v>2.3932024120268602</c:v>
                </c:pt>
                <c:pt idx="10">
                  <c:v>1.2737147913441924E-2</c:v>
                </c:pt>
                <c:pt idx="11">
                  <c:v>28.868794820464501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4DE-47D5-BFE9-8E1E500364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3986-4BE9-89C2-6E82BB41FC76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3986-4BE9-89C2-6E82BB41FC76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3986-4BE9-89C2-6E82BB41FC7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986-4BE9-89C2-6E82BB41FC76}"/>
              </c:ext>
            </c:extLst>
          </c:dPt>
          <c:dPt>
            <c:idx val="4"/>
            <c:bubble3D val="0"/>
            <c:spPr>
              <a:solidFill>
                <a:srgbClr val="C91C17"/>
              </a:solidFill>
            </c:spPr>
            <c:extLst>
              <c:ext xmlns:c16="http://schemas.microsoft.com/office/drawing/2014/chart" uri="{C3380CC4-5D6E-409C-BE32-E72D297353CC}">
                <c16:uniqueId val="{00000009-3986-4BE9-89C2-6E82BB41FC76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3986-4BE9-89C2-6E82BB41FC7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986-4BE9-89C2-6E82BB41FC76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986-4BE9-89C2-6E82BB41FC76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986-4BE9-89C2-6E82BB41FC7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3986-4BE9-89C2-6E82BB41FC76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3986-4BE9-89C2-6E82BB41FC76}"/>
              </c:ext>
            </c:extLst>
          </c:dPt>
          <c:dPt>
            <c:idx val="1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7-3986-4BE9-89C2-6E82BB41FC76}"/>
              </c:ext>
            </c:extLst>
          </c:dPt>
          <c:dLbls>
            <c:dLbl>
              <c:idx val="0"/>
              <c:layout>
                <c:manualLayout>
                  <c:x val="0.10560348249151771"/>
                  <c:y val="-0.143867016622922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986-4BE9-89C2-6E82BB41FC76}"/>
                </c:ext>
              </c:extLst>
            </c:dLbl>
            <c:dLbl>
              <c:idx val="1"/>
              <c:layout>
                <c:manualLayout>
                  <c:x val="0.1126063632289865"/>
                  <c:y val="0.114628377335186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6-4BE9-89C2-6E82BB41FC76}"/>
                </c:ext>
              </c:extLst>
            </c:dLbl>
            <c:dLbl>
              <c:idx val="2"/>
              <c:layout>
                <c:manualLayout>
                  <c:x val="8.6271045387619223E-3"/>
                  <c:y val="0.19481447172044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986-4BE9-89C2-6E82BB41FC76}"/>
                </c:ext>
              </c:extLst>
            </c:dLbl>
            <c:dLbl>
              <c:idx val="3"/>
              <c:layout>
                <c:manualLayout>
                  <c:x val="-7.2074771141412197E-2"/>
                  <c:y val="0.25556605424321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86-4BE9-89C2-6E82BB41FC76}"/>
                </c:ext>
              </c:extLst>
            </c:dLbl>
            <c:dLbl>
              <c:idx val="4"/>
              <c:layout>
                <c:manualLayout>
                  <c:x val="-0.13983727034120735"/>
                  <c:y val="0.169934640522875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0893028615325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986-4BE9-89C2-6E82BB41FC76}"/>
                </c:ext>
              </c:extLst>
            </c:dLbl>
            <c:dLbl>
              <c:idx val="5"/>
              <c:layout>
                <c:manualLayout>
                  <c:x val="-0.18194789066000897"/>
                  <c:y val="7.9230507951211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986-4BE9-89C2-6E82BB41FC76}"/>
                </c:ext>
              </c:extLst>
            </c:dLbl>
            <c:dLbl>
              <c:idx val="6"/>
              <c:layout>
                <c:manualLayout>
                  <c:x val="-0.19254772421739966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609756097561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986-4BE9-89C2-6E82BB41FC76}"/>
                </c:ext>
              </c:extLst>
            </c:dLbl>
            <c:dLbl>
              <c:idx val="7"/>
              <c:layout>
                <c:manualLayout>
                  <c:x val="-0.17824441457012996"/>
                  <c:y val="-0.209774072358602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0767556494462"/>
                      <c:h val="0.16515053265400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986-4BE9-89C2-6E82BB41FC7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86-4BE9-89C2-6E82BB41FC76}"/>
                </c:ext>
              </c:extLst>
            </c:dLbl>
            <c:dLbl>
              <c:idx val="9"/>
              <c:layout>
                <c:manualLayout>
                  <c:x val="-0.15872376928493695"/>
                  <c:y val="-0.311388605836035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986-4BE9-89C2-6E82BB41FC7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86-4BE9-89C2-6E82BB41FC76}"/>
                </c:ext>
              </c:extLst>
            </c:dLbl>
            <c:dLbl>
              <c:idx val="11"/>
              <c:layout>
                <c:manualLayout>
                  <c:x val="-0.10710709941745086"/>
                  <c:y val="-0.15265133034841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9186991869918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986-4BE9-89C2-6E82BB41FC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5'!$C$388:$C$399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5'!$F$388:$F$399</c:f>
              <c:numCache>
                <c:formatCode>#,##0.0\ \ \ _)</c:formatCode>
                <c:ptCount val="12"/>
                <c:pt idx="0">
                  <c:v>32.70426586423271</c:v>
                </c:pt>
                <c:pt idx="1">
                  <c:v>7.5751488529710569</c:v>
                </c:pt>
                <c:pt idx="2">
                  <c:v>7.2195329720984924</c:v>
                </c:pt>
                <c:pt idx="3">
                  <c:v>17.091716443483794</c:v>
                </c:pt>
                <c:pt idx="4">
                  <c:v>0.27631194051091651</c:v>
                </c:pt>
                <c:pt idx="5">
                  <c:v>0.56297954119706373</c:v>
                </c:pt>
                <c:pt idx="6">
                  <c:v>2.3787063045529839</c:v>
                </c:pt>
                <c:pt idx="7">
                  <c:v>2.3787063045529839</c:v>
                </c:pt>
                <c:pt idx="8">
                  <c:v>9.9502785765748031E-2</c:v>
                </c:pt>
                <c:pt idx="9">
                  <c:v>1.9794041543721754</c:v>
                </c:pt>
                <c:pt idx="10">
                  <c:v>1.8631642433065077E-2</c:v>
                </c:pt>
                <c:pt idx="11">
                  <c:v>27.715093193828999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86-4BE9-89C2-6E82BB41FC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8135-4BFA-A7BD-F0965EFA117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8135-4BFA-A7BD-F0965EFA117A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8135-4BFA-A7BD-F0965EFA117A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8135-4BFA-A7BD-F0965EFA117A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9-8135-4BFA-A7BD-F0965EFA117A}"/>
              </c:ext>
            </c:extLst>
          </c:dPt>
          <c:dPt>
            <c:idx val="5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B-8135-4BFA-A7BD-F0965EFA117A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8135-4BFA-A7BD-F0965EFA117A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8135-4BFA-A7BD-F0965EFA117A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8135-4BFA-A7BD-F0965EFA117A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8135-4BFA-A7BD-F0965EFA117A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8135-4BFA-A7BD-F0965EFA117A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8135-4BFA-A7BD-F0965EFA117A}"/>
              </c:ext>
            </c:extLst>
          </c:dPt>
          <c:dLbls>
            <c:dLbl>
              <c:idx val="0"/>
              <c:layout>
                <c:manualLayout>
                  <c:x val="8.6091287369566491E-2"/>
                  <c:y val="-0.117723225773248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135-4BFA-A7BD-F0965EFA117A}"/>
                </c:ext>
              </c:extLst>
            </c:dLbl>
            <c:dLbl>
              <c:idx val="1"/>
              <c:layout>
                <c:manualLayout>
                  <c:x val="0.14837872095256385"/>
                  <c:y val="-1.086181874324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5-4BFA-A7BD-F0965EFA117A}"/>
                </c:ext>
              </c:extLst>
            </c:dLbl>
            <c:dLbl>
              <c:idx val="2"/>
              <c:layout>
                <c:manualLayout>
                  <c:x val="0.15309570450035209"/>
                  <c:y val="9.5468066491688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135-4BFA-A7BD-F0965EFA117A}"/>
                </c:ext>
              </c:extLst>
            </c:dLbl>
            <c:dLbl>
              <c:idx val="3"/>
              <c:layout>
                <c:manualLayout>
                  <c:x val="-0.12085525894629028"/>
                  <c:y val="0.187145900880036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35-4BFA-A7BD-F0965EFA117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5-4BFA-A7BD-F0965EFA117A}"/>
                </c:ext>
              </c:extLst>
            </c:dLbl>
            <c:dLbl>
              <c:idx val="5"/>
              <c:layout>
                <c:manualLayout>
                  <c:x val="-0.16491748287561617"/>
                  <c:y val="0.121060573310689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135-4BFA-A7BD-F0965EFA117A}"/>
                </c:ext>
              </c:extLst>
            </c:dLbl>
            <c:dLbl>
              <c:idx val="6"/>
              <c:layout>
                <c:manualLayout>
                  <c:x val="-0.16053543307086615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135-4BFA-A7BD-F0965EFA117A}"/>
                </c:ext>
              </c:extLst>
            </c:dLbl>
            <c:dLbl>
              <c:idx val="7"/>
              <c:layout>
                <c:manualLayout>
                  <c:x val="-0.18824543883234107"/>
                  <c:y val="1.50625289485872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135-4BFA-A7BD-F0965EFA117A}"/>
                </c:ext>
              </c:extLst>
            </c:dLbl>
            <c:dLbl>
              <c:idx val="8"/>
              <c:layout>
                <c:manualLayout>
                  <c:x val="-0.26764919019268935"/>
                  <c:y val="-2.408604806752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135-4BFA-A7BD-F0965EFA117A}"/>
                </c:ext>
              </c:extLst>
            </c:dLbl>
            <c:dLbl>
              <c:idx val="9"/>
              <c:layout>
                <c:manualLayout>
                  <c:x val="-0.12945547660201012"/>
                  <c:y val="-0.1022382790386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135-4BFA-A7BD-F0965EFA117A}"/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135-4BFA-A7BD-F0965EFA117A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8135-4BFA-A7BD-F0965EFA11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5'!$C$420:$C$429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5'!$F$420:$F$429</c:f>
              <c:numCache>
                <c:formatCode>#,##0.0\ \ \ _)</c:formatCode>
                <c:ptCount val="10"/>
                <c:pt idx="0">
                  <c:v>16.373329098208046</c:v>
                </c:pt>
                <c:pt idx="1">
                  <c:v>18.394572862106052</c:v>
                </c:pt>
                <c:pt idx="2">
                  <c:v>15.934875697610767</c:v>
                </c:pt>
                <c:pt idx="3">
                  <c:v>28.532487108145254</c:v>
                </c:pt>
                <c:pt idx="4">
                  <c:v>0</c:v>
                </c:pt>
                <c:pt idx="5">
                  <c:v>6.6692460030610287E-2</c:v>
                </c:pt>
                <c:pt idx="6">
                  <c:v>0.3760530295785402</c:v>
                </c:pt>
                <c:pt idx="7">
                  <c:v>14.682741268570719</c:v>
                </c:pt>
                <c:pt idx="8">
                  <c:v>5.5172210835355822</c:v>
                </c:pt>
                <c:pt idx="9">
                  <c:v>0.12202739221442357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135-4BFA-A7BD-F0965EFA11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7CA3-42F4-B3D0-9B1E6D9CCA3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7CA3-42F4-B3D0-9B1E6D9CCA33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7CA3-42F4-B3D0-9B1E6D9CCA3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7CA3-42F4-B3D0-9B1E6D9CCA33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9-7CA3-42F4-B3D0-9B1E6D9CCA3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7CA3-42F4-B3D0-9B1E6D9CCA33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7CA3-42F4-B3D0-9B1E6D9CCA33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7CA3-42F4-B3D0-9B1E6D9CCA33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7CA3-42F4-B3D0-9B1E6D9CCA33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7CA3-42F4-B3D0-9B1E6D9CCA3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7CA3-42F4-B3D0-9B1E6D9CCA33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7CA3-42F4-B3D0-9B1E6D9CCA33}"/>
              </c:ext>
            </c:extLst>
          </c:dPt>
          <c:dLbls>
            <c:dLbl>
              <c:idx val="0"/>
              <c:layout>
                <c:manualLayout>
                  <c:x val="0.18527827923948531"/>
                  <c:y val="1.8224486645051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2276422764227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CA3-42F4-B3D0-9B1E6D9CCA33}"/>
                </c:ext>
              </c:extLst>
            </c:dLbl>
            <c:dLbl>
              <c:idx val="1"/>
              <c:layout>
                <c:manualLayout>
                  <c:x val="0.14512668843223867"/>
                  <c:y val="4.1425762956101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A3-42F4-B3D0-9B1E6D9CCA33}"/>
                </c:ext>
              </c:extLst>
            </c:dLbl>
            <c:dLbl>
              <c:idx val="2"/>
              <c:layout>
                <c:manualLayout>
                  <c:x val="0.1661038345816529"/>
                  <c:y val="8.5010550151819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CA3-42F4-B3D0-9B1E6D9CCA33}"/>
                </c:ext>
              </c:extLst>
            </c:dLbl>
            <c:dLbl>
              <c:idx val="3"/>
              <c:layout>
                <c:manualLayout>
                  <c:x val="-0.15662761666986749"/>
                  <c:y val="0.13485831918069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CA3-42F4-B3D0-9B1E6D9CCA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A3-42F4-B3D0-9B1E6D9CCA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A3-42F4-B3D0-9B1E6D9CCA33}"/>
                </c:ext>
              </c:extLst>
            </c:dLbl>
            <c:dLbl>
              <c:idx val="6"/>
              <c:layout>
                <c:manualLayout>
                  <c:x val="-0.23533218103834583"/>
                  <c:y val="0.10718954248366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CA3-42F4-B3D0-9B1E6D9CCA33}"/>
                </c:ext>
              </c:extLst>
            </c:dLbl>
            <c:dLbl>
              <c:idx val="7"/>
              <c:layout>
                <c:manualLayout>
                  <c:x val="-0.22726982907624352"/>
                  <c:y val="4.60501260871802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CA3-42F4-B3D0-9B1E6D9CCA33}"/>
                </c:ext>
              </c:extLst>
            </c:dLbl>
            <c:dLbl>
              <c:idx val="8"/>
              <c:layout>
                <c:manualLayout>
                  <c:x val="-0.20260853978618526"/>
                  <c:y val="-8.1602387936802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CA3-42F4-B3D0-9B1E6D9CCA33}"/>
                </c:ext>
              </c:extLst>
            </c:dLbl>
            <c:dLbl>
              <c:idx val="9"/>
              <c:layout>
                <c:manualLayout>
                  <c:x val="0.12095102746303053"/>
                  <c:y val="-0.1022382790386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CA3-42F4-B3D0-9B1E6D9CCA33}"/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CA3-42F4-B3D0-9B1E6D9CCA33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CA3-42F4-B3D0-9B1E6D9CCA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5'!$C$448:$C$457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5'!$F$448:$F$457</c:f>
              <c:numCache>
                <c:formatCode>#,##0.0\ \ \ _)</c:formatCode>
                <c:ptCount val="10"/>
                <c:pt idx="0">
                  <c:v>21.615129792665062</c:v>
                </c:pt>
                <c:pt idx="1">
                  <c:v>2.4638232022630482</c:v>
                </c:pt>
                <c:pt idx="2">
                  <c:v>17.464249522340268</c:v>
                </c:pt>
                <c:pt idx="3">
                  <c:v>40.957893798052361</c:v>
                </c:pt>
                <c:pt idx="4">
                  <c:v>0</c:v>
                </c:pt>
                <c:pt idx="5">
                  <c:v>4.3809178912175457E-2</c:v>
                </c:pt>
                <c:pt idx="6">
                  <c:v>0.24593121286144443</c:v>
                </c:pt>
                <c:pt idx="7">
                  <c:v>13.848196292863854</c:v>
                </c:pt>
                <c:pt idx="8">
                  <c:v>3.2453791624786525</c:v>
                </c:pt>
                <c:pt idx="9">
                  <c:v>0.11558783756311926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CA3-42F4-B3D0-9B1E6D9CCA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A756-4574-B019-0C289F21CDB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A756-4574-B019-0C289F21CDBE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A756-4574-B019-0C289F21CDB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A756-4574-B019-0C289F21CDBE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9-A756-4574-B019-0C289F21CDBE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A756-4574-B019-0C289F21CDBE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A756-4574-B019-0C289F21CDBE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A756-4574-B019-0C289F21CDBE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A756-4574-B019-0C289F21CDBE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A756-4574-B019-0C289F21CDBE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A756-4574-B019-0C289F21CDB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A756-4574-B019-0C289F21CDBE}"/>
              </c:ext>
            </c:extLst>
          </c:dPt>
          <c:dLbls>
            <c:dLbl>
              <c:idx val="0"/>
              <c:layout>
                <c:manualLayout>
                  <c:x val="0.18527827923948531"/>
                  <c:y val="1.8224486645051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2276422764227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56-4574-B019-0C289F21CDBE}"/>
                </c:ext>
              </c:extLst>
            </c:dLbl>
            <c:dLbl>
              <c:idx val="1"/>
              <c:layout>
                <c:manualLayout>
                  <c:x val="0.14512668843223867"/>
                  <c:y val="4.1425762956101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6-4574-B019-0C289F21CDBE}"/>
                </c:ext>
              </c:extLst>
            </c:dLbl>
            <c:dLbl>
              <c:idx val="2"/>
              <c:layout>
                <c:manualLayout>
                  <c:x val="0.1661038345816529"/>
                  <c:y val="8.5010550151819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756-4574-B019-0C289F21CDBE}"/>
                </c:ext>
              </c:extLst>
            </c:dLbl>
            <c:dLbl>
              <c:idx val="3"/>
              <c:layout>
                <c:manualLayout>
                  <c:x val="-0.15662761666986749"/>
                  <c:y val="0.13485831918069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756-4574-B019-0C289F21CD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56-4574-B019-0C289F21CD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56-4574-B019-0C289F21CDBE}"/>
                </c:ext>
              </c:extLst>
            </c:dLbl>
            <c:dLbl>
              <c:idx val="6"/>
              <c:layout>
                <c:manualLayout>
                  <c:x val="-0.23533218103834583"/>
                  <c:y val="0.10718954248366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756-4574-B019-0C289F21CDBE}"/>
                </c:ext>
              </c:extLst>
            </c:dLbl>
            <c:dLbl>
              <c:idx val="7"/>
              <c:layout>
                <c:manualLayout>
                  <c:x val="-0.22726982907624352"/>
                  <c:y val="4.60501260871802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756-4574-B019-0C289F21CDBE}"/>
                </c:ext>
              </c:extLst>
            </c:dLbl>
            <c:dLbl>
              <c:idx val="8"/>
              <c:layout>
                <c:manualLayout>
                  <c:x val="-0.20260853978618526"/>
                  <c:y val="-8.1602387936802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756-4574-B019-0C289F21CDBE}"/>
                </c:ext>
              </c:extLst>
            </c:dLbl>
            <c:dLbl>
              <c:idx val="9"/>
              <c:layout>
                <c:manualLayout>
                  <c:x val="0.12095102746303053"/>
                  <c:y val="-0.1022382790386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756-4574-B019-0C289F21CDBE}"/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756-4574-B019-0C289F21CDBE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756-4574-B019-0C289F21CD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5'!$C$434:$C$443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5'!$F$434:$F$443</c:f>
              <c:numCache>
                <c:formatCode>#,##0.0\ \ \ _)</c:formatCode>
                <c:ptCount val="10"/>
                <c:pt idx="0">
                  <c:v>21.971266706897783</c:v>
                </c:pt>
                <c:pt idx="1">
                  <c:v>2.5795704681563789</c:v>
                </c:pt>
                <c:pt idx="2">
                  <c:v>24.664969704138318</c:v>
                </c:pt>
                <c:pt idx="3">
                  <c:v>34.405916317720141</c:v>
                </c:pt>
                <c:pt idx="4">
                  <c:v>0</c:v>
                </c:pt>
                <c:pt idx="5">
                  <c:v>3.9543973483777375E-2</c:v>
                </c:pt>
                <c:pt idx="6">
                  <c:v>0.26195803132104939</c:v>
                </c:pt>
                <c:pt idx="7">
                  <c:v>12.823880327545606</c:v>
                </c:pt>
                <c:pt idx="8">
                  <c:v>3.1427694106812321</c:v>
                </c:pt>
                <c:pt idx="9">
                  <c:v>0.11012506005572555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756-4574-B019-0C289F21CD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46</xdr:row>
      <xdr:rowOff>1724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4"/>
          <a:ext cx="1044000" cy="60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168813</xdr:colOff>
      <xdr:row>17</xdr:row>
      <xdr:rowOff>179133</xdr:rowOff>
    </xdr:from>
    <xdr:to>
      <xdr:col>8</xdr:col>
      <xdr:colOff>370998</xdr:colOff>
      <xdr:row>22</xdr:row>
      <xdr:rowOff>19469</xdr:rowOff>
    </xdr:to>
    <xdr:sp macro="" textlink="">
      <xdr:nvSpPr>
        <xdr:cNvPr id="14" name="Murci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4820188" y="4060571"/>
          <a:ext cx="741935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chemeClr val="accent5">
            <a:lumMod val="50000"/>
          </a:schemeClr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519139</xdr:colOff>
      <xdr:row>11</xdr:row>
      <xdr:rowOff>157600</xdr:rowOff>
    </xdr:from>
    <xdr:to>
      <xdr:col>9</xdr:col>
      <xdr:colOff>242486</xdr:colOff>
      <xdr:row>20</xdr:row>
      <xdr:rowOff>98620</xdr:rowOff>
    </xdr:to>
    <xdr:sp macro="" textlink="">
      <xdr:nvSpPr>
        <xdr:cNvPr id="15" name="Comunidad Valencian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/>
        </xdr:cNvSpPr>
      </xdr:nvSpPr>
      <xdr:spPr bwMode="auto">
        <a:xfrm>
          <a:off x="5170514" y="2903975"/>
          <a:ext cx="898097" cy="1647583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190285</xdr:colOff>
      <xdr:row>25</xdr:row>
      <xdr:rowOff>21862</xdr:rowOff>
    </xdr:from>
    <xdr:to>
      <xdr:col>4</xdr:col>
      <xdr:colOff>191759</xdr:colOff>
      <xdr:row>25</xdr:row>
      <xdr:rowOff>30480</xdr:rowOff>
    </xdr:to>
    <xdr:sp macro="" textlink="">
      <xdr:nvSpPr>
        <xdr:cNvPr id="17" name="Ceut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3543085" y="5422537"/>
          <a:ext cx="1474" cy="8618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144735</xdr:colOff>
      <xdr:row>26</xdr:row>
      <xdr:rowOff>59001</xdr:rowOff>
    </xdr:from>
    <xdr:to>
      <xdr:col>6</xdr:col>
      <xdr:colOff>146986</xdr:colOff>
      <xdr:row>26</xdr:row>
      <xdr:rowOff>61195</xdr:rowOff>
    </xdr:to>
    <xdr:sp macro="" textlink="">
      <xdr:nvSpPr>
        <xdr:cNvPr id="18" name="Melill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697685" y="5650176"/>
          <a:ext cx="2251" cy="2194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381223</xdr:colOff>
      <xdr:row>4</xdr:row>
      <xdr:rowOff>584414</xdr:rowOff>
    </xdr:from>
    <xdr:to>
      <xdr:col>7</xdr:col>
      <xdr:colOff>416989</xdr:colOff>
      <xdr:row>14</xdr:row>
      <xdr:rowOff>35020</xdr:rowOff>
    </xdr:to>
    <xdr:sp macro="" textlink="">
      <xdr:nvSpPr>
        <xdr:cNvPr id="2" name="Castilla Leó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724373" y="1584539"/>
          <a:ext cx="2350341" cy="176518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204646</xdr:colOff>
      <xdr:row>4</xdr:row>
      <xdr:rowOff>468086</xdr:rowOff>
    </xdr:from>
    <xdr:to>
      <xdr:col>7</xdr:col>
      <xdr:colOff>370839</xdr:colOff>
      <xdr:row>7</xdr:row>
      <xdr:rowOff>15398</xdr:rowOff>
    </xdr:to>
    <xdr:sp macro="" textlink="">
      <xdr:nvSpPr>
        <xdr:cNvPr id="4" name="País Vas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4290871" y="1468211"/>
          <a:ext cx="737693" cy="528387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DAEEF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540022</xdr:colOff>
      <xdr:row>10</xdr:row>
      <xdr:rowOff>101952</xdr:rowOff>
    </xdr:from>
    <xdr:to>
      <xdr:col>8</xdr:col>
      <xdr:colOff>266668</xdr:colOff>
      <xdr:row>20</xdr:row>
      <xdr:rowOff>33398</xdr:rowOff>
    </xdr:to>
    <xdr:sp macro="" textlink="">
      <xdr:nvSpPr>
        <xdr:cNvPr id="5" name="Castilla La-Manch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3426097" y="2654652"/>
          <a:ext cx="2041221" cy="182692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377901</xdr:colOff>
      <xdr:row>6</xdr:row>
      <xdr:rowOff>129313</xdr:rowOff>
    </xdr:from>
    <xdr:to>
      <xdr:col>7</xdr:col>
      <xdr:colOff>435618</xdr:colOff>
      <xdr:row>8</xdr:row>
      <xdr:rowOff>135766</xdr:rowOff>
    </xdr:to>
    <xdr:sp macro="" textlink="">
      <xdr:nvSpPr>
        <xdr:cNvPr id="6" name="La Rioj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4464126" y="1920013"/>
          <a:ext cx="629217" cy="387453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34761</xdr:colOff>
      <xdr:row>4</xdr:row>
      <xdr:rowOff>529263</xdr:rowOff>
    </xdr:from>
    <xdr:to>
      <xdr:col>8</xdr:col>
      <xdr:colOff>293939</xdr:colOff>
      <xdr:row>8</xdr:row>
      <xdr:rowOff>135766</xdr:rowOff>
    </xdr:to>
    <xdr:sp macro="" textlink="">
      <xdr:nvSpPr>
        <xdr:cNvPr id="7" name="Navarr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4692486" y="1529388"/>
          <a:ext cx="802103" cy="778078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2</xdr:col>
      <xdr:colOff>42131</xdr:colOff>
      <xdr:row>4</xdr:row>
      <xdr:rowOff>244224</xdr:rowOff>
    </xdr:from>
    <xdr:to>
      <xdr:col>3</xdr:col>
      <xdr:colOff>521191</xdr:colOff>
      <xdr:row>8</xdr:row>
      <xdr:rowOff>186520</xdr:rowOff>
    </xdr:to>
    <xdr:sp macro="" textlink="">
      <xdr:nvSpPr>
        <xdr:cNvPr id="8" name="Galici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1804256" y="1244349"/>
          <a:ext cx="1060085" cy="1113871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377152</xdr:colOff>
      <xdr:row>4</xdr:row>
      <xdr:rowOff>338935</xdr:rowOff>
    </xdr:from>
    <xdr:to>
      <xdr:col>5</xdr:col>
      <xdr:colOff>344417</xdr:colOff>
      <xdr:row>5</xdr:row>
      <xdr:rowOff>186583</xdr:rowOff>
    </xdr:to>
    <xdr:sp macro="" textlink="">
      <xdr:nvSpPr>
        <xdr:cNvPr id="9" name="Asturias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720302" y="1339060"/>
          <a:ext cx="1148365" cy="447723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chemeClr val="accent5">
            <a:lumMod val="20000"/>
            <a:lumOff val="8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195131</xdr:colOff>
      <xdr:row>4</xdr:row>
      <xdr:rowOff>434552</xdr:rowOff>
    </xdr:from>
    <xdr:to>
      <xdr:col>6</xdr:col>
      <xdr:colOff>346441</xdr:colOff>
      <xdr:row>6</xdr:row>
      <xdr:rowOff>77653</xdr:rowOff>
    </xdr:to>
    <xdr:sp macro="" textlink="">
      <xdr:nvSpPr>
        <xdr:cNvPr id="10" name="Cantabri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3719381" y="1434677"/>
          <a:ext cx="713285" cy="433676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129917</xdr:colOff>
      <xdr:row>18</xdr:row>
      <xdr:rowOff>22776</xdr:rowOff>
    </xdr:from>
    <xdr:to>
      <xdr:col>7</xdr:col>
      <xdr:colOff>494226</xdr:colOff>
      <xdr:row>26</xdr:row>
      <xdr:rowOff>39978</xdr:rowOff>
    </xdr:to>
    <xdr:sp macro="" textlink="">
      <xdr:nvSpPr>
        <xdr:cNvPr id="11" name="Andalucí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2473067" y="4089951"/>
          <a:ext cx="2678884" cy="154120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130603</xdr:colOff>
      <xdr:row>12</xdr:row>
      <xdr:rowOff>173596</xdr:rowOff>
    </xdr:from>
    <xdr:to>
      <xdr:col>5</xdr:col>
      <xdr:colOff>264659</xdr:colOff>
      <xdr:row>20</xdr:row>
      <xdr:rowOff>72760</xdr:rowOff>
    </xdr:to>
    <xdr:sp macro="" textlink="">
      <xdr:nvSpPr>
        <xdr:cNvPr id="12" name="Extremadur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2473753" y="3107296"/>
          <a:ext cx="1315156" cy="1413639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300108</xdr:colOff>
      <xdr:row>10</xdr:row>
      <xdr:rowOff>175753</xdr:rowOff>
    </xdr:from>
    <xdr:to>
      <xdr:col>6</xdr:col>
      <xdr:colOff>375160</xdr:colOff>
      <xdr:row>14</xdr:row>
      <xdr:rowOff>128388</xdr:rowOff>
    </xdr:to>
    <xdr:sp macro="" textlink="">
      <xdr:nvSpPr>
        <xdr:cNvPr id="13" name="Madrid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 bwMode="auto">
        <a:xfrm>
          <a:off x="3824358" y="2728453"/>
          <a:ext cx="637027" cy="71463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9</xdr:col>
      <xdr:colOff>37330</xdr:colOff>
      <xdr:row>5</xdr:row>
      <xdr:rowOff>153049</xdr:rowOff>
    </xdr:from>
    <xdr:to>
      <xdr:col>10</xdr:col>
      <xdr:colOff>713259</xdr:colOff>
      <xdr:row>12</xdr:row>
      <xdr:rowOff>122842</xdr:rowOff>
    </xdr:to>
    <xdr:sp macro="" textlink="">
      <xdr:nvSpPr>
        <xdr:cNvPr id="16" name="Cataluñ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5876155" y="1753249"/>
          <a:ext cx="1314104" cy="1303293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DAEEF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1</xdr:col>
      <xdr:colOff>351153</xdr:colOff>
      <xdr:row>25</xdr:row>
      <xdr:rowOff>83014</xdr:rowOff>
    </xdr:from>
    <xdr:to>
      <xdr:col>3</xdr:col>
      <xdr:colOff>8445</xdr:colOff>
      <xdr:row>28</xdr:row>
      <xdr:rowOff>148660</xdr:rowOff>
    </xdr:to>
    <xdr:grpSp>
      <xdr:nvGrpSpPr>
        <xdr:cNvPr id="19" name="Islas Canarias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531070" y="5480514"/>
          <a:ext cx="1816292" cy="637146"/>
          <a:chOff x="981075" y="5364163"/>
          <a:chExt cx="1685925" cy="704850"/>
        </a:xfrm>
        <a:solidFill>
          <a:srgbClr val="DAEEF3"/>
        </a:solidFill>
      </xdr:grpSpPr>
      <xdr:sp macro="" textlink="">
        <xdr:nvSpPr>
          <xdr:cNvPr id="20" name="Freeform 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Freeform 1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Freeform 1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" name="Freeform 1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" name="Freeform 1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Freeform 1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6" name="Freeform 1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7" name="Freeform 1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8" name="Freeform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116829</xdr:colOff>
      <xdr:row>26</xdr:row>
      <xdr:rowOff>142380</xdr:rowOff>
    </xdr:from>
    <xdr:to>
      <xdr:col>7</xdr:col>
      <xdr:colOff>405300</xdr:colOff>
      <xdr:row>29</xdr:row>
      <xdr:rowOff>121925</xdr:rowOff>
    </xdr:to>
    <xdr:grpSp>
      <xdr:nvGrpSpPr>
        <xdr:cNvPr id="29" name="123 Grup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/>
      </xdr:nvGrpSpPr>
      <xdr:grpSpPr>
        <a:xfrm>
          <a:off x="2995496" y="5730380"/>
          <a:ext cx="2055887" cy="551045"/>
          <a:chOff x="3028950" y="5690666"/>
          <a:chExt cx="2219325" cy="609600"/>
        </a:xfrm>
      </xdr:grpSpPr>
      <xdr:sp macro="" textlink="">
        <xdr:nvSpPr>
          <xdr:cNvPr id="30" name="Freeform 6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1" name="Freeform 7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10</xdr:col>
      <xdr:colOff>101801</xdr:colOff>
      <xdr:row>13</xdr:row>
      <xdr:rowOff>109103</xdr:rowOff>
    </xdr:from>
    <xdr:to>
      <xdr:col>11</xdr:col>
      <xdr:colOff>683674</xdr:colOff>
      <xdr:row>18</xdr:row>
      <xdr:rowOff>54552</xdr:rowOff>
    </xdr:to>
    <xdr:grpSp>
      <xdr:nvGrpSpPr>
        <xdr:cNvPr id="32" name="Islas Baleares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6557634" y="3231186"/>
          <a:ext cx="1343873" cy="887366"/>
          <a:chOff x="6715125" y="2963863"/>
          <a:chExt cx="1447800" cy="981075"/>
        </a:xfrm>
        <a:solidFill>
          <a:srgbClr val="DAEEF3"/>
        </a:solidFill>
      </xdr:grpSpPr>
      <xdr:sp macro="" textlink="">
        <xdr:nvSpPr>
          <xdr:cNvPr id="33" name="Freeform 18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4" name="Freeform 19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5" name="Freeform 2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6" name="Freeform 21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7" name="Freeform 22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8" name="Freeform 23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7</xdr:col>
      <xdr:colOff>217734</xdr:colOff>
      <xdr:row>5</xdr:row>
      <xdr:rowOff>173904</xdr:rowOff>
    </xdr:from>
    <xdr:to>
      <xdr:col>9</xdr:col>
      <xdr:colOff>258346</xdr:colOff>
      <xdr:row>14</xdr:row>
      <xdr:rowOff>124320</xdr:rowOff>
    </xdr:to>
    <xdr:grpSp>
      <xdr:nvGrpSpPr>
        <xdr:cNvPr id="39" name="Aragó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4863817" y="1771987"/>
          <a:ext cx="1215362" cy="1664916"/>
          <a:chOff x="5591175" y="952500"/>
          <a:chExt cx="1314450" cy="1838325"/>
        </a:xfrm>
        <a:solidFill>
          <a:srgbClr val="92CDDC"/>
        </a:solidFill>
      </xdr:grpSpPr>
      <xdr:sp macro="" textlink="">
        <xdr:nvSpPr>
          <xdr:cNvPr id="40" name="Aragón2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215967"/>
              </a:solidFill>
            </a:endParaRPr>
          </a:p>
        </xdr:txBody>
      </xdr:sp>
      <xdr:sp macro="" textlink="">
        <xdr:nvSpPr>
          <xdr:cNvPr id="41" name="Freeform 75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215967"/>
              </a:solidFill>
            </a:endParaRPr>
          </a:p>
        </xdr:txBody>
      </xdr:sp>
    </xdr:grpSp>
    <xdr:clientData/>
  </xdr:twoCellAnchor>
  <xdr:twoCellAnchor>
    <xdr:from>
      <xdr:col>2</xdr:col>
      <xdr:colOff>267062</xdr:colOff>
      <xdr:row>4</xdr:row>
      <xdr:rowOff>581105</xdr:rowOff>
    </xdr:from>
    <xdr:to>
      <xdr:col>3</xdr:col>
      <xdr:colOff>446659</xdr:colOff>
      <xdr:row>7</xdr:row>
      <xdr:rowOff>179903</xdr:rowOff>
    </xdr:to>
    <xdr:sp macro="" textlink="'Data 1'!F97">
      <xdr:nvSpPr>
        <xdr:cNvPr id="42" name="CuadroText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029187" y="1581230"/>
          <a:ext cx="760622" cy="579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EC476B2-7FD9-4D92-922A-9894F9E1483C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Galicia 17.383 GWh -5,8 %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352355</xdr:colOff>
      <xdr:row>4</xdr:row>
      <xdr:rowOff>249556</xdr:rowOff>
    </xdr:from>
    <xdr:to>
      <xdr:col>4</xdr:col>
      <xdr:colOff>542926</xdr:colOff>
      <xdr:row>5</xdr:row>
      <xdr:rowOff>177328</xdr:rowOff>
    </xdr:to>
    <xdr:sp macro="" textlink="'Data 1'!F87">
      <xdr:nvSpPr>
        <xdr:cNvPr id="43" name="CuadroTexto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695505" y="1249681"/>
          <a:ext cx="733496" cy="527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91D7810-2A21-453D-9604-5CB462903F08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Asturias 8.718 GWh -7,2 %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262960</xdr:colOff>
      <xdr:row>4</xdr:row>
      <xdr:rowOff>25300</xdr:rowOff>
    </xdr:from>
    <xdr:to>
      <xdr:col>6</xdr:col>
      <xdr:colOff>436466</xdr:colOff>
      <xdr:row>4</xdr:row>
      <xdr:rowOff>548708</xdr:rowOff>
    </xdr:to>
    <xdr:sp macro="" textlink="'Data 1'!F91">
      <xdr:nvSpPr>
        <xdr:cNvPr id="44" name="CuadroTexto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787210" y="1025425"/>
          <a:ext cx="735481" cy="523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B184BA2-1FD1-4D4F-83EF-D735CA6A617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Cantabria 3.927 GWh -6,2 %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367902</xdr:colOff>
      <xdr:row>4</xdr:row>
      <xdr:rowOff>82436</xdr:rowOff>
    </xdr:from>
    <xdr:to>
      <xdr:col>8</xdr:col>
      <xdr:colOff>38100</xdr:colOff>
      <xdr:row>4</xdr:row>
      <xdr:rowOff>596326</xdr:rowOff>
    </xdr:to>
    <xdr:sp macro="" textlink="'Data 1'!F103">
      <xdr:nvSpPr>
        <xdr:cNvPr id="45" name="CuadroTexto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454127" y="1082561"/>
          <a:ext cx="784623" cy="51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20812F5-78B4-478C-AE1B-4F4723F77675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País Vasco 15.013 GWh -7,8 %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8291</xdr:colOff>
      <xdr:row>4</xdr:row>
      <xdr:rowOff>272323</xdr:rowOff>
    </xdr:from>
    <xdr:to>
      <xdr:col>9</xdr:col>
      <xdr:colOff>123825</xdr:colOff>
      <xdr:row>6</xdr:row>
      <xdr:rowOff>38100</xdr:rowOff>
    </xdr:to>
    <xdr:sp macro="" textlink="'Data 1'!F102">
      <xdr:nvSpPr>
        <xdr:cNvPr id="46" name="CuadroTexto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5208941" y="1272448"/>
          <a:ext cx="753709" cy="556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5612E9E-96FE-44D7-90E1-2869BD7127AA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Navarra 4.853 GWh -5,8 %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538296</xdr:colOff>
      <xdr:row>6</xdr:row>
      <xdr:rowOff>122898</xdr:rowOff>
    </xdr:from>
    <xdr:to>
      <xdr:col>7</xdr:col>
      <xdr:colOff>160671</xdr:colOff>
      <xdr:row>9</xdr:row>
      <xdr:rowOff>74804</xdr:rowOff>
    </xdr:to>
    <xdr:sp macro="" textlink="'Data 1'!F98">
      <xdr:nvSpPr>
        <xdr:cNvPr id="47" name="CuadroTexto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4062546" y="1913598"/>
          <a:ext cx="755850" cy="523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EA5942A-D6A0-42B5-A783-3EDC611A7E60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La Rioja 1.624 GWh -4,5 %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472190</xdr:colOff>
      <xdr:row>8</xdr:row>
      <xdr:rowOff>189250</xdr:rowOff>
    </xdr:from>
    <xdr:to>
      <xdr:col>9</xdr:col>
      <xdr:colOff>55533</xdr:colOff>
      <xdr:row>11</xdr:row>
      <xdr:rowOff>169706</xdr:rowOff>
    </xdr:to>
    <xdr:sp macro="" textlink="'Data 1'!F86">
      <xdr:nvSpPr>
        <xdr:cNvPr id="48" name="CuadroTexto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5129915" y="2360950"/>
          <a:ext cx="764443" cy="551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EDE26A5-1350-4EF0-B219-DE4C07AAEACE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Aragón 10.105 GWh -6,5 %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244572</xdr:colOff>
      <xdr:row>7</xdr:row>
      <xdr:rowOff>132322</xdr:rowOff>
    </xdr:from>
    <xdr:to>
      <xdr:col>10</xdr:col>
      <xdr:colOff>365748</xdr:colOff>
      <xdr:row>10</xdr:row>
      <xdr:rowOff>23325</xdr:rowOff>
    </xdr:to>
    <xdr:sp macro="" textlink="'Data 1'!F94">
      <xdr:nvSpPr>
        <xdr:cNvPr id="49" name="CuadroTexto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6083397" y="2113522"/>
          <a:ext cx="759351" cy="462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907E967-FDEF-4BFB-8936-767FF3E4668D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Cataluña 43.870 GWh -6,7 %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237896</xdr:colOff>
      <xdr:row>9</xdr:row>
      <xdr:rowOff>17784</xdr:rowOff>
    </xdr:from>
    <xdr:to>
      <xdr:col>5</xdr:col>
      <xdr:colOff>404901</xdr:colOff>
      <xdr:row>11</xdr:row>
      <xdr:rowOff>93575</xdr:rowOff>
    </xdr:to>
    <xdr:sp macro="" textlink="'Data 1'!F93">
      <xdr:nvSpPr>
        <xdr:cNvPr id="50" name="CuadroTexto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123971" y="2379984"/>
          <a:ext cx="80518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DCF86BE-2FEA-4B64-9E84-40E833CA7B2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 León 13.493 GWh -4,9 %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310530</xdr:colOff>
      <xdr:row>11</xdr:row>
      <xdr:rowOff>112677</xdr:rowOff>
    </xdr:from>
    <xdr:to>
      <xdr:col>6</xdr:col>
      <xdr:colOff>552143</xdr:colOff>
      <xdr:row>13</xdr:row>
      <xdr:rowOff>188468</xdr:rowOff>
    </xdr:to>
    <xdr:sp macro="" textlink="'Data 1'!F99">
      <xdr:nvSpPr>
        <xdr:cNvPr id="51" name="CuadroTexto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834780" y="2855877"/>
          <a:ext cx="803588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7C3F2D1-56E2-4FF0-916B-16C92B00FB13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Madrid 26.852 GWh -5,6 %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363370</xdr:colOff>
      <xdr:row>15</xdr:row>
      <xdr:rowOff>16634</xdr:rowOff>
    </xdr:from>
    <xdr:to>
      <xdr:col>4</xdr:col>
      <xdr:colOff>598715</xdr:colOff>
      <xdr:row>17</xdr:row>
      <xdr:rowOff>129269</xdr:rowOff>
    </xdr:to>
    <xdr:sp macro="" textlink="'Data 1'!F96">
      <xdr:nvSpPr>
        <xdr:cNvPr id="52" name="CuadroTexto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703799" y="3520473"/>
          <a:ext cx="779630" cy="4868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67BFB28-AA7A-48F6-AE76-61E45A8171E7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Extremadura 4.960 GWh -0,1 %</a:t>
          </a:fld>
          <a:endParaRPr lang="es-ES" sz="8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520247</xdr:colOff>
      <xdr:row>15</xdr:row>
      <xdr:rowOff>0</xdr:rowOff>
    </xdr:from>
    <xdr:to>
      <xdr:col>7</xdr:col>
      <xdr:colOff>180975</xdr:colOff>
      <xdr:row>18</xdr:row>
      <xdr:rowOff>17684</xdr:rowOff>
    </xdr:to>
    <xdr:sp macro="" textlink="'Data 1'!F92">
      <xdr:nvSpPr>
        <xdr:cNvPr id="53" name="CuadroTexto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044497" y="3505200"/>
          <a:ext cx="794203" cy="57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16EE8E5-DF2A-477C-AAAD-6AF0AA83D7A3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Castilla-La Mancha 11.740 GWh -3,3 %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568654</xdr:colOff>
      <xdr:row>20</xdr:row>
      <xdr:rowOff>17309</xdr:rowOff>
    </xdr:from>
    <xdr:to>
      <xdr:col>6</xdr:col>
      <xdr:colOff>160504</xdr:colOff>
      <xdr:row>23</xdr:row>
      <xdr:rowOff>47625</xdr:rowOff>
    </xdr:to>
    <xdr:sp macro="" textlink="'Data 1'!F85">
      <xdr:nvSpPr>
        <xdr:cNvPr id="54" name="CuadroText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454729" y="4465484"/>
          <a:ext cx="792000" cy="601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2AF6ADA-49AE-46E3-AB4F-453C560D16F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Andalucía 39.048 GWh -2,1 %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243254</xdr:colOff>
      <xdr:row>18</xdr:row>
      <xdr:rowOff>93815</xdr:rowOff>
    </xdr:from>
    <xdr:to>
      <xdr:col>8</xdr:col>
      <xdr:colOff>407484</xdr:colOff>
      <xdr:row>22</xdr:row>
      <xdr:rowOff>17001</xdr:rowOff>
    </xdr:to>
    <xdr:sp macro="" textlink="'Data 1'!F101">
      <xdr:nvSpPr>
        <xdr:cNvPr id="55" name="CuadroTexto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900979" y="4160990"/>
          <a:ext cx="707155" cy="685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930B3B-6E9D-457E-9CDE-8798EFE0079F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Murcia 9.194 GWh -2,6 %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543116</xdr:colOff>
      <xdr:row>14</xdr:row>
      <xdr:rowOff>16788</xdr:rowOff>
    </xdr:from>
    <xdr:to>
      <xdr:col>10</xdr:col>
      <xdr:colOff>28576</xdr:colOff>
      <xdr:row>17</xdr:row>
      <xdr:rowOff>179651</xdr:rowOff>
    </xdr:to>
    <xdr:sp macro="" textlink="'Data 1'!F89">
      <xdr:nvSpPr>
        <xdr:cNvPr id="56" name="CuadroTexto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5743766" y="3331488"/>
          <a:ext cx="761810" cy="724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17904D-5149-4C40-8D43-8A8EC48663F8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Comunidad Valenciana 25.745 GWh -5,4 %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158415</xdr:colOff>
      <xdr:row>11</xdr:row>
      <xdr:rowOff>188638</xdr:rowOff>
    </xdr:from>
    <xdr:to>
      <xdr:col>11</xdr:col>
      <xdr:colOff>152400</xdr:colOff>
      <xdr:row>14</xdr:row>
      <xdr:rowOff>188126</xdr:rowOff>
    </xdr:to>
    <xdr:sp macro="" textlink="'Data 1'!F88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6635415" y="2931838"/>
          <a:ext cx="755985" cy="57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71B13F6-8B8C-4109-917C-34858D894159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Islas Baleares 4.941 GWh -19,2 %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673795</xdr:colOff>
      <xdr:row>23</xdr:row>
      <xdr:rowOff>121498</xdr:rowOff>
    </xdr:from>
    <xdr:to>
      <xdr:col>1</xdr:col>
      <xdr:colOff>1409700</xdr:colOff>
      <xdr:row>27</xdr:row>
      <xdr:rowOff>9525</xdr:rowOff>
    </xdr:to>
    <xdr:sp macro="" textlink="'Data 1'!F90">
      <xdr:nvSpPr>
        <xdr:cNvPr id="58" name="CuadroTexto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854770" y="5141173"/>
          <a:ext cx="735905" cy="65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4020EBC-8E60-4006-A2EB-C2E67EC87E0E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Islas Canarias 7.945 GWh -10,5 %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597500</xdr:colOff>
      <xdr:row>25</xdr:row>
      <xdr:rowOff>159357</xdr:rowOff>
    </xdr:from>
    <xdr:to>
      <xdr:col>6</xdr:col>
      <xdr:colOff>9525</xdr:colOff>
      <xdr:row>28</xdr:row>
      <xdr:rowOff>44646</xdr:rowOff>
    </xdr:to>
    <xdr:sp macro="" textlink="'Data 1'!F95">
      <xdr:nvSpPr>
        <xdr:cNvPr id="59" name="CuadroTexto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483575" y="5560032"/>
          <a:ext cx="612175" cy="456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6ED52E9-84D5-43B8-8A23-2AD50BE6E63B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Ceuta 199 GWh -3,3 %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495300</xdr:colOff>
      <xdr:row>26</xdr:row>
      <xdr:rowOff>85725</xdr:rowOff>
    </xdr:from>
    <xdr:to>
      <xdr:col>8</xdr:col>
      <xdr:colOff>38100</xdr:colOff>
      <xdr:row>28</xdr:row>
      <xdr:rowOff>161923</xdr:rowOff>
    </xdr:to>
    <xdr:sp macro="" textlink="'Data 1'!F100">
      <xdr:nvSpPr>
        <xdr:cNvPr id="60" name="CuadroTexto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4581525" y="5676900"/>
          <a:ext cx="65722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0FE9517-4787-40F9-B9B2-D9F3F81203C4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Melilla 208 GWh -1,4 %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19050</xdr:colOff>
      <xdr:row>0</xdr:row>
      <xdr:rowOff>171450</xdr:rowOff>
    </xdr:from>
    <xdr:to>
      <xdr:col>1</xdr:col>
      <xdr:colOff>906462</xdr:colOff>
      <xdr:row>1</xdr:row>
      <xdr:rowOff>180975</xdr:rowOff>
    </xdr:to>
    <xdr:pic>
      <xdr:nvPicPr>
        <xdr:cNvPr id="61" name="Picture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</xdr:colOff>
      <xdr:row>2</xdr:row>
      <xdr:rowOff>34290</xdr:rowOff>
    </xdr:from>
    <xdr:to>
      <xdr:col>12</xdr:col>
      <xdr:colOff>9119</xdr:colOff>
      <xdr:row>2</xdr:row>
      <xdr:rowOff>34290</xdr:rowOff>
    </xdr:to>
    <xdr:sp macro="" textlink="">
      <xdr:nvSpPr>
        <xdr:cNvPr id="62" name="Line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H="1">
          <a:off x="198119" y="491490"/>
          <a:ext cx="78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168813</xdr:colOff>
      <xdr:row>17</xdr:row>
      <xdr:rowOff>179133</xdr:rowOff>
    </xdr:from>
    <xdr:to>
      <xdr:col>8</xdr:col>
      <xdr:colOff>370998</xdr:colOff>
      <xdr:row>22</xdr:row>
      <xdr:rowOff>19469</xdr:rowOff>
    </xdr:to>
    <xdr:sp macro="" textlink="">
      <xdr:nvSpPr>
        <xdr:cNvPr id="2" name="Murci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>
          <a:off x="4826538" y="4055808"/>
          <a:ext cx="745110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31869B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519139</xdr:colOff>
      <xdr:row>11</xdr:row>
      <xdr:rowOff>157600</xdr:rowOff>
    </xdr:from>
    <xdr:to>
      <xdr:col>9</xdr:col>
      <xdr:colOff>242486</xdr:colOff>
      <xdr:row>20</xdr:row>
      <xdr:rowOff>98620</xdr:rowOff>
    </xdr:to>
    <xdr:sp macro="" textlink="">
      <xdr:nvSpPr>
        <xdr:cNvPr id="3" name="Comunidad Valencian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/>
        </xdr:cNvSpPr>
      </xdr:nvSpPr>
      <xdr:spPr bwMode="auto">
        <a:xfrm>
          <a:off x="5176864" y="2900800"/>
          <a:ext cx="904447" cy="1645995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31869B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190285</xdr:colOff>
      <xdr:row>25</xdr:row>
      <xdr:rowOff>21862</xdr:rowOff>
    </xdr:from>
    <xdr:to>
      <xdr:col>4</xdr:col>
      <xdr:colOff>191759</xdr:colOff>
      <xdr:row>25</xdr:row>
      <xdr:rowOff>30480</xdr:rowOff>
    </xdr:to>
    <xdr:sp macro="" textlink="">
      <xdr:nvSpPr>
        <xdr:cNvPr id="4" name="Ceut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3076360" y="5422537"/>
          <a:ext cx="1474" cy="8618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144735</xdr:colOff>
      <xdr:row>26</xdr:row>
      <xdr:rowOff>59001</xdr:rowOff>
    </xdr:from>
    <xdr:to>
      <xdr:col>6</xdr:col>
      <xdr:colOff>146986</xdr:colOff>
      <xdr:row>26</xdr:row>
      <xdr:rowOff>61195</xdr:rowOff>
    </xdr:to>
    <xdr:sp macro="" textlink="">
      <xdr:nvSpPr>
        <xdr:cNvPr id="5" name="Melill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230960" y="5650176"/>
          <a:ext cx="2251" cy="2194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381223</xdr:colOff>
      <xdr:row>4</xdr:row>
      <xdr:rowOff>584414</xdr:rowOff>
    </xdr:from>
    <xdr:to>
      <xdr:col>7</xdr:col>
      <xdr:colOff>416989</xdr:colOff>
      <xdr:row>14</xdr:row>
      <xdr:rowOff>35020</xdr:rowOff>
    </xdr:to>
    <xdr:sp macro="" textlink="">
      <xdr:nvSpPr>
        <xdr:cNvPr id="6" name="Castilla Leó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/>
        </xdr:cNvSpPr>
      </xdr:nvSpPr>
      <xdr:spPr bwMode="auto">
        <a:xfrm>
          <a:off x="2724373" y="1584539"/>
          <a:ext cx="2350341" cy="176518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204646</xdr:colOff>
      <xdr:row>4</xdr:row>
      <xdr:rowOff>468086</xdr:rowOff>
    </xdr:from>
    <xdr:to>
      <xdr:col>7</xdr:col>
      <xdr:colOff>370839</xdr:colOff>
      <xdr:row>7</xdr:row>
      <xdr:rowOff>15398</xdr:rowOff>
    </xdr:to>
    <xdr:sp macro="" textlink="">
      <xdr:nvSpPr>
        <xdr:cNvPr id="7" name="País Vas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/>
        </xdr:cNvSpPr>
      </xdr:nvSpPr>
      <xdr:spPr bwMode="auto">
        <a:xfrm>
          <a:off x="4290871" y="1468211"/>
          <a:ext cx="737693" cy="528387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540022</xdr:colOff>
      <xdr:row>10</xdr:row>
      <xdr:rowOff>101952</xdr:rowOff>
    </xdr:from>
    <xdr:to>
      <xdr:col>8</xdr:col>
      <xdr:colOff>266668</xdr:colOff>
      <xdr:row>20</xdr:row>
      <xdr:rowOff>33398</xdr:rowOff>
    </xdr:to>
    <xdr:sp macro="" textlink="">
      <xdr:nvSpPr>
        <xdr:cNvPr id="8" name="Castilla La-Manch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/>
        </xdr:cNvSpPr>
      </xdr:nvSpPr>
      <xdr:spPr bwMode="auto">
        <a:xfrm>
          <a:off x="3426097" y="2654652"/>
          <a:ext cx="2041221" cy="182692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377901</xdr:colOff>
      <xdr:row>6</xdr:row>
      <xdr:rowOff>129313</xdr:rowOff>
    </xdr:from>
    <xdr:to>
      <xdr:col>7</xdr:col>
      <xdr:colOff>435618</xdr:colOff>
      <xdr:row>8</xdr:row>
      <xdr:rowOff>135766</xdr:rowOff>
    </xdr:to>
    <xdr:sp macro="" textlink="">
      <xdr:nvSpPr>
        <xdr:cNvPr id="9" name="La Rioj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/>
        </xdr:cNvSpPr>
      </xdr:nvSpPr>
      <xdr:spPr bwMode="auto">
        <a:xfrm>
          <a:off x="4464126" y="1920013"/>
          <a:ext cx="629217" cy="387453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34761</xdr:colOff>
      <xdr:row>4</xdr:row>
      <xdr:rowOff>529263</xdr:rowOff>
    </xdr:from>
    <xdr:to>
      <xdr:col>8</xdr:col>
      <xdr:colOff>293939</xdr:colOff>
      <xdr:row>8</xdr:row>
      <xdr:rowOff>135766</xdr:rowOff>
    </xdr:to>
    <xdr:sp macro="" textlink="">
      <xdr:nvSpPr>
        <xdr:cNvPr id="10" name="Navarr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/>
        </xdr:cNvSpPr>
      </xdr:nvSpPr>
      <xdr:spPr bwMode="auto">
        <a:xfrm>
          <a:off x="4692486" y="1529388"/>
          <a:ext cx="802103" cy="778078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2</xdr:col>
      <xdr:colOff>42131</xdr:colOff>
      <xdr:row>4</xdr:row>
      <xdr:rowOff>244224</xdr:rowOff>
    </xdr:from>
    <xdr:to>
      <xdr:col>3</xdr:col>
      <xdr:colOff>521191</xdr:colOff>
      <xdr:row>8</xdr:row>
      <xdr:rowOff>186520</xdr:rowOff>
    </xdr:to>
    <xdr:sp macro="" textlink="">
      <xdr:nvSpPr>
        <xdr:cNvPr id="11" name="Galici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/>
        </xdr:cNvSpPr>
      </xdr:nvSpPr>
      <xdr:spPr bwMode="auto">
        <a:xfrm>
          <a:off x="1804256" y="1244349"/>
          <a:ext cx="1060085" cy="1113871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377152</xdr:colOff>
      <xdr:row>4</xdr:row>
      <xdr:rowOff>338935</xdr:rowOff>
    </xdr:from>
    <xdr:to>
      <xdr:col>5</xdr:col>
      <xdr:colOff>344417</xdr:colOff>
      <xdr:row>5</xdr:row>
      <xdr:rowOff>186583</xdr:rowOff>
    </xdr:to>
    <xdr:sp macro="" textlink="">
      <xdr:nvSpPr>
        <xdr:cNvPr id="12" name="Asturias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/>
        </xdr:cNvSpPr>
      </xdr:nvSpPr>
      <xdr:spPr bwMode="auto">
        <a:xfrm>
          <a:off x="2720302" y="1339060"/>
          <a:ext cx="1148365" cy="447723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195131</xdr:colOff>
      <xdr:row>4</xdr:row>
      <xdr:rowOff>434552</xdr:rowOff>
    </xdr:from>
    <xdr:to>
      <xdr:col>6</xdr:col>
      <xdr:colOff>346441</xdr:colOff>
      <xdr:row>6</xdr:row>
      <xdr:rowOff>77653</xdr:rowOff>
    </xdr:to>
    <xdr:sp macro="" textlink="">
      <xdr:nvSpPr>
        <xdr:cNvPr id="13" name="Cantabri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/>
        </xdr:cNvSpPr>
      </xdr:nvSpPr>
      <xdr:spPr bwMode="auto">
        <a:xfrm>
          <a:off x="3719381" y="1434677"/>
          <a:ext cx="713285" cy="433676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129917</xdr:colOff>
      <xdr:row>18</xdr:row>
      <xdr:rowOff>22776</xdr:rowOff>
    </xdr:from>
    <xdr:to>
      <xdr:col>7</xdr:col>
      <xdr:colOff>494226</xdr:colOff>
      <xdr:row>26</xdr:row>
      <xdr:rowOff>39978</xdr:rowOff>
    </xdr:to>
    <xdr:sp macro="" textlink="">
      <xdr:nvSpPr>
        <xdr:cNvPr id="14" name="Andalucí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/>
        </xdr:cNvSpPr>
      </xdr:nvSpPr>
      <xdr:spPr bwMode="auto">
        <a:xfrm>
          <a:off x="2473067" y="4089951"/>
          <a:ext cx="2678884" cy="154120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130603</xdr:colOff>
      <xdr:row>12</xdr:row>
      <xdr:rowOff>173596</xdr:rowOff>
    </xdr:from>
    <xdr:to>
      <xdr:col>5</xdr:col>
      <xdr:colOff>264659</xdr:colOff>
      <xdr:row>20</xdr:row>
      <xdr:rowOff>72760</xdr:rowOff>
    </xdr:to>
    <xdr:sp macro="" textlink="">
      <xdr:nvSpPr>
        <xdr:cNvPr id="15" name="Extremadur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/>
        </xdr:cNvSpPr>
      </xdr:nvSpPr>
      <xdr:spPr bwMode="auto">
        <a:xfrm>
          <a:off x="2473753" y="3107296"/>
          <a:ext cx="1315156" cy="1413639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300108</xdr:colOff>
      <xdr:row>10</xdr:row>
      <xdr:rowOff>175753</xdr:rowOff>
    </xdr:from>
    <xdr:to>
      <xdr:col>6</xdr:col>
      <xdr:colOff>375160</xdr:colOff>
      <xdr:row>14</xdr:row>
      <xdr:rowOff>128388</xdr:rowOff>
    </xdr:to>
    <xdr:sp macro="" textlink="">
      <xdr:nvSpPr>
        <xdr:cNvPr id="16" name="Madri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/>
        </xdr:cNvSpPr>
      </xdr:nvSpPr>
      <xdr:spPr bwMode="auto">
        <a:xfrm>
          <a:off x="3824358" y="2728453"/>
          <a:ext cx="637027" cy="71463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9</xdr:col>
      <xdr:colOff>37330</xdr:colOff>
      <xdr:row>5</xdr:row>
      <xdr:rowOff>153049</xdr:rowOff>
    </xdr:from>
    <xdr:to>
      <xdr:col>10</xdr:col>
      <xdr:colOff>713259</xdr:colOff>
      <xdr:row>12</xdr:row>
      <xdr:rowOff>122842</xdr:rowOff>
    </xdr:to>
    <xdr:sp macro="" textlink="">
      <xdr:nvSpPr>
        <xdr:cNvPr id="17" name="Cataluñ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/>
        </xdr:cNvSpPr>
      </xdr:nvSpPr>
      <xdr:spPr bwMode="auto">
        <a:xfrm>
          <a:off x="5876155" y="1753249"/>
          <a:ext cx="1314104" cy="1303293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1</xdr:col>
      <xdr:colOff>351153</xdr:colOff>
      <xdr:row>25</xdr:row>
      <xdr:rowOff>83014</xdr:rowOff>
    </xdr:from>
    <xdr:to>
      <xdr:col>3</xdr:col>
      <xdr:colOff>8445</xdr:colOff>
      <xdr:row>28</xdr:row>
      <xdr:rowOff>148660</xdr:rowOff>
    </xdr:to>
    <xdr:grpSp>
      <xdr:nvGrpSpPr>
        <xdr:cNvPr id="18" name="Islas Canarias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532128" y="5483689"/>
          <a:ext cx="1819467" cy="637146"/>
          <a:chOff x="981075" y="5364163"/>
          <a:chExt cx="1685925" cy="704850"/>
        </a:xfrm>
        <a:solidFill>
          <a:srgbClr val="92CDDC"/>
        </a:solidFill>
      </xdr:grpSpPr>
      <xdr:sp macro="" textlink="">
        <xdr:nvSpPr>
          <xdr:cNvPr id="19" name="Freeform 9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0" name="Freeform 10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Freeform 11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Freeform 12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" name="Freeform 13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" name="Freeform 14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Freeform 15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6" name="Freeform 16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7" name="Freeform 17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116829</xdr:colOff>
      <xdr:row>26</xdr:row>
      <xdr:rowOff>142380</xdr:rowOff>
    </xdr:from>
    <xdr:to>
      <xdr:col>7</xdr:col>
      <xdr:colOff>405300</xdr:colOff>
      <xdr:row>29</xdr:row>
      <xdr:rowOff>121925</xdr:rowOff>
    </xdr:to>
    <xdr:grpSp>
      <xdr:nvGrpSpPr>
        <xdr:cNvPr id="28" name="123 Grupo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3002904" y="5733555"/>
          <a:ext cx="2060121" cy="551045"/>
          <a:chOff x="3028950" y="5690666"/>
          <a:chExt cx="2219325" cy="609600"/>
        </a:xfrm>
      </xdr:grpSpPr>
      <xdr:sp macro="" textlink="">
        <xdr:nvSpPr>
          <xdr:cNvPr id="29" name="Freeform 6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0" name="Freeform 7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10</xdr:col>
      <xdr:colOff>101801</xdr:colOff>
      <xdr:row>13</xdr:row>
      <xdr:rowOff>109103</xdr:rowOff>
    </xdr:from>
    <xdr:to>
      <xdr:col>11</xdr:col>
      <xdr:colOff>683674</xdr:colOff>
      <xdr:row>18</xdr:row>
      <xdr:rowOff>54552</xdr:rowOff>
    </xdr:to>
    <xdr:grpSp>
      <xdr:nvGrpSpPr>
        <xdr:cNvPr id="31" name="Islas Baleares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pSpPr/>
      </xdr:nvGrpSpPr>
      <xdr:grpSpPr>
        <a:xfrm>
          <a:off x="6578801" y="3233303"/>
          <a:ext cx="1343873" cy="888424"/>
          <a:chOff x="6715125" y="2963863"/>
          <a:chExt cx="1447800" cy="981075"/>
        </a:xfrm>
        <a:solidFill>
          <a:srgbClr val="92CDDC"/>
        </a:solidFill>
      </xdr:grpSpPr>
      <xdr:sp macro="" textlink="">
        <xdr:nvSpPr>
          <xdr:cNvPr id="32" name="Freeform 18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3" name="Freeform 19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4" name="Freeform 20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5" name="Freeform 21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6" name="Freeform 22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7" name="Freeform 23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7</xdr:col>
      <xdr:colOff>217734</xdr:colOff>
      <xdr:row>5</xdr:row>
      <xdr:rowOff>173904</xdr:rowOff>
    </xdr:from>
    <xdr:to>
      <xdr:col>9</xdr:col>
      <xdr:colOff>258346</xdr:colOff>
      <xdr:row>14</xdr:row>
      <xdr:rowOff>124320</xdr:rowOff>
    </xdr:to>
    <xdr:grpSp>
      <xdr:nvGrpSpPr>
        <xdr:cNvPr id="38" name="Aragón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4875459" y="1774104"/>
          <a:ext cx="1221712" cy="1664916"/>
          <a:chOff x="5591175" y="952500"/>
          <a:chExt cx="1314450" cy="1838325"/>
        </a:xfrm>
        <a:solidFill>
          <a:srgbClr val="31869B"/>
        </a:solidFill>
      </xdr:grpSpPr>
      <xdr:sp macro="" textlink="">
        <xdr:nvSpPr>
          <xdr:cNvPr id="39" name="Aragón2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40" name="Freeform 75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2</xdr:col>
      <xdr:colOff>267062</xdr:colOff>
      <xdr:row>4</xdr:row>
      <xdr:rowOff>581105</xdr:rowOff>
    </xdr:from>
    <xdr:to>
      <xdr:col>3</xdr:col>
      <xdr:colOff>446659</xdr:colOff>
      <xdr:row>7</xdr:row>
      <xdr:rowOff>179903</xdr:rowOff>
    </xdr:to>
    <xdr:sp macro="" textlink="'Data 1'!F119">
      <xdr:nvSpPr>
        <xdr:cNvPr id="41" name="CuadroTexto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2029187" y="1581230"/>
          <a:ext cx="760622" cy="579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5C345A6-0279-497C-8001-C58C38C27C1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Galicia 10.882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466654</xdr:colOff>
      <xdr:row>3</xdr:row>
      <xdr:rowOff>192406</xdr:rowOff>
    </xdr:from>
    <xdr:to>
      <xdr:col>5</xdr:col>
      <xdr:colOff>83331</xdr:colOff>
      <xdr:row>4</xdr:row>
      <xdr:rowOff>434503</xdr:rowOff>
    </xdr:to>
    <xdr:sp macro="" textlink="'Data 1'!F109">
      <xdr:nvSpPr>
        <xdr:cNvPr id="42" name="CuadroTexto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2809804" y="906781"/>
          <a:ext cx="797777" cy="527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12320A8-B647-4AE1-B911-80AE8FB7A55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Asturias 4.511 MW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262960</xdr:colOff>
      <xdr:row>4</xdr:row>
      <xdr:rowOff>72925</xdr:rowOff>
    </xdr:from>
    <xdr:to>
      <xdr:col>6</xdr:col>
      <xdr:colOff>436466</xdr:colOff>
      <xdr:row>4</xdr:row>
      <xdr:rowOff>596333</xdr:rowOff>
    </xdr:to>
    <xdr:sp macro="" textlink="'Data 1'!F113">
      <xdr:nvSpPr>
        <xdr:cNvPr id="43" name="CuadroTexto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3787210" y="1073050"/>
          <a:ext cx="735481" cy="523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465775F5-F9A5-4FD3-AC9D-C12E0F6BEA55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Cantabria 800 MW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444102</xdr:colOff>
      <xdr:row>4</xdr:row>
      <xdr:rowOff>91961</xdr:rowOff>
    </xdr:from>
    <xdr:to>
      <xdr:col>8</xdr:col>
      <xdr:colOff>114300</xdr:colOff>
      <xdr:row>5</xdr:row>
      <xdr:rowOff>5776</xdr:rowOff>
    </xdr:to>
    <xdr:sp macro="" textlink="'Data 1'!F125">
      <xdr:nvSpPr>
        <xdr:cNvPr id="44" name="CuadroTexto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4530327" y="1092086"/>
          <a:ext cx="784623" cy="51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6D30CE-4DDD-4E31-B4FA-EE12C0F173D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País Vasco 2.922 MW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8</xdr:col>
      <xdr:colOff>8291</xdr:colOff>
      <xdr:row>4</xdr:row>
      <xdr:rowOff>272323</xdr:rowOff>
    </xdr:from>
    <xdr:to>
      <xdr:col>9</xdr:col>
      <xdr:colOff>142876</xdr:colOff>
      <xdr:row>6</xdr:row>
      <xdr:rowOff>38100</xdr:rowOff>
    </xdr:to>
    <xdr:sp macro="" textlink="'Data 1'!F124">
      <xdr:nvSpPr>
        <xdr:cNvPr id="45" name="Cuadro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5208941" y="1272448"/>
          <a:ext cx="772760" cy="556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78327C35-3FB6-4B22-8058-E6B37223E02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Navarra 3.137 MW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538296</xdr:colOff>
      <xdr:row>6</xdr:row>
      <xdr:rowOff>122898</xdr:rowOff>
    </xdr:from>
    <xdr:to>
      <xdr:col>7</xdr:col>
      <xdr:colOff>160671</xdr:colOff>
      <xdr:row>9</xdr:row>
      <xdr:rowOff>74804</xdr:rowOff>
    </xdr:to>
    <xdr:sp macro="" textlink="'Data 1'!F120">
      <xdr:nvSpPr>
        <xdr:cNvPr id="46" name="CuadroTexto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4062546" y="1913598"/>
          <a:ext cx="755850" cy="523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4CD955D-091A-4548-8417-14DA4CBB469C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La Rioja 1.410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472190</xdr:colOff>
      <xdr:row>8</xdr:row>
      <xdr:rowOff>189250</xdr:rowOff>
    </xdr:from>
    <xdr:to>
      <xdr:col>9</xdr:col>
      <xdr:colOff>55533</xdr:colOff>
      <xdr:row>11</xdr:row>
      <xdr:rowOff>169706</xdr:rowOff>
    </xdr:to>
    <xdr:sp macro="" textlink="'Data 1'!F108">
      <xdr:nvSpPr>
        <xdr:cNvPr id="47" name="CuadroTexto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5129915" y="2360950"/>
          <a:ext cx="764443" cy="551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C3552A1-391D-4C46-80DD-1641CD00F0CA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Aragón 9.183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244572</xdr:colOff>
      <xdr:row>7</xdr:row>
      <xdr:rowOff>132322</xdr:rowOff>
    </xdr:from>
    <xdr:to>
      <xdr:col>10</xdr:col>
      <xdr:colOff>365748</xdr:colOff>
      <xdr:row>10</xdr:row>
      <xdr:rowOff>23325</xdr:rowOff>
    </xdr:to>
    <xdr:sp macro="" textlink="'Data 1'!F116">
      <xdr:nvSpPr>
        <xdr:cNvPr id="48" name="CuadroTexto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6083397" y="2113522"/>
          <a:ext cx="759351" cy="462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4AE2D8F-B784-40BF-885C-D32C82605A3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Cataluña 11.855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237896</xdr:colOff>
      <xdr:row>9</xdr:row>
      <xdr:rowOff>17784</xdr:rowOff>
    </xdr:from>
    <xdr:to>
      <xdr:col>5</xdr:col>
      <xdr:colOff>404901</xdr:colOff>
      <xdr:row>11</xdr:row>
      <xdr:rowOff>93575</xdr:rowOff>
    </xdr:to>
    <xdr:sp macro="" textlink="'Data 1'!F115">
      <xdr:nvSpPr>
        <xdr:cNvPr id="49" name="CuadroTexto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3123971" y="2379984"/>
          <a:ext cx="80518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AEE2CA0-1C65-432F-90C4-9B9172D6D3E1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 León 12.195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329580</xdr:colOff>
      <xdr:row>11</xdr:row>
      <xdr:rowOff>160302</xdr:rowOff>
    </xdr:from>
    <xdr:to>
      <xdr:col>6</xdr:col>
      <xdr:colOff>428625</xdr:colOff>
      <xdr:row>14</xdr:row>
      <xdr:rowOff>45593</xdr:rowOff>
    </xdr:to>
    <xdr:sp macro="" textlink="'Data 1'!F121">
      <xdr:nvSpPr>
        <xdr:cNvPr id="50" name="CuadroTexto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3853830" y="2903502"/>
          <a:ext cx="66102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557B90D-F953-4F58-8D72-F9158AB2F7D3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Madrid 457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383779</xdr:colOff>
      <xdr:row>15</xdr:row>
      <xdr:rowOff>16633</xdr:rowOff>
    </xdr:from>
    <xdr:to>
      <xdr:col>5</xdr:col>
      <xdr:colOff>64506</xdr:colOff>
      <xdr:row>18</xdr:row>
      <xdr:rowOff>84331</xdr:rowOff>
    </xdr:to>
    <xdr:sp macro="" textlink="'Data 1'!F118">
      <xdr:nvSpPr>
        <xdr:cNvPr id="51" name="CuadroTexto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2726929" y="3521833"/>
          <a:ext cx="861827" cy="629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BFA9D33-D70B-449E-9204-BCC1F6F55A0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Extremadura 7.805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520248</xdr:colOff>
      <xdr:row>15</xdr:row>
      <xdr:rowOff>0</xdr:rowOff>
    </xdr:from>
    <xdr:to>
      <xdr:col>7</xdr:col>
      <xdr:colOff>209551</xdr:colOff>
      <xdr:row>18</xdr:row>
      <xdr:rowOff>17684</xdr:rowOff>
    </xdr:to>
    <xdr:sp macro="" textlink="'Data 1'!F114">
      <xdr:nvSpPr>
        <xdr:cNvPr id="52" name="CuadroTexto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4044498" y="3505200"/>
          <a:ext cx="822778" cy="57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812424E-6873-49A2-8CEE-1B40E94030A8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Castilla-La Mancha 9.292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568654</xdr:colOff>
      <xdr:row>20</xdr:row>
      <xdr:rowOff>17309</xdr:rowOff>
    </xdr:from>
    <xdr:to>
      <xdr:col>6</xdr:col>
      <xdr:colOff>219075</xdr:colOff>
      <xdr:row>23</xdr:row>
      <xdr:rowOff>47625</xdr:rowOff>
    </xdr:to>
    <xdr:sp macro="" textlink="'Data 1'!F107">
      <xdr:nvSpPr>
        <xdr:cNvPr id="53" name="CuadroTexto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3454729" y="4465484"/>
          <a:ext cx="850571" cy="601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6E1E82A-FA08-4BA4-A1B3-E60129C8E88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Andalucía 17.376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233729</xdr:colOff>
      <xdr:row>18</xdr:row>
      <xdr:rowOff>179540</xdr:rowOff>
    </xdr:from>
    <xdr:to>
      <xdr:col>8</xdr:col>
      <xdr:colOff>397959</xdr:colOff>
      <xdr:row>22</xdr:row>
      <xdr:rowOff>102726</xdr:rowOff>
    </xdr:to>
    <xdr:sp macro="" textlink="'Data 1'!F123">
      <xdr:nvSpPr>
        <xdr:cNvPr id="54" name="CuadroTexto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4891454" y="4246715"/>
          <a:ext cx="707155" cy="685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2923A1F-D8DB-4224-BA3F-F679C2FCB88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Murcia 5.136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543115</xdr:colOff>
      <xdr:row>14</xdr:row>
      <xdr:rowOff>16788</xdr:rowOff>
    </xdr:from>
    <xdr:to>
      <xdr:col>10</xdr:col>
      <xdr:colOff>152400</xdr:colOff>
      <xdr:row>17</xdr:row>
      <xdr:rowOff>179651</xdr:rowOff>
    </xdr:to>
    <xdr:sp macro="" textlink="'Data 1'!F111">
      <xdr:nvSpPr>
        <xdr:cNvPr id="55" name="CuadroTexto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5743765" y="3331488"/>
          <a:ext cx="885635" cy="724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EBCB1A8-6A4D-4B3E-8BD6-5AB7402E878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Comunidad Valenciana 8.265 MW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10</xdr:col>
      <xdr:colOff>158415</xdr:colOff>
      <xdr:row>11</xdr:row>
      <xdr:rowOff>188638</xdr:rowOff>
    </xdr:from>
    <xdr:to>
      <xdr:col>11</xdr:col>
      <xdr:colOff>228601</xdr:colOff>
      <xdr:row>14</xdr:row>
      <xdr:rowOff>188126</xdr:rowOff>
    </xdr:to>
    <xdr:sp macro="" textlink="'Data 1'!F110">
      <xdr:nvSpPr>
        <xdr:cNvPr id="56" name="CuadroTexto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6635415" y="2931838"/>
          <a:ext cx="832186" cy="57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A940440-7168-4B92-AD10-34095BC3A75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Islas Baleares 2.039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673795</xdr:colOff>
      <xdr:row>23</xdr:row>
      <xdr:rowOff>121498</xdr:rowOff>
    </xdr:from>
    <xdr:to>
      <xdr:col>1</xdr:col>
      <xdr:colOff>1409700</xdr:colOff>
      <xdr:row>27</xdr:row>
      <xdr:rowOff>9525</xdr:rowOff>
    </xdr:to>
    <xdr:sp macro="" textlink="'Data 1'!F112">
      <xdr:nvSpPr>
        <xdr:cNvPr id="57" name="CuadroTexto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854770" y="5141173"/>
          <a:ext cx="735905" cy="65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9CD1A35-87F9-455D-AAF0-FB8923F0B6FF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Islas Canarias 3.029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597501</xdr:colOff>
      <xdr:row>25</xdr:row>
      <xdr:rowOff>159357</xdr:rowOff>
    </xdr:from>
    <xdr:to>
      <xdr:col>5</xdr:col>
      <xdr:colOff>523876</xdr:colOff>
      <xdr:row>28</xdr:row>
      <xdr:rowOff>44646</xdr:rowOff>
    </xdr:to>
    <xdr:sp macro="" textlink="'Data 1'!F117">
      <xdr:nvSpPr>
        <xdr:cNvPr id="58" name="CuadroTexto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3483576" y="5560032"/>
          <a:ext cx="564550" cy="456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D0DCF5E-B9B5-42BE-9EE2-ECDE28D99D61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Ceuta 91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495300</xdr:colOff>
      <xdr:row>26</xdr:row>
      <xdr:rowOff>85725</xdr:rowOff>
    </xdr:from>
    <xdr:to>
      <xdr:col>7</xdr:col>
      <xdr:colOff>523875</xdr:colOff>
      <xdr:row>28</xdr:row>
      <xdr:rowOff>161923</xdr:rowOff>
    </xdr:to>
    <xdr:sp macro="" textlink="'Data 1'!F122">
      <xdr:nvSpPr>
        <xdr:cNvPr id="59" name="CuadroTexto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4581525" y="5676900"/>
          <a:ext cx="60007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5BFA042-5722-411D-8D2F-71D1742ADA46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Melilla 78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19050</xdr:colOff>
      <xdr:row>0</xdr:row>
      <xdr:rowOff>171450</xdr:rowOff>
    </xdr:from>
    <xdr:to>
      <xdr:col>1</xdr:col>
      <xdr:colOff>906462</xdr:colOff>
      <xdr:row>1</xdr:row>
      <xdr:rowOff>180975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7412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</xdr:colOff>
      <xdr:row>2</xdr:row>
      <xdr:rowOff>34290</xdr:rowOff>
    </xdr:from>
    <xdr:to>
      <xdr:col>12</xdr:col>
      <xdr:colOff>9119</xdr:colOff>
      <xdr:row>2</xdr:row>
      <xdr:rowOff>34290</xdr:rowOff>
    </xdr:to>
    <xdr:sp macro="" textlink="">
      <xdr:nvSpPr>
        <xdr:cNvPr id="61" name="Line 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ShapeType="1"/>
        </xdr:cNvSpPr>
      </xdr:nvSpPr>
      <xdr:spPr bwMode="auto">
        <a:xfrm flipH="1">
          <a:off x="198119" y="491490"/>
          <a:ext cx="78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1428750</xdr:colOff>
      <xdr:row>6</xdr:row>
      <xdr:rowOff>30480</xdr:rowOff>
    </xdr:from>
    <xdr:to>
      <xdr:col>5</xdr:col>
      <xdr:colOff>13335</xdr:colOff>
      <xdr:row>24</xdr:row>
      <xdr:rowOff>9525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1112519</xdr:colOff>
      <xdr:row>4</xdr:row>
      <xdr:rowOff>40005</xdr:rowOff>
    </xdr:from>
    <xdr:to>
      <xdr:col>6</xdr:col>
      <xdr:colOff>600074</xdr:colOff>
      <xdr:row>22</xdr:row>
      <xdr:rowOff>39030</xdr:rowOff>
    </xdr:to>
    <xdr:graphicFrame macro="">
      <xdr:nvGraphicFramePr>
        <xdr:cNvPr id="5" name="10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0.01824</cdr:x>
      <cdr:y>0.20208</cdr:y>
    </cdr:from>
    <cdr:to>
      <cdr:x>0.11899</cdr:x>
      <cdr:y>0.31272</cdr:y>
    </cdr:to>
    <cdr:sp macro="" textlink="'Data 3'!$F$23">
      <cdr:nvSpPr>
        <cdr:cNvPr id="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3138" y="590722"/>
          <a:ext cx="735279" cy="323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FB74A0C4-4D2B-41E9-A21E-F84C658B0387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43.863</a:t>
          </a:fld>
          <a:endParaRPr lang="en-U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0.18223</cdr:x>
      <cdr:y>0.19702</cdr:y>
    </cdr:from>
    <cdr:to>
      <cdr:x>0.28298</cdr:x>
      <cdr:y>0.30768</cdr:y>
    </cdr:to>
    <cdr:sp macro="" textlink="'Data 3'!$G$23">
      <cdr:nvSpPr>
        <cdr:cNvPr id="5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29946" y="575930"/>
          <a:ext cx="735279" cy="323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7DB445E9-BCA0-44EC-8F17-FDDB9DE6487F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44.006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0.35058</cdr:x>
      <cdr:y>0.18737</cdr:y>
    </cdr:from>
    <cdr:to>
      <cdr:x>0.45133</cdr:x>
      <cdr:y>0.29804</cdr:y>
    </cdr:to>
    <cdr:sp macro="" textlink="'Data 3'!$H$23">
      <cdr:nvSpPr>
        <cdr:cNvPr id="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58574" y="547721"/>
          <a:ext cx="735279" cy="323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639524FC-6D5B-4961-AF5E-ED5B066E876A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44.255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0.51103</cdr:x>
      <cdr:y>0.18949</cdr:y>
    </cdr:from>
    <cdr:to>
      <cdr:x>0.61178</cdr:x>
      <cdr:y>0.30016</cdr:y>
    </cdr:to>
    <cdr:sp macro="" textlink="'Data 3'!$I$23">
      <cdr:nvSpPr>
        <cdr:cNvPr id="7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29547" y="553919"/>
          <a:ext cx="735279" cy="32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CA440B76-FFB1-403F-AD01-1ACB4FC47902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44.437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0.67128</cdr:x>
      <cdr:y>0.18682</cdr:y>
    </cdr:from>
    <cdr:to>
      <cdr:x>0.77203</cdr:x>
      <cdr:y>0.29749</cdr:y>
    </cdr:to>
    <cdr:sp macro="" textlink="'Data 3'!$J$23">
      <cdr:nvSpPr>
        <cdr:cNvPr id="8" name="Text Box 8">
          <a:extLst xmlns:a="http://schemas.openxmlformats.org/drawingml/2006/main">
            <a:ext uri="{FF2B5EF4-FFF2-40B4-BE49-F238E27FC236}">
              <a16:creationId xmlns:a16="http://schemas.microsoft.com/office/drawing/2014/main" id="{030EC3C6-971E-494A-839C-7124EED1029B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899025" y="546100"/>
          <a:ext cx="735279" cy="32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76CF7AE-35B1-45F1-A984-5AD1C0703AD2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44.553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33779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693940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758745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62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7</xdr:col>
      <xdr:colOff>14745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39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2745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54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23</xdr:row>
      <xdr:rowOff>152400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32385</xdr:rowOff>
    </xdr:from>
    <xdr:to>
      <xdr:col>4</xdr:col>
      <xdr:colOff>7044600</xdr:colOff>
      <xdr:row>3</xdr:row>
      <xdr:rowOff>32385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958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3520803</xdr:colOff>
      <xdr:row>15</xdr:row>
      <xdr:rowOff>59870</xdr:rowOff>
    </xdr:from>
    <xdr:to>
      <xdr:col>4</xdr:col>
      <xdr:colOff>3806553</xdr:colOff>
      <xdr:row>16</xdr:row>
      <xdr:rowOff>50346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5378178" y="2545895"/>
          <a:ext cx="285750" cy="1524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2018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3530328</xdr:colOff>
      <xdr:row>17</xdr:row>
      <xdr:rowOff>127679</xdr:rowOff>
    </xdr:from>
    <xdr:to>
      <xdr:col>4</xdr:col>
      <xdr:colOff>3816078</xdr:colOff>
      <xdr:row>18</xdr:row>
      <xdr:rowOff>118155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5387703" y="2937554"/>
          <a:ext cx="285750" cy="1524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2017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3534410</xdr:colOff>
      <xdr:row>20</xdr:row>
      <xdr:rowOff>34699</xdr:rowOff>
    </xdr:from>
    <xdr:to>
      <xdr:col>4</xdr:col>
      <xdr:colOff>3820160</xdr:colOff>
      <xdr:row>21</xdr:row>
      <xdr:rowOff>25174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5391785" y="3330349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2016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3527607</xdr:colOff>
      <xdr:row>12</xdr:row>
      <xdr:rowOff>157163</xdr:rowOff>
    </xdr:from>
    <xdr:to>
      <xdr:col>4</xdr:col>
      <xdr:colOff>3813357</xdr:colOff>
      <xdr:row>13</xdr:row>
      <xdr:rowOff>144462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5384982" y="2157413"/>
          <a:ext cx="285750" cy="1492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t>2019</a:t>
          </a:r>
        </a:p>
        <a:p>
          <a:pPr marL="0" indent="0"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3521255</xdr:colOff>
      <xdr:row>10</xdr:row>
      <xdr:rowOff>91983</xdr:rowOff>
    </xdr:from>
    <xdr:to>
      <xdr:col>4</xdr:col>
      <xdr:colOff>3838574</xdr:colOff>
      <xdr:row>11</xdr:row>
      <xdr:rowOff>85724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>
          <a:spLocks noChangeArrowheads="1"/>
        </xdr:cNvSpPr>
      </xdr:nvSpPr>
      <xdr:spPr bwMode="auto">
        <a:xfrm>
          <a:off x="5378630" y="1768383"/>
          <a:ext cx="317319" cy="15566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4563"/>
              </a:solidFill>
              <a:latin typeface="Arial"/>
              <a:cs typeface="Arial"/>
            </a:rPr>
            <a:t>2020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4</xdr:col>
      <xdr:colOff>4968240</xdr:colOff>
      <xdr:row>25</xdr:row>
      <xdr:rowOff>15240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6825615" y="4120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4</xdr:col>
      <xdr:colOff>76199</xdr:colOff>
      <xdr:row>6</xdr:row>
      <xdr:rowOff>38100</xdr:rowOff>
    </xdr:from>
    <xdr:to>
      <xdr:col>4</xdr:col>
      <xdr:colOff>3627438</xdr:colOff>
      <xdr:row>24</xdr:row>
      <xdr:rowOff>9525</xdr:rowOff>
    </xdr:to>
    <xdr:graphicFrame macro="">
      <xdr:nvGraphicFramePr>
        <xdr:cNvPr id="12" name="GRAF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3833814</xdr:colOff>
      <xdr:row>6</xdr:row>
      <xdr:rowOff>15874</xdr:rowOff>
    </xdr:from>
    <xdr:to>
      <xdr:col>4</xdr:col>
      <xdr:colOff>7040564</xdr:colOff>
      <xdr:row>23</xdr:row>
      <xdr:rowOff>152400</xdr:rowOff>
    </xdr:to>
    <xdr:graphicFrame macro="">
      <xdr:nvGraphicFramePr>
        <xdr:cNvPr id="13" name="Chart 58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6" name="Text Box 103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80081"/>
          <a:ext cx="858857" cy="180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8" name="Text Box 103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80081"/>
          <a:ext cx="858857" cy="180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9" name="Text Box 103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03967"/>
          <a:ext cx="858857" cy="180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0.96669</cdr:y>
    </cdr:from>
    <cdr:to>
      <cdr:x>0.95318</cdr:x>
      <cdr:y>0.98607</cdr:y>
    </cdr:to>
    <cdr:sp macro="" textlink="#REF!">
      <cdr:nvSpPr>
        <cdr:cNvPr id="47120" name="Text Box 104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3717649"/>
          <a:ext cx="858857" cy="18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0.56733</cdr:x>
      <cdr:y>0.33594</cdr:y>
    </cdr:from>
    <cdr:to>
      <cdr:x>0.95524</cdr:x>
      <cdr:y>0.38635</cdr:y>
    </cdr:to>
    <cdr:sp macro="" textlink="'Data 1'!$D$227">
      <cdr:nvSpPr>
        <cdr:cNvPr id="6" name="6 CuadroTexto"/>
        <cdr:cNvSpPr txBox="1"/>
      </cdr:nvSpPr>
      <cdr:spPr>
        <a:xfrm xmlns:a="http://schemas.openxmlformats.org/drawingml/2006/main">
          <a:off x="1918364" y="850087"/>
          <a:ext cx="1311669" cy="127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58CAB72E-6CDB-4961-92F3-83278FA4900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10 de enero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0.61438</cdr:x>
      <cdr:y>0.47421</cdr:y>
    </cdr:from>
    <cdr:to>
      <cdr:x>0.9529</cdr:x>
      <cdr:y>0.53083</cdr:y>
    </cdr:to>
    <cdr:sp macro="" textlink="'Data 1'!$D$226">
      <cdr:nvSpPr>
        <cdr:cNvPr id="7" name="6 CuadroTexto"/>
        <cdr:cNvSpPr txBox="1"/>
      </cdr:nvSpPr>
      <cdr:spPr>
        <a:xfrm xmlns:a="http://schemas.openxmlformats.org/drawingml/2006/main">
          <a:off x="2077433" y="1199968"/>
          <a:ext cx="1144663" cy="143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AA19A6F6-E8DB-475B-8FAC-8C683C4EDBC7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8 de febrero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0.61746</cdr:x>
      <cdr:y>0.61057</cdr:y>
    </cdr:from>
    <cdr:to>
      <cdr:x>0.95511</cdr:x>
      <cdr:y>0.66943</cdr:y>
    </cdr:to>
    <cdr:sp macro="" textlink="'Data 1'!$D$225">
      <cdr:nvSpPr>
        <cdr:cNvPr id="8" name="1 CuadroTexto"/>
        <cdr:cNvSpPr txBox="1"/>
      </cdr:nvSpPr>
      <cdr:spPr>
        <a:xfrm xmlns:a="http://schemas.openxmlformats.org/drawingml/2006/main">
          <a:off x="2087848" y="1545040"/>
          <a:ext cx="1141721" cy="148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7193926E-1EDB-432C-98FF-BD3F18FCEC5E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18 de enero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0.60557</cdr:x>
      <cdr:y>0.74821</cdr:y>
    </cdr:from>
    <cdr:to>
      <cdr:x>0.95994</cdr:x>
      <cdr:y>0.81478</cdr:y>
    </cdr:to>
    <cdr:sp macro="" textlink="'Data 1'!$D$224">
      <cdr:nvSpPr>
        <cdr:cNvPr id="10" name="1 CuadroTexto"/>
        <cdr:cNvSpPr txBox="1"/>
      </cdr:nvSpPr>
      <cdr:spPr>
        <a:xfrm xmlns:a="http://schemas.openxmlformats.org/drawingml/2006/main">
          <a:off x="2047650" y="1893334"/>
          <a:ext cx="1198258" cy="168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FB81B1F-B598-49D8-A3A6-6F670EA3B934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17 de febrero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0.5203</cdr:x>
      <cdr:y>0.24974</cdr:y>
    </cdr:from>
    <cdr:to>
      <cdr:x>0.95718</cdr:x>
      <cdr:y>0.30822</cdr:y>
    </cdr:to>
    <cdr:sp macro="" textlink="'Data 1'!$D$236">
      <cdr:nvSpPr>
        <cdr:cNvPr id="11" name="6 CuadroTexto"/>
        <cdr:cNvSpPr txBox="1"/>
      </cdr:nvSpPr>
      <cdr:spPr>
        <a:xfrm xmlns:a="http://schemas.openxmlformats.org/drawingml/2006/main">
          <a:off x="1759330" y="631952"/>
          <a:ext cx="1477255" cy="147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8A4F7801-F6E3-46DA-8B95-6DCBC19BA5AE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30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0.59391</cdr:x>
      <cdr:y>0.39116</cdr:y>
    </cdr:from>
    <cdr:to>
      <cdr:x>0.95399</cdr:x>
      <cdr:y>0.45546</cdr:y>
    </cdr:to>
    <cdr:sp macro="" textlink="'Data 1'!$D$235">
      <cdr:nvSpPr>
        <cdr:cNvPr id="12" name="6 CuadroTexto"/>
        <cdr:cNvSpPr txBox="1"/>
      </cdr:nvSpPr>
      <cdr:spPr>
        <a:xfrm xmlns:a="http://schemas.openxmlformats.org/drawingml/2006/main">
          <a:off x="2008232" y="989822"/>
          <a:ext cx="1217569" cy="162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B87B560-4196-406E-9CC8-66A09E61CE41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24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0.58545</cdr:x>
      <cdr:y>0.53099</cdr:y>
    </cdr:from>
    <cdr:to>
      <cdr:x>0.95718</cdr:x>
      <cdr:y>0.59034</cdr:y>
    </cdr:to>
    <cdr:sp macro="" textlink="'Data 1'!$D$234">
      <cdr:nvSpPr>
        <cdr:cNvPr id="13" name="6 CuadroTexto"/>
        <cdr:cNvSpPr txBox="1"/>
      </cdr:nvSpPr>
      <cdr:spPr>
        <a:xfrm xmlns:a="http://schemas.openxmlformats.org/drawingml/2006/main">
          <a:off x="1979613" y="1343667"/>
          <a:ext cx="1256971" cy="150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33980D13-5EA9-4000-9EF6-81EDB8B085C4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3 de agosto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0.62486</cdr:x>
      <cdr:y>0.66693</cdr:y>
    </cdr:from>
    <cdr:to>
      <cdr:x>0.95203</cdr:x>
      <cdr:y>0.7352</cdr:y>
    </cdr:to>
    <cdr:sp macro="" textlink="'Data 1'!$D$233">
      <cdr:nvSpPr>
        <cdr:cNvPr id="14" name="6 CuadroTexto"/>
        <cdr:cNvSpPr txBox="1"/>
      </cdr:nvSpPr>
      <cdr:spPr>
        <a:xfrm xmlns:a="http://schemas.openxmlformats.org/drawingml/2006/main">
          <a:off x="2112895" y="1687641"/>
          <a:ext cx="1106284" cy="172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B47F8C7-5738-4FA8-9527-82D076E4C045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13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0.57351</cdr:x>
      <cdr:y>0.80599</cdr:y>
    </cdr:from>
    <cdr:to>
      <cdr:x>0.96101</cdr:x>
      <cdr:y>0.88419</cdr:y>
    </cdr:to>
    <cdr:sp macro="" textlink="'Data 1'!$D$232">
      <cdr:nvSpPr>
        <cdr:cNvPr id="15" name="6 CuadroTexto"/>
        <cdr:cNvSpPr txBox="1"/>
      </cdr:nvSpPr>
      <cdr:spPr>
        <a:xfrm xmlns:a="http://schemas.openxmlformats.org/drawingml/2006/main">
          <a:off x="1939261" y="2039529"/>
          <a:ext cx="1310283" cy="197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F871F13F-A14A-4B8D-98D3-C69FEF8A5650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6 de septiembre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0.56901</cdr:x>
      <cdr:y>0.19573</cdr:y>
    </cdr:from>
    <cdr:to>
      <cdr:x>0.95692</cdr:x>
      <cdr:y>0.24614</cdr:y>
    </cdr:to>
    <cdr:sp macro="" textlink="'Data 1'!$D$228">
      <cdr:nvSpPr>
        <cdr:cNvPr id="16" name="6 CuadroTexto"/>
        <cdr:cNvSpPr txBox="1"/>
      </cdr:nvSpPr>
      <cdr:spPr>
        <a:xfrm xmlns:a="http://schemas.openxmlformats.org/drawingml/2006/main">
          <a:off x="1924050" y="495300"/>
          <a:ext cx="1311669" cy="127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7C78B29-7A13-4906-9EB8-DF71E04B810B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20 de enero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0.03516</cdr:x>
      <cdr:y>0.19565</cdr:y>
    </cdr:from>
    <cdr:to>
      <cdr:x>0.35914</cdr:x>
      <cdr:y>0.2615</cdr:y>
    </cdr:to>
    <cdr:sp macro="" textlink="'Data 1'!$G$228">
      <cdr:nvSpPr>
        <cdr:cNvPr id="2" name="6 CuadroTexto"/>
        <cdr:cNvSpPr txBox="1"/>
      </cdr:nvSpPr>
      <cdr:spPr>
        <a:xfrm xmlns:a="http://schemas.openxmlformats.org/drawingml/2006/main">
          <a:off x="112748" y="494783"/>
          <a:ext cx="1038923" cy="166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4856587-837E-49D6-9DBA-DC913B2399E0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21 de enero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0.03455</cdr:x>
      <cdr:y>0.32916</cdr:y>
    </cdr:from>
    <cdr:to>
      <cdr:x>0.35852</cdr:x>
      <cdr:y>0.39503</cdr:y>
    </cdr:to>
    <cdr:sp macro="" textlink="'Data 1'!$G$227">
      <cdr:nvSpPr>
        <cdr:cNvPr id="3" name="6 CuadroTexto"/>
        <cdr:cNvSpPr txBox="1"/>
      </cdr:nvSpPr>
      <cdr:spPr>
        <a:xfrm xmlns:a="http://schemas.openxmlformats.org/drawingml/2006/main">
          <a:off x="110808" y="832421"/>
          <a:ext cx="1038891" cy="166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CE25F5ED-BD54-4BAF-9620-50481F3615C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11 de enero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0.02465</cdr:x>
      <cdr:y>0.47213</cdr:y>
    </cdr:from>
    <cdr:to>
      <cdr:x>0.34862</cdr:x>
      <cdr:y>0.53799</cdr:y>
    </cdr:to>
    <cdr:sp macro="" textlink="'Data 1'!$G$226">
      <cdr:nvSpPr>
        <cdr:cNvPr id="4" name="6 CuadroTexto"/>
        <cdr:cNvSpPr txBox="1"/>
      </cdr:nvSpPr>
      <cdr:spPr>
        <a:xfrm xmlns:a="http://schemas.openxmlformats.org/drawingml/2006/main">
          <a:off x="79058" y="1193970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8D9F31D6-E7BC-4CF5-A067-D90920ABB15A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8 de febrero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0.03951</cdr:x>
      <cdr:y>0.60878</cdr:y>
    </cdr:from>
    <cdr:to>
      <cdr:x>0.36348</cdr:x>
      <cdr:y>0.67464</cdr:y>
    </cdr:to>
    <cdr:sp macro="" textlink="'Data 1'!$G$225">
      <cdr:nvSpPr>
        <cdr:cNvPr id="5" name="6 CuadroTexto"/>
        <cdr:cNvSpPr txBox="1"/>
      </cdr:nvSpPr>
      <cdr:spPr>
        <a:xfrm xmlns:a="http://schemas.openxmlformats.org/drawingml/2006/main">
          <a:off x="126684" y="1539545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8A5D9D7-246C-4A8E-916F-FB85DC718E46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19 de enero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0.02773</cdr:x>
      <cdr:y>0.75175</cdr:y>
    </cdr:from>
    <cdr:to>
      <cdr:x>0.3517</cdr:x>
      <cdr:y>0.81761</cdr:y>
    </cdr:to>
    <cdr:sp macro="" textlink="'Data 1'!$G$224">
      <cdr:nvSpPr>
        <cdr:cNvPr id="6" name="6 CuadroTexto"/>
        <cdr:cNvSpPr txBox="1"/>
      </cdr:nvSpPr>
      <cdr:spPr>
        <a:xfrm xmlns:a="http://schemas.openxmlformats.org/drawingml/2006/main">
          <a:off x="88936" y="1901094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A1DD600-A44D-49D9-9C6C-5F025E7E4C3D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18 de febrero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0.25784</cdr:y>
    </cdr:from>
    <cdr:to>
      <cdr:x>0.361</cdr:x>
      <cdr:y>0.3237</cdr:y>
    </cdr:to>
    <cdr:sp macro="" textlink="'Data 1'!$G$236">
      <cdr:nvSpPr>
        <cdr:cNvPr id="7" name="6 CuadroTexto"/>
        <cdr:cNvSpPr txBox="1"/>
      </cdr:nvSpPr>
      <cdr:spPr>
        <a:xfrm xmlns:a="http://schemas.openxmlformats.org/drawingml/2006/main">
          <a:off x="103909" y="718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FD2FA8E8-D4FF-48CB-8CE1-701C6247FB77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30 de julio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0.39453</cdr:y>
    </cdr:from>
    <cdr:to>
      <cdr:x>0.361</cdr:x>
      <cdr:y>0.46039</cdr:y>
    </cdr:to>
    <cdr:sp macro="" textlink="'Data 1'!$G$235">
      <cdr:nvSpPr>
        <cdr:cNvPr id="8" name="1 CuadroTexto"/>
        <cdr:cNvSpPr txBox="1"/>
      </cdr:nvSpPr>
      <cdr:spPr>
        <a:xfrm xmlns:a="http://schemas.openxmlformats.org/drawingml/2006/main">
          <a:off x="103909" y="1099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DA6067E-3AA8-4884-B063-80ECA83A3049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24 de julio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0.52665</cdr:y>
    </cdr:from>
    <cdr:to>
      <cdr:x>0.361</cdr:x>
      <cdr:y>0.59251</cdr:y>
    </cdr:to>
    <cdr:sp macro="" textlink="'Data 1'!$G$234">
      <cdr:nvSpPr>
        <cdr:cNvPr id="9" name="1 CuadroTexto"/>
        <cdr:cNvSpPr txBox="1"/>
      </cdr:nvSpPr>
      <cdr:spPr>
        <a:xfrm xmlns:a="http://schemas.openxmlformats.org/drawingml/2006/main">
          <a:off x="103921" y="1467962"/>
          <a:ext cx="909194" cy="183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E0AE706-5068-4562-9E67-E84FAF5D9D2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3 de agosto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0.66791</cdr:y>
    </cdr:from>
    <cdr:to>
      <cdr:x>0.361</cdr:x>
      <cdr:y>0.73377</cdr:y>
    </cdr:to>
    <cdr:sp macro="" textlink="'Data 1'!$G$233">
      <cdr:nvSpPr>
        <cdr:cNvPr id="10" name="1 CuadroTexto"/>
        <cdr:cNvSpPr txBox="1"/>
      </cdr:nvSpPr>
      <cdr:spPr>
        <a:xfrm xmlns:a="http://schemas.openxmlformats.org/drawingml/2006/main">
          <a:off x="103910" y="1861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050DF756-7EC4-48B0-90D5-4C2B21234628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13 de julio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0.8077</cdr:y>
    </cdr:from>
    <cdr:to>
      <cdr:x>0.361</cdr:x>
      <cdr:y>0.87356</cdr:y>
    </cdr:to>
    <cdr:sp macro="" textlink="'Data 1'!$G$232">
      <cdr:nvSpPr>
        <cdr:cNvPr id="11" name="1 CuadroTexto"/>
        <cdr:cNvSpPr txBox="1"/>
      </cdr:nvSpPr>
      <cdr:spPr>
        <a:xfrm xmlns:a="http://schemas.openxmlformats.org/drawingml/2006/main">
          <a:off x="103910" y="2251364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9762407-22DE-45D9-99E4-78DA112E5F61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6 de septiembre</a:t>
          </a:fld>
          <a:endParaRPr lang="es-ES" sz="700" b="1">
            <a:solidFill>
              <a:schemeClr val="bg1"/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3905250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2197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3905250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2197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38</xdr:row>
      <xdr:rowOff>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3905250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2197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19050</xdr:colOff>
      <xdr:row>6</xdr:row>
      <xdr:rowOff>38100</xdr:rowOff>
    </xdr:from>
    <xdr:to>
      <xdr:col>5</xdr:col>
      <xdr:colOff>49530</xdr:colOff>
      <xdr:row>24</xdr:row>
      <xdr:rowOff>30480</xdr:rowOff>
    </xdr:to>
    <xdr:graphicFrame macro="">
      <xdr:nvGraphicFramePr>
        <xdr:cNvPr id="5" name="GRAF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24</xdr:row>
      <xdr:rowOff>15239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7</xdr:col>
      <xdr:colOff>950745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48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76200</xdr:colOff>
      <xdr:row>5</xdr:row>
      <xdr:rowOff>85725</xdr:rowOff>
    </xdr:from>
    <xdr:to>
      <xdr:col>4</xdr:col>
      <xdr:colOff>7016115</xdr:colOff>
      <xdr:row>24</xdr:row>
      <xdr:rowOff>11430</xdr:rowOff>
    </xdr:to>
    <xdr:graphicFrame macro="">
      <xdr:nvGraphicFramePr>
        <xdr:cNvPr id="5" name="GRAF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0.39676</cdr:x>
      <cdr:y>0.08064</cdr:y>
    </cdr:from>
    <cdr:to>
      <cdr:x>0.4275</cdr:x>
      <cdr:y>0.13174</cdr:y>
    </cdr:to>
    <cdr:sp macro="" textlink="">
      <cdr:nvSpPr>
        <cdr:cNvPr id="304129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165262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00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0.10655</cdr:y>
    </cdr:from>
    <cdr:to>
      <cdr:x>0.57582</cdr:x>
      <cdr:y>0.10655</cdr:y>
    </cdr:to>
    <cdr:sp macro="" textlink="">
      <cdr:nvSpPr>
        <cdr:cNvPr id="30413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213487"/>
          <a:ext cx="148006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624FAC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0.18286</cdr:y>
    </cdr:from>
    <cdr:to>
      <cdr:x>0.57436</cdr:x>
      <cdr:y>0.18286</cdr:y>
    </cdr:to>
    <cdr:sp macro="" textlink="">
      <cdr:nvSpPr>
        <cdr:cNvPr id="30413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355838"/>
          <a:ext cx="141322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4563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0.579</cdr:x>
      <cdr:y>0.07366</cdr:y>
    </cdr:from>
    <cdr:to>
      <cdr:x>0.89185</cdr:x>
      <cdr:y>0.14303</cdr:y>
    </cdr:to>
    <cdr:sp macro="" textlink="">
      <cdr:nvSpPr>
        <cdr:cNvPr id="304132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1138" y="174243"/>
          <a:ext cx="122174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medio histórico</a:t>
          </a:r>
        </a:p>
      </cdr:txBody>
    </cdr:sp>
  </cdr:relSizeAnchor>
  <cdr:relSizeAnchor xmlns:cdr="http://schemas.openxmlformats.org/drawingml/2006/chartDrawing">
    <cdr:from>
      <cdr:x>0.579</cdr:x>
      <cdr:y>0.16269</cdr:y>
    </cdr:from>
    <cdr:to>
      <cdr:x>0.68718</cdr:x>
      <cdr:y>0.21718</cdr:y>
    </cdr:to>
    <cdr:sp macro="" textlink="">
      <cdr:nvSpPr>
        <cdr:cNvPr id="304133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846" y="490005"/>
          <a:ext cx="760016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2020</a:t>
          </a:r>
        </a:p>
      </cdr:txBody>
    </cdr:sp>
  </cdr:relSizeAnchor>
  <cdr:relSizeAnchor xmlns:cdr="http://schemas.openxmlformats.org/drawingml/2006/chartDrawing">
    <cdr:from>
      <cdr:x>0.39676</cdr:x>
      <cdr:y>0.16726</cdr:y>
    </cdr:from>
    <cdr:to>
      <cdr:x>0.4275</cdr:x>
      <cdr:y>0.21837</cdr:y>
    </cdr:to>
    <cdr:sp macro="" textlink="">
      <cdr:nvSpPr>
        <cdr:cNvPr id="304147" name="Texto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326787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FF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0.43213</cdr:x>
      <cdr:y>0.07127</cdr:y>
    </cdr:from>
    <cdr:to>
      <cdr:x>0.53616</cdr:x>
      <cdr:y>0.14063</cdr:y>
    </cdr:to>
    <cdr:sp macro="" textlink="">
      <cdr:nvSpPr>
        <cdr:cNvPr id="304159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168570"/>
          <a:ext cx="40626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Húmedo</a:t>
          </a:r>
        </a:p>
      </cdr:txBody>
    </cdr:sp>
  </cdr:relSizeAnchor>
  <cdr:relSizeAnchor xmlns:cdr="http://schemas.openxmlformats.org/drawingml/2006/chartDrawing">
    <cdr:from>
      <cdr:x>0.43213</cdr:x>
      <cdr:y>0.15285</cdr:y>
    </cdr:from>
    <cdr:to>
      <cdr:x>0.49674</cdr:x>
      <cdr:y>0.22222</cdr:y>
    </cdr:to>
    <cdr:sp macro="" textlink="">
      <cdr:nvSpPr>
        <cdr:cNvPr id="304160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361543"/>
          <a:ext cx="25231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Seco</a:t>
          </a:r>
        </a:p>
      </cdr:txBody>
    </cdr:sp>
  </cdr:relSizeAnchor>
  <cdr:relSizeAnchor xmlns:cdr="http://schemas.openxmlformats.org/drawingml/2006/chartDrawing">
    <cdr:from>
      <cdr:x>0.11709</cdr:x>
      <cdr:y>0.84174</cdr:y>
    </cdr:from>
    <cdr:to>
      <cdr:x>0.93882</cdr:x>
      <cdr:y>0.92342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45820" y="2512695"/>
          <a:ext cx="593598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               F               M              A               M               J                J               A                S                O              N             D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738720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64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552450</xdr:colOff>
      <xdr:row>5</xdr:row>
      <xdr:rowOff>133350</xdr:rowOff>
    </xdr:from>
    <xdr:to>
      <xdr:col>5</xdr:col>
      <xdr:colOff>285750</xdr:colOff>
      <xdr:row>23</xdr:row>
      <xdr:rowOff>112395</xdr:rowOff>
    </xdr:to>
    <xdr:graphicFrame macro="">
      <xdr:nvGraphicFramePr>
        <xdr:cNvPr id="4" name="GRAF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0.55965</cdr:x>
      <cdr:y>0.86113</cdr:y>
    </cdr:from>
    <cdr:to>
      <cdr:x>0.59104</cdr:x>
      <cdr:y>0.91764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8302" y="2500039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2018</a:t>
          </a:r>
        </a:p>
      </cdr:txBody>
    </cdr:sp>
  </cdr:relSizeAnchor>
  <cdr:relSizeAnchor xmlns:cdr="http://schemas.openxmlformats.org/drawingml/2006/chartDrawing">
    <cdr:from>
      <cdr:x>0.66666</cdr:x>
      <cdr:y>0.75776</cdr:y>
    </cdr:from>
    <cdr:to>
      <cdr:x>0.91364</cdr:x>
      <cdr:y>0.82585</cdr:y>
    </cdr:to>
    <cdr:sp macro="" textlink="">
      <cdr:nvSpPr>
        <cdr:cNvPr id="321540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248" y="2186950"/>
          <a:ext cx="2147348" cy="196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0.84199</cdr:x>
      <cdr:y>0.86508</cdr:y>
    </cdr:from>
    <cdr:to>
      <cdr:x>0.87338</cdr:x>
      <cdr:y>0.92159</cdr:y>
    </cdr:to>
    <cdr:sp macro="" textlink="">
      <cdr:nvSpPr>
        <cdr:cNvPr id="321541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3701" y="2511507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2020</a:t>
          </a:r>
        </a:p>
      </cdr:txBody>
    </cdr:sp>
  </cdr:relSizeAnchor>
  <cdr:relSizeAnchor xmlns:cdr="http://schemas.openxmlformats.org/drawingml/2006/chartDrawing">
    <cdr:from>
      <cdr:x>0.70423</cdr:x>
      <cdr:y>0.8616</cdr:y>
    </cdr:from>
    <cdr:to>
      <cdr:x>0.73562</cdr:x>
      <cdr:y>0.91811</cdr:y>
    </cdr:to>
    <cdr:sp macro="" textlink="">
      <cdr:nvSpPr>
        <cdr:cNvPr id="321542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9811" y="2501403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0.36897</cdr:x>
      <cdr:y>0.16568</cdr:y>
    </cdr:from>
    <cdr:to>
      <cdr:x>0.36907</cdr:x>
      <cdr:y>0.89806</cdr:y>
    </cdr:to>
    <cdr:sp macro="" textlink="">
      <cdr:nvSpPr>
        <cdr:cNvPr id="3215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08021" y="478154"/>
          <a:ext cx="836" cy="21137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0.51107</cdr:x>
      <cdr:y>0.15512</cdr:y>
    </cdr:from>
    <cdr:to>
      <cdr:x>0.51107</cdr:x>
      <cdr:y>0.89014</cdr:y>
    </cdr:to>
    <cdr:sp macro="" textlink="">
      <cdr:nvSpPr>
        <cdr:cNvPr id="321544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43468" y="447674"/>
          <a:ext cx="0" cy="21213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0.66725</cdr:x>
      <cdr:y>0.26956</cdr:y>
    </cdr:from>
    <cdr:to>
      <cdr:x>0.91175</cdr:x>
      <cdr:y>0.33978</cdr:y>
    </cdr:to>
    <cdr:sp macro="" textlink="">
      <cdr:nvSpPr>
        <cdr:cNvPr id="321539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1359" y="777979"/>
          <a:ext cx="2125785" cy="202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Máximo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estadístico</a:t>
          </a:r>
        </a:p>
      </cdr:txBody>
    </cdr:sp>
  </cdr:relSizeAnchor>
  <cdr:relSizeAnchor xmlns:cdr="http://schemas.openxmlformats.org/drawingml/2006/chartDrawing">
    <cdr:from>
      <cdr:x>0.42966</cdr:x>
      <cdr:y>0.86113</cdr:y>
    </cdr:from>
    <cdr:to>
      <cdr:x>0.46105</cdr:x>
      <cdr:y>0.91764</cdr:y>
    </cdr:to>
    <cdr:sp macro="" textlink="">
      <cdr:nvSpPr>
        <cdr:cNvPr id="321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059" y="2500039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2017</a:t>
          </a:r>
        </a:p>
      </cdr:txBody>
    </cdr:sp>
  </cdr:relSizeAnchor>
  <cdr:relSizeAnchor xmlns:cdr="http://schemas.openxmlformats.org/drawingml/2006/chartDrawing">
    <cdr:from>
      <cdr:x>0.64768</cdr:x>
      <cdr:y>0.16832</cdr:y>
    </cdr:from>
    <cdr:to>
      <cdr:x>0.65068</cdr:x>
      <cdr:y>0.90261</cdr:y>
    </cdr:to>
    <cdr:sp macro="" textlink="">
      <cdr:nvSpPr>
        <cdr:cNvPr id="3215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631180" y="485774"/>
          <a:ext cx="26105" cy="21192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0.7844</cdr:x>
      <cdr:y>0.14719</cdr:y>
    </cdr:from>
    <cdr:to>
      <cdr:x>0.78457</cdr:x>
      <cdr:y>0.88677</cdr:y>
    </cdr:to>
    <cdr:sp macro="" textlink="">
      <cdr:nvSpPr>
        <cdr:cNvPr id="32154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819900" y="424814"/>
          <a:ext cx="1475" cy="21344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0.28691</cdr:x>
      <cdr:y>0.85861</cdr:y>
    </cdr:from>
    <cdr:to>
      <cdr:x>0.31829</cdr:x>
      <cdr:y>0.91512</cdr:y>
    </cdr:to>
    <cdr:sp macro="" textlink="">
      <cdr:nvSpPr>
        <cdr:cNvPr id="321548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3968" y="2492723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2016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0.89554</cdr:x>
      <cdr:y>0.73311</cdr:y>
    </cdr:from>
    <cdr:to>
      <cdr:x>1</cdr:x>
      <cdr:y>0.8347</cdr:y>
    </cdr:to>
    <cdr:sp macro="" textlink="'Data 3'!$F$33">
      <cdr:nvSpPr>
        <cdr:cNvPr id="3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84" y="2136762"/>
          <a:ext cx="735291" cy="296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2D4F2D8E-6160-4720-825C-FAB0FB1C9B20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40.707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0.58279</cdr:y>
    </cdr:from>
    <cdr:to>
      <cdr:x>1</cdr:x>
      <cdr:y>0.68437</cdr:y>
    </cdr:to>
    <cdr:sp macro="" textlink="'Data 3'!$G$33">
      <cdr:nvSpPr>
        <cdr:cNvPr id="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84" y="1698632"/>
          <a:ext cx="735291" cy="29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670DC3C-FF81-4C4C-BD51-86822F775A39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40.842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0.42919</cdr:y>
    </cdr:from>
    <cdr:to>
      <cdr:x>1</cdr:x>
      <cdr:y>0.53078</cdr:y>
    </cdr:to>
    <cdr:sp macro="" textlink="'Data 3'!$H$33">
      <cdr:nvSpPr>
        <cdr:cNvPr id="5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84" y="1250942"/>
          <a:ext cx="735291" cy="296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24377AB-8647-4C6D-BB29-B80A1618B474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40.919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0.28867</cdr:y>
    </cdr:from>
    <cdr:to>
      <cdr:x>1</cdr:x>
      <cdr:y>0.39026</cdr:y>
    </cdr:to>
    <cdr:sp macro="" textlink="'Data 3'!$I$33">
      <cdr:nvSpPr>
        <cdr:cNvPr id="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84" y="841375"/>
          <a:ext cx="735291" cy="296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 rtl="0">
            <a:defRPr sz="1000"/>
          </a:pPr>
          <a:fld id="{1C7406D3-3E19-4C88-938E-0895C350C7AE}" type="TxLink">
            <a:rPr lang="en-US" sz="800" b="1" i="0" u="sng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41.015</a:t>
          </a:fld>
          <a:endParaRPr lang="es-ES" sz="800" b="1" i="0" u="sng" strike="noStrike">
            <a:solidFill>
              <a:srgbClr val="004563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0.14815</cdr:y>
    </cdr:from>
    <cdr:to>
      <cdr:x>1</cdr:x>
      <cdr:y>0.24974</cdr:y>
    </cdr:to>
    <cdr:sp macro="" textlink="'Data 3'!$J$33">
      <cdr:nvSpPr>
        <cdr:cNvPr id="7" name="Text Box 8">
          <a:extLst xmlns:a="http://schemas.openxmlformats.org/drawingml/2006/main">
            <a:ext uri="{FF2B5EF4-FFF2-40B4-BE49-F238E27FC236}">
              <a16:creationId xmlns:a16="http://schemas.microsoft.com/office/drawing/2014/main" id="{D50101D4-E167-4F08-8FE4-5CC14B869040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84" y="431800"/>
          <a:ext cx="735291" cy="296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 rtl="0">
            <a:defRPr sz="1000"/>
          </a:pPr>
          <a:fld id="{C4181222-B642-478B-A3EB-721202A94B62}" type="TxLink">
            <a:rPr lang="en-US" sz="800" b="1" i="0" u="sng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41.063</a:t>
          </a:fld>
          <a:endParaRPr lang="es-ES" sz="800" b="1" i="0" u="sng" strike="noStrike">
            <a:solidFill>
              <a:srgbClr val="004563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747570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72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758745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62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9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" name="Line 9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704469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457200</xdr:colOff>
      <xdr:row>8</xdr:row>
      <xdr:rowOff>1270</xdr:rowOff>
    </xdr:from>
    <xdr:to>
      <xdr:col>4</xdr:col>
      <xdr:colOff>5204460</xdr:colOff>
      <xdr:row>31</xdr:row>
      <xdr:rowOff>30480</xdr:rowOff>
    </xdr:to>
    <xdr:sp macro="" textlink="">
      <xdr:nvSpPr>
        <xdr:cNvPr id="4" name="Dibujo 466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/>
        </xdr:cNvSpPr>
      </xdr:nvSpPr>
      <xdr:spPr bwMode="auto">
        <a:xfrm>
          <a:off x="2314575" y="1379220"/>
          <a:ext cx="4747260" cy="37566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3E6AF"/>
        </a:solidFill>
        <a:ln>
          <a:noFill/>
        </a:ln>
        <a:effectLst>
          <a:outerShdw dist="25400" dir="5400000" algn="ctr" rotWithShape="0">
            <a:srgbClr val="B7AEDA"/>
          </a:outerShdw>
        </a:effectLst>
        <a:extLst>
          <a:ext uri="{91240B29-F687-4F45-9708-019B960494DF}">
            <a14:hiddenLine xmlns:a14="http://schemas.microsoft.com/office/drawing/2010/main" w="0" cap="flat" cmpd="sng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17</xdr:row>
      <xdr:rowOff>22860</xdr:rowOff>
    </xdr:from>
    <xdr:to>
      <xdr:col>4</xdr:col>
      <xdr:colOff>1325880</xdr:colOff>
      <xdr:row>17</xdr:row>
      <xdr:rowOff>129540</xdr:rowOff>
    </xdr:to>
    <xdr:sp macro="" textlink="">
      <xdr:nvSpPr>
        <xdr:cNvPr id="5" name="Dibujo 501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/>
        </xdr:cNvSpPr>
      </xdr:nvSpPr>
      <xdr:spPr bwMode="auto">
        <a:xfrm>
          <a:off x="2703195" y="286131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883920</xdr:colOff>
      <xdr:row>15</xdr:row>
      <xdr:rowOff>91440</xdr:rowOff>
    </xdr:from>
    <xdr:to>
      <xdr:col>4</xdr:col>
      <xdr:colOff>1363980</xdr:colOff>
      <xdr:row>16</xdr:row>
      <xdr:rowOff>30480</xdr:rowOff>
    </xdr:to>
    <xdr:sp macro="" textlink="">
      <xdr:nvSpPr>
        <xdr:cNvPr id="6" name="Dibujo 509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>
          <a:spLocks/>
        </xdr:cNvSpPr>
      </xdr:nvSpPr>
      <xdr:spPr bwMode="auto">
        <a:xfrm>
          <a:off x="2741295" y="2606040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20</xdr:row>
      <xdr:rowOff>68580</xdr:rowOff>
    </xdr:from>
    <xdr:to>
      <xdr:col>4</xdr:col>
      <xdr:colOff>1325880</xdr:colOff>
      <xdr:row>21</xdr:row>
      <xdr:rowOff>0</xdr:rowOff>
    </xdr:to>
    <xdr:sp macro="" textlink="">
      <xdr:nvSpPr>
        <xdr:cNvPr id="7" name="Dibujo 513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>
          <a:spLocks/>
        </xdr:cNvSpPr>
      </xdr:nvSpPr>
      <xdr:spPr bwMode="auto">
        <a:xfrm>
          <a:off x="2703195" y="3392805"/>
          <a:ext cx="480060" cy="9334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18</xdr:row>
      <xdr:rowOff>129540</xdr:rowOff>
    </xdr:from>
    <xdr:to>
      <xdr:col>4</xdr:col>
      <xdr:colOff>1325880</xdr:colOff>
      <xdr:row>19</xdr:row>
      <xdr:rowOff>68580</xdr:rowOff>
    </xdr:to>
    <xdr:sp macro="" textlink="">
      <xdr:nvSpPr>
        <xdr:cNvPr id="8" name="Dibujo 51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>
          <a:spLocks/>
        </xdr:cNvSpPr>
      </xdr:nvSpPr>
      <xdr:spPr bwMode="auto">
        <a:xfrm>
          <a:off x="2703195" y="3129915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389639</xdr:colOff>
      <xdr:row>19</xdr:row>
      <xdr:rowOff>40226</xdr:rowOff>
    </xdr:from>
    <xdr:to>
      <xdr:col>4</xdr:col>
      <xdr:colOff>1235255</xdr:colOff>
      <xdr:row>20</xdr:row>
      <xdr:rowOff>13587</xdr:rowOff>
    </xdr:to>
    <xdr:sp macro="" textlink="">
      <xdr:nvSpPr>
        <xdr:cNvPr id="9" name="Texto 497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>
          <a:spLocks noChangeArrowheads="1"/>
        </xdr:cNvSpPr>
      </xdr:nvSpPr>
      <xdr:spPr bwMode="auto">
        <a:xfrm>
          <a:off x="2247014" y="3202526"/>
          <a:ext cx="84561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Falagueira            </a:t>
          </a:r>
        </a:p>
      </xdr:txBody>
    </xdr:sp>
    <xdr:clientData/>
  </xdr:twoCellAnchor>
  <xdr:twoCellAnchor editAs="absolute">
    <xdr:from>
      <xdr:col>4</xdr:col>
      <xdr:colOff>1531620</xdr:colOff>
      <xdr:row>12</xdr:row>
      <xdr:rowOff>137160</xdr:rowOff>
    </xdr:from>
    <xdr:to>
      <xdr:col>4</xdr:col>
      <xdr:colOff>1920240</xdr:colOff>
      <xdr:row>15</xdr:row>
      <xdr:rowOff>121920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>
          <a:spLocks noChangeShapeType="1"/>
        </xdr:cNvSpPr>
      </xdr:nvSpPr>
      <xdr:spPr bwMode="auto">
        <a:xfrm flipV="1">
          <a:off x="3388995" y="2165985"/>
          <a:ext cx="388620" cy="47053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491624</xdr:colOff>
      <xdr:row>17</xdr:row>
      <xdr:rowOff>137516</xdr:rowOff>
    </xdr:from>
    <xdr:to>
      <xdr:col>4</xdr:col>
      <xdr:colOff>880833</xdr:colOff>
      <xdr:row>18</xdr:row>
      <xdr:rowOff>110877</xdr:rowOff>
    </xdr:to>
    <xdr:sp macro="" textlink="">
      <xdr:nvSpPr>
        <xdr:cNvPr id="11" name="Texto 522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 txBox="1">
          <a:spLocks noChangeArrowheads="1"/>
        </xdr:cNvSpPr>
      </xdr:nvSpPr>
      <xdr:spPr bwMode="auto">
        <a:xfrm>
          <a:off x="2348999" y="2975966"/>
          <a:ext cx="38920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</a:p>
      </xdr:txBody>
    </xdr:sp>
    <xdr:clientData/>
  </xdr:twoCellAnchor>
  <xdr:twoCellAnchor editAs="absolute">
    <xdr:from>
      <xdr:col>4</xdr:col>
      <xdr:colOff>2796540</xdr:colOff>
      <xdr:row>6</xdr:row>
      <xdr:rowOff>129540</xdr:rowOff>
    </xdr:from>
    <xdr:to>
      <xdr:col>4</xdr:col>
      <xdr:colOff>2926080</xdr:colOff>
      <xdr:row>9</xdr:row>
      <xdr:rowOff>38100</xdr:rowOff>
    </xdr:to>
    <xdr:sp macro="" textlink="">
      <xdr:nvSpPr>
        <xdr:cNvPr id="12" name="Dibujo 530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SpPr>
          <a:spLocks/>
        </xdr:cNvSpPr>
      </xdr:nvSpPr>
      <xdr:spPr bwMode="auto">
        <a:xfrm>
          <a:off x="4653915" y="1185228"/>
          <a:ext cx="12954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vert270"/>
        <a:lstStyle/>
        <a:p>
          <a:r>
            <a:rPr lang="en-US"/>
            <a:t>210</a:t>
          </a:r>
        </a:p>
      </xdr:txBody>
    </xdr:sp>
    <xdr:clientData/>
  </xdr:twoCellAnchor>
  <xdr:twoCellAnchor editAs="absolute">
    <xdr:from>
      <xdr:col>4</xdr:col>
      <xdr:colOff>222885</xdr:colOff>
      <xdr:row>9</xdr:row>
      <xdr:rowOff>47979</xdr:rowOff>
    </xdr:from>
    <xdr:to>
      <xdr:col>4</xdr:col>
      <xdr:colOff>914293</xdr:colOff>
      <xdr:row>10</xdr:row>
      <xdr:rowOff>21340</xdr:rowOff>
    </xdr:to>
    <xdr:sp macro="" textlink="">
      <xdr:nvSpPr>
        <xdr:cNvPr id="13" name="Texto 534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>
          <a:spLocks noChangeArrowheads="1"/>
        </xdr:cNvSpPr>
      </xdr:nvSpPr>
      <xdr:spPr bwMode="auto">
        <a:xfrm>
          <a:off x="2080260" y="1591029"/>
          <a:ext cx="69140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Cartelle 400kV</a:t>
          </a:r>
        </a:p>
      </xdr:txBody>
    </xdr:sp>
    <xdr:clientData/>
  </xdr:twoCellAnchor>
  <xdr:twoCellAnchor editAs="absolute">
    <xdr:from>
      <xdr:col>4</xdr:col>
      <xdr:colOff>4259580</xdr:colOff>
      <xdr:row>9</xdr:row>
      <xdr:rowOff>45720</xdr:rowOff>
    </xdr:from>
    <xdr:to>
      <xdr:col>4</xdr:col>
      <xdr:colOff>4396740</xdr:colOff>
      <xdr:row>12</xdr:row>
      <xdr:rowOff>45720</xdr:rowOff>
    </xdr:to>
    <xdr:sp macro="" textlink="">
      <xdr:nvSpPr>
        <xdr:cNvPr id="14" name="Dibujo 553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SpPr>
          <a:spLocks/>
        </xdr:cNvSpPr>
      </xdr:nvSpPr>
      <xdr:spPr bwMode="auto">
        <a:xfrm>
          <a:off x="6116955" y="1588770"/>
          <a:ext cx="137160" cy="4857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</xdr:sp>
    <xdr:clientData/>
  </xdr:twoCellAnchor>
  <xdr:twoCellAnchor editAs="absolute">
    <xdr:from>
      <xdr:col>4</xdr:col>
      <xdr:colOff>3063240</xdr:colOff>
      <xdr:row>7</xdr:row>
      <xdr:rowOff>22860</xdr:rowOff>
    </xdr:from>
    <xdr:to>
      <xdr:col>4</xdr:col>
      <xdr:colOff>3200400</xdr:colOff>
      <xdr:row>9</xdr:row>
      <xdr:rowOff>121920</xdr:rowOff>
    </xdr:to>
    <xdr:sp macro="" textlink="">
      <xdr:nvSpPr>
        <xdr:cNvPr id="15" name="Dibujo 56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SpPr>
          <a:spLocks/>
        </xdr:cNvSpPr>
      </xdr:nvSpPr>
      <xdr:spPr bwMode="auto">
        <a:xfrm>
          <a:off x="4920615" y="1242060"/>
          <a:ext cx="137160" cy="4229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3200400</xdr:colOff>
      <xdr:row>7</xdr:row>
      <xdr:rowOff>121920</xdr:rowOff>
    </xdr:from>
    <xdr:to>
      <xdr:col>4</xdr:col>
      <xdr:colOff>3299460</xdr:colOff>
      <xdr:row>10</xdr:row>
      <xdr:rowOff>22860</xdr:rowOff>
    </xdr:to>
    <xdr:sp macro="" textlink="">
      <xdr:nvSpPr>
        <xdr:cNvPr id="16" name="Dibujo 56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>
          <a:spLocks/>
        </xdr:cNvSpPr>
      </xdr:nvSpPr>
      <xdr:spPr bwMode="auto">
        <a:xfrm>
          <a:off x="5057775" y="1341120"/>
          <a:ext cx="99060" cy="38671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3360420</xdr:colOff>
      <xdr:row>7</xdr:row>
      <xdr:rowOff>99060</xdr:rowOff>
    </xdr:from>
    <xdr:to>
      <xdr:col>4</xdr:col>
      <xdr:colOff>3497580</xdr:colOff>
      <xdr:row>10</xdr:row>
      <xdr:rowOff>60960</xdr:rowOff>
    </xdr:to>
    <xdr:sp macro="" textlink="">
      <xdr:nvSpPr>
        <xdr:cNvPr id="17" name="Dibujo 572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>
          <a:spLocks/>
        </xdr:cNvSpPr>
      </xdr:nvSpPr>
      <xdr:spPr bwMode="auto">
        <a:xfrm>
          <a:off x="5217795" y="1318260"/>
          <a:ext cx="137160" cy="4476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3497580</xdr:colOff>
      <xdr:row>8</xdr:row>
      <xdr:rowOff>30480</xdr:rowOff>
    </xdr:from>
    <xdr:to>
      <xdr:col>4</xdr:col>
      <xdr:colOff>3611880</xdr:colOff>
      <xdr:row>10</xdr:row>
      <xdr:rowOff>144780</xdr:rowOff>
    </xdr:to>
    <xdr:sp macro="" textlink="">
      <xdr:nvSpPr>
        <xdr:cNvPr id="18" name="Dibujo 573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>
          <a:spLocks/>
        </xdr:cNvSpPr>
      </xdr:nvSpPr>
      <xdr:spPr bwMode="auto">
        <a:xfrm>
          <a:off x="5354955" y="1411605"/>
          <a:ext cx="114300" cy="4381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3672840</xdr:colOff>
      <xdr:row>8</xdr:row>
      <xdr:rowOff>22860</xdr:rowOff>
    </xdr:from>
    <xdr:to>
      <xdr:col>4</xdr:col>
      <xdr:colOff>3787140</xdr:colOff>
      <xdr:row>11</xdr:row>
      <xdr:rowOff>1270</xdr:rowOff>
    </xdr:to>
    <xdr:sp macro="" textlink="">
      <xdr:nvSpPr>
        <xdr:cNvPr id="19" name="Dibujo 575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>
          <a:spLocks/>
        </xdr:cNvSpPr>
      </xdr:nvSpPr>
      <xdr:spPr bwMode="auto">
        <a:xfrm>
          <a:off x="5530215" y="1403985"/>
          <a:ext cx="114300" cy="4610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3779520</xdr:colOff>
      <xdr:row>8</xdr:row>
      <xdr:rowOff>121920</xdr:rowOff>
    </xdr:from>
    <xdr:to>
      <xdr:col>4</xdr:col>
      <xdr:colOff>3916680</xdr:colOff>
      <xdr:row>11</xdr:row>
      <xdr:rowOff>91440</xdr:rowOff>
    </xdr:to>
    <xdr:sp macro="" textlink="">
      <xdr:nvSpPr>
        <xdr:cNvPr id="20" name="Dibujo 576">
          <a:extLst>
            <a:ext uri="{FF2B5EF4-FFF2-40B4-BE49-F238E27FC236}">
              <a16:creationId xmlns:a16="http://schemas.microsoft.com/office/drawing/2014/main" id="{00000000-0008-0000-1E00-000014000000}"/>
            </a:ext>
          </a:extLst>
        </xdr:cNvPr>
        <xdr:cNvSpPr>
          <a:spLocks/>
        </xdr:cNvSpPr>
      </xdr:nvSpPr>
      <xdr:spPr bwMode="auto">
        <a:xfrm>
          <a:off x="5636895" y="1503045"/>
          <a:ext cx="137160" cy="45529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3977640</xdr:colOff>
      <xdr:row>8</xdr:row>
      <xdr:rowOff>121920</xdr:rowOff>
    </xdr:from>
    <xdr:to>
      <xdr:col>4</xdr:col>
      <xdr:colOff>4084320</xdr:colOff>
      <xdr:row>11</xdr:row>
      <xdr:rowOff>99060</xdr:rowOff>
    </xdr:to>
    <xdr:sp macro="" textlink="">
      <xdr:nvSpPr>
        <xdr:cNvPr id="21" name="Dibujo 578">
          <a:extLst>
            <a:ext uri="{FF2B5EF4-FFF2-40B4-BE49-F238E27FC236}">
              <a16:creationId xmlns:a16="http://schemas.microsoft.com/office/drawing/2014/main" id="{00000000-0008-0000-1E00-000015000000}"/>
            </a:ext>
          </a:extLst>
        </xdr:cNvPr>
        <xdr:cNvSpPr>
          <a:spLocks/>
        </xdr:cNvSpPr>
      </xdr:nvSpPr>
      <xdr:spPr bwMode="auto">
        <a:xfrm>
          <a:off x="5835015" y="1503045"/>
          <a:ext cx="106680" cy="46291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4084320</xdr:colOff>
      <xdr:row>9</xdr:row>
      <xdr:rowOff>68580</xdr:rowOff>
    </xdr:from>
    <xdr:to>
      <xdr:col>4</xdr:col>
      <xdr:colOff>4206240</xdr:colOff>
      <xdr:row>12</xdr:row>
      <xdr:rowOff>30480</xdr:rowOff>
    </xdr:to>
    <xdr:sp macro="" textlink="">
      <xdr:nvSpPr>
        <xdr:cNvPr id="22" name="Dibujo 579">
          <a:extLst>
            <a:ext uri="{FF2B5EF4-FFF2-40B4-BE49-F238E27FC236}">
              <a16:creationId xmlns:a16="http://schemas.microsoft.com/office/drawing/2014/main" id="{00000000-0008-0000-1E00-000016000000}"/>
            </a:ext>
          </a:extLst>
        </xdr:cNvPr>
        <xdr:cNvSpPr>
          <a:spLocks/>
        </xdr:cNvSpPr>
      </xdr:nvSpPr>
      <xdr:spPr bwMode="auto">
        <a:xfrm>
          <a:off x="5941695" y="1611630"/>
          <a:ext cx="121920" cy="4476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3046095</xdr:colOff>
      <xdr:row>7</xdr:row>
      <xdr:rowOff>91440</xdr:rowOff>
    </xdr:from>
    <xdr:to>
      <xdr:col>4</xdr:col>
      <xdr:colOff>3182479</xdr:colOff>
      <xdr:row>8</xdr:row>
      <xdr:rowOff>123799</xdr:rowOff>
    </xdr:to>
    <xdr:sp macro="" textlink="'Data 1'!E370">
      <xdr:nvSpPr>
        <xdr:cNvPr id="23" name="Texto 584">
          <a:extLst>
            <a:ext uri="{FF2B5EF4-FFF2-40B4-BE49-F238E27FC236}">
              <a16:creationId xmlns:a16="http://schemas.microsoft.com/office/drawing/2014/main" id="{00000000-0008-0000-1E00-000017000000}"/>
            </a:ext>
          </a:extLst>
        </xdr:cNvPr>
        <xdr:cNvSpPr txBox="1">
          <a:spLocks noChangeArrowheads="1"/>
        </xdr:cNvSpPr>
      </xdr:nvSpPr>
      <xdr:spPr bwMode="auto">
        <a:xfrm>
          <a:off x="4903470" y="131064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38ED099-99F7-4D22-8358-DA7C08F5A771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403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3168015</xdr:colOff>
      <xdr:row>8</xdr:row>
      <xdr:rowOff>104775</xdr:rowOff>
    </xdr:from>
    <xdr:to>
      <xdr:col>4</xdr:col>
      <xdr:colOff>3304399</xdr:colOff>
      <xdr:row>9</xdr:row>
      <xdr:rowOff>137134</xdr:rowOff>
    </xdr:to>
    <xdr:sp macro="" textlink="'Data 1'!D370">
      <xdr:nvSpPr>
        <xdr:cNvPr id="24" name="Texto 585">
          <a:extLst>
            <a:ext uri="{FF2B5EF4-FFF2-40B4-BE49-F238E27FC236}">
              <a16:creationId xmlns:a16="http://schemas.microsoft.com/office/drawing/2014/main" id="{00000000-0008-0000-1E00-000018000000}"/>
            </a:ext>
          </a:extLst>
        </xdr:cNvPr>
        <xdr:cNvSpPr txBox="1">
          <a:spLocks noChangeArrowheads="1"/>
        </xdr:cNvSpPr>
      </xdr:nvSpPr>
      <xdr:spPr bwMode="auto">
        <a:xfrm>
          <a:off x="5025390" y="14859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F5FD68F4-04D2-40E1-8146-443692741D6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585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3329940</xdr:colOff>
      <xdr:row>8</xdr:row>
      <xdr:rowOff>11430</xdr:rowOff>
    </xdr:from>
    <xdr:to>
      <xdr:col>4</xdr:col>
      <xdr:colOff>3466324</xdr:colOff>
      <xdr:row>9</xdr:row>
      <xdr:rowOff>129389</xdr:rowOff>
    </xdr:to>
    <xdr:sp macro="" textlink="'Data 1'!E371">
      <xdr:nvSpPr>
        <xdr:cNvPr id="25" name="Texto 586">
          <a:extLst>
            <a:ext uri="{FF2B5EF4-FFF2-40B4-BE49-F238E27FC236}">
              <a16:creationId xmlns:a16="http://schemas.microsoft.com/office/drawing/2014/main" id="{00000000-0008-0000-1E00-000019000000}"/>
            </a:ext>
          </a:extLst>
        </xdr:cNvPr>
        <xdr:cNvSpPr txBox="1">
          <a:spLocks noChangeArrowheads="1"/>
        </xdr:cNvSpPr>
      </xdr:nvSpPr>
      <xdr:spPr bwMode="auto">
        <a:xfrm>
          <a:off x="5187315" y="13925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8D6A692-A5A3-42B6-9C79-CC59D4FD5FB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2.571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3470910</xdr:colOff>
      <xdr:row>8</xdr:row>
      <xdr:rowOff>123606</xdr:rowOff>
    </xdr:from>
    <xdr:to>
      <xdr:col>4</xdr:col>
      <xdr:colOff>3607294</xdr:colOff>
      <xdr:row>10</xdr:row>
      <xdr:rowOff>79640</xdr:rowOff>
    </xdr:to>
    <xdr:sp macro="" textlink="'Data 1'!D371">
      <xdr:nvSpPr>
        <xdr:cNvPr id="26" name="Texto 587">
          <a:extLst>
            <a:ext uri="{FF2B5EF4-FFF2-40B4-BE49-F238E27FC236}">
              <a16:creationId xmlns:a16="http://schemas.microsoft.com/office/drawing/2014/main" id="{00000000-0008-0000-1E00-00001A000000}"/>
            </a:ext>
          </a:extLst>
        </xdr:cNvPr>
        <xdr:cNvSpPr txBox="1">
          <a:spLocks noChangeArrowheads="1"/>
        </xdr:cNvSpPr>
      </xdr:nvSpPr>
      <xdr:spPr bwMode="auto">
        <a:xfrm>
          <a:off x="5328285" y="1504731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49A39086-89CD-457E-87FC-2DC2C602C04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3.985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3629025</xdr:colOff>
      <xdr:row>8</xdr:row>
      <xdr:rowOff>78105</xdr:rowOff>
    </xdr:from>
    <xdr:to>
      <xdr:col>4</xdr:col>
      <xdr:colOff>3765409</xdr:colOff>
      <xdr:row>9</xdr:row>
      <xdr:rowOff>110464</xdr:rowOff>
    </xdr:to>
    <xdr:sp macro="" textlink="'Data 1'!E372">
      <xdr:nvSpPr>
        <xdr:cNvPr id="27" name="Texto 588">
          <a:extLst>
            <a:ext uri="{FF2B5EF4-FFF2-40B4-BE49-F238E27FC236}">
              <a16:creationId xmlns:a16="http://schemas.microsoft.com/office/drawing/2014/main" id="{00000000-0008-0000-1E00-00001B000000}"/>
            </a:ext>
          </a:extLst>
        </xdr:cNvPr>
        <xdr:cNvSpPr txBox="1">
          <a:spLocks noChangeArrowheads="1"/>
        </xdr:cNvSpPr>
      </xdr:nvSpPr>
      <xdr:spPr bwMode="auto">
        <a:xfrm>
          <a:off x="5486400" y="145923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E159348E-84FC-49D5-97B0-7A36B8802C3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499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3771900</xdr:colOff>
      <xdr:row>9</xdr:row>
      <xdr:rowOff>146997</xdr:rowOff>
    </xdr:from>
    <xdr:to>
      <xdr:col>4</xdr:col>
      <xdr:colOff>3908284</xdr:colOff>
      <xdr:row>11</xdr:row>
      <xdr:rowOff>17431</xdr:rowOff>
    </xdr:to>
    <xdr:sp macro="" textlink="'Data 1'!D372">
      <xdr:nvSpPr>
        <xdr:cNvPr id="28" name="Texto 589">
          <a:extLst>
            <a:ext uri="{FF2B5EF4-FFF2-40B4-BE49-F238E27FC236}">
              <a16:creationId xmlns:a16="http://schemas.microsoft.com/office/drawing/2014/main" id="{00000000-0008-0000-1E00-00001C000000}"/>
            </a:ext>
          </a:extLst>
        </xdr:cNvPr>
        <xdr:cNvSpPr txBox="1">
          <a:spLocks noChangeArrowheads="1"/>
        </xdr:cNvSpPr>
      </xdr:nvSpPr>
      <xdr:spPr bwMode="auto">
        <a:xfrm>
          <a:off x="5629275" y="1690047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742F28C-44FA-4370-9079-1D8ACCE2140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568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3937635</xdr:colOff>
      <xdr:row>9</xdr:row>
      <xdr:rowOff>60960</xdr:rowOff>
    </xdr:from>
    <xdr:to>
      <xdr:col>4</xdr:col>
      <xdr:colOff>4074019</xdr:colOff>
      <xdr:row>9</xdr:row>
      <xdr:rowOff>141110</xdr:rowOff>
    </xdr:to>
    <xdr:sp macro="" textlink="'Data 1'!E373">
      <xdr:nvSpPr>
        <xdr:cNvPr id="29" name="Texto 590">
          <a:extLst>
            <a:ext uri="{FF2B5EF4-FFF2-40B4-BE49-F238E27FC236}">
              <a16:creationId xmlns:a16="http://schemas.microsoft.com/office/drawing/2014/main" id="{00000000-0008-0000-1E00-00001D000000}"/>
            </a:ext>
          </a:extLst>
        </xdr:cNvPr>
        <xdr:cNvSpPr txBox="1">
          <a:spLocks noChangeArrowheads="1"/>
        </xdr:cNvSpPr>
      </xdr:nvSpPr>
      <xdr:spPr bwMode="auto">
        <a:xfrm>
          <a:off x="5795010" y="160401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960FBA4-4867-4471-9A97-34B902AD42E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4061460</xdr:colOff>
      <xdr:row>11</xdr:row>
      <xdr:rowOff>45720</xdr:rowOff>
    </xdr:from>
    <xdr:to>
      <xdr:col>4</xdr:col>
      <xdr:colOff>4197844</xdr:colOff>
      <xdr:row>11</xdr:row>
      <xdr:rowOff>125870</xdr:rowOff>
    </xdr:to>
    <xdr:sp macro="" textlink="'Data 1'!D373">
      <xdr:nvSpPr>
        <xdr:cNvPr id="30" name="Texto 591">
          <a:extLst>
            <a:ext uri="{FF2B5EF4-FFF2-40B4-BE49-F238E27FC236}">
              <a16:creationId xmlns:a16="http://schemas.microsoft.com/office/drawing/2014/main" id="{00000000-0008-0000-1E00-00001E000000}"/>
            </a:ext>
          </a:extLst>
        </xdr:cNvPr>
        <xdr:cNvSpPr txBox="1">
          <a:spLocks noChangeArrowheads="1"/>
        </xdr:cNvSpPr>
      </xdr:nvSpPr>
      <xdr:spPr bwMode="auto">
        <a:xfrm>
          <a:off x="5918835" y="191262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F22246C8-7489-4B67-91AF-E4634CBDF65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4231005</xdr:colOff>
      <xdr:row>9</xdr:row>
      <xdr:rowOff>108585</xdr:rowOff>
    </xdr:from>
    <xdr:to>
      <xdr:col>4</xdr:col>
      <xdr:colOff>4367389</xdr:colOff>
      <xdr:row>10</xdr:row>
      <xdr:rowOff>140944</xdr:rowOff>
    </xdr:to>
    <xdr:sp macro="" textlink="'Data 1'!E367">
      <xdr:nvSpPr>
        <xdr:cNvPr id="31" name="Texto 592">
          <a:extLst>
            <a:ext uri="{FF2B5EF4-FFF2-40B4-BE49-F238E27FC236}">
              <a16:creationId xmlns:a16="http://schemas.microsoft.com/office/drawing/2014/main" id="{00000000-0008-0000-1E00-00001F000000}"/>
            </a:ext>
          </a:extLst>
        </xdr:cNvPr>
        <xdr:cNvSpPr txBox="1">
          <a:spLocks noChangeArrowheads="1"/>
        </xdr:cNvSpPr>
      </xdr:nvSpPr>
      <xdr:spPr bwMode="auto">
        <a:xfrm>
          <a:off x="6088380" y="16516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CEAC92A-3A39-4480-A7FA-55FB8CD7138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196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2270760</xdr:colOff>
      <xdr:row>6</xdr:row>
      <xdr:rowOff>74295</xdr:rowOff>
    </xdr:from>
    <xdr:to>
      <xdr:col>4</xdr:col>
      <xdr:colOff>2791159</xdr:colOff>
      <xdr:row>7</xdr:row>
      <xdr:rowOff>47656</xdr:rowOff>
    </xdr:to>
    <xdr:sp macro="" textlink="">
      <xdr:nvSpPr>
        <xdr:cNvPr id="32" name="Texto 595">
          <a:extLst>
            <a:ext uri="{FF2B5EF4-FFF2-40B4-BE49-F238E27FC236}">
              <a16:creationId xmlns:a16="http://schemas.microsoft.com/office/drawing/2014/main" id="{00000000-0008-0000-1E00-000020000000}"/>
            </a:ext>
          </a:extLst>
        </xdr:cNvPr>
        <xdr:cNvSpPr txBox="1">
          <a:spLocks noChangeArrowheads="1"/>
        </xdr:cNvSpPr>
      </xdr:nvSpPr>
      <xdr:spPr bwMode="auto">
        <a:xfrm>
          <a:off x="4128135" y="1131570"/>
          <a:ext cx="52039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Errondenia</a:t>
          </a:r>
        </a:p>
      </xdr:txBody>
    </xdr:sp>
    <xdr:clientData/>
  </xdr:twoCellAnchor>
  <xdr:twoCellAnchor editAs="absolute">
    <xdr:from>
      <xdr:col>4</xdr:col>
      <xdr:colOff>4672965</xdr:colOff>
      <xdr:row>9</xdr:row>
      <xdr:rowOff>108585</xdr:rowOff>
    </xdr:from>
    <xdr:to>
      <xdr:col>4</xdr:col>
      <xdr:colOff>4999336</xdr:colOff>
      <xdr:row>10</xdr:row>
      <xdr:rowOff>81946</xdr:rowOff>
    </xdr:to>
    <xdr:sp macro="" textlink="">
      <xdr:nvSpPr>
        <xdr:cNvPr id="33" name="Texto 596">
          <a:extLst>
            <a:ext uri="{FF2B5EF4-FFF2-40B4-BE49-F238E27FC236}">
              <a16:creationId xmlns:a16="http://schemas.microsoft.com/office/drawing/2014/main" id="{00000000-0008-0000-1E00-000021000000}"/>
            </a:ext>
          </a:extLst>
        </xdr:cNvPr>
        <xdr:cNvSpPr txBox="1">
          <a:spLocks noChangeArrowheads="1"/>
        </xdr:cNvSpPr>
      </xdr:nvSpPr>
      <xdr:spPr bwMode="auto">
        <a:xfrm>
          <a:off x="6530340" y="1651635"/>
          <a:ext cx="32637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Baixas</a:t>
          </a:r>
        </a:p>
      </xdr:txBody>
    </xdr:sp>
    <xdr:clientData/>
  </xdr:twoCellAnchor>
  <xdr:twoCellAnchor editAs="absolute">
    <xdr:from>
      <xdr:col>4</xdr:col>
      <xdr:colOff>3187065</xdr:colOff>
      <xdr:row>6</xdr:row>
      <xdr:rowOff>118110</xdr:rowOff>
    </xdr:from>
    <xdr:to>
      <xdr:col>4</xdr:col>
      <xdr:colOff>3445021</xdr:colOff>
      <xdr:row>7</xdr:row>
      <xdr:rowOff>91471</xdr:rowOff>
    </xdr:to>
    <xdr:sp macro="" textlink="">
      <xdr:nvSpPr>
        <xdr:cNvPr id="34" name="Texto 597">
          <a:extLst>
            <a:ext uri="{FF2B5EF4-FFF2-40B4-BE49-F238E27FC236}">
              <a16:creationId xmlns:a16="http://schemas.microsoft.com/office/drawing/2014/main" id="{00000000-0008-0000-1E00-000022000000}"/>
            </a:ext>
          </a:extLst>
        </xdr:cNvPr>
        <xdr:cNvSpPr txBox="1">
          <a:spLocks noChangeArrowheads="1"/>
        </xdr:cNvSpPr>
      </xdr:nvSpPr>
      <xdr:spPr bwMode="auto">
        <a:xfrm>
          <a:off x="5044440" y="1175385"/>
          <a:ext cx="25795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4364355</xdr:colOff>
      <xdr:row>9</xdr:row>
      <xdr:rowOff>22860</xdr:rowOff>
    </xdr:from>
    <xdr:to>
      <xdr:col>4</xdr:col>
      <xdr:colOff>5329556</xdr:colOff>
      <xdr:row>10</xdr:row>
      <xdr:rowOff>1936</xdr:rowOff>
    </xdr:to>
    <xdr:sp macro="" textlink="">
      <xdr:nvSpPr>
        <xdr:cNvPr id="35" name="Texto 598">
          <a:extLst>
            <a:ext uri="{FF2B5EF4-FFF2-40B4-BE49-F238E27FC236}">
              <a16:creationId xmlns:a16="http://schemas.microsoft.com/office/drawing/2014/main" id="{00000000-0008-0000-1E00-000023000000}"/>
            </a:ext>
          </a:extLst>
        </xdr:cNvPr>
        <xdr:cNvSpPr txBox="1">
          <a:spLocks noChangeArrowheads="1"/>
        </xdr:cNvSpPr>
      </xdr:nvSpPr>
      <xdr:spPr bwMode="auto">
        <a:xfrm>
          <a:off x="6221730" y="1565910"/>
          <a:ext cx="96520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Margineda (Andorra)</a:t>
          </a:r>
        </a:p>
      </xdr:txBody>
    </xdr:sp>
    <xdr:clientData/>
  </xdr:twoCellAnchor>
  <xdr:twoCellAnchor editAs="absolute">
    <xdr:from>
      <xdr:col>4</xdr:col>
      <xdr:colOff>3771900</xdr:colOff>
      <xdr:row>7</xdr:row>
      <xdr:rowOff>125730</xdr:rowOff>
    </xdr:from>
    <xdr:to>
      <xdr:col>4</xdr:col>
      <xdr:colOff>4263766</xdr:colOff>
      <xdr:row>8</xdr:row>
      <xdr:rowOff>99091</xdr:rowOff>
    </xdr:to>
    <xdr:sp macro="" textlink="">
      <xdr:nvSpPr>
        <xdr:cNvPr id="36" name="Texto 599">
          <a:extLst>
            <a:ext uri="{FF2B5EF4-FFF2-40B4-BE49-F238E27FC236}">
              <a16:creationId xmlns:a16="http://schemas.microsoft.com/office/drawing/2014/main" id="{00000000-0008-0000-1E00-000024000000}"/>
            </a:ext>
          </a:extLst>
        </xdr:cNvPr>
        <xdr:cNvSpPr txBox="1">
          <a:spLocks noChangeArrowheads="1"/>
        </xdr:cNvSpPr>
      </xdr:nvSpPr>
      <xdr:spPr bwMode="auto">
        <a:xfrm>
          <a:off x="5629275" y="1344930"/>
          <a:ext cx="49186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Pragnéres</a:t>
          </a:r>
        </a:p>
      </xdr:txBody>
    </xdr:sp>
    <xdr:clientData/>
  </xdr:twoCellAnchor>
  <xdr:twoCellAnchor editAs="absolute">
    <xdr:from>
      <xdr:col>4</xdr:col>
      <xdr:colOff>3465195</xdr:colOff>
      <xdr:row>7</xdr:row>
      <xdr:rowOff>40005</xdr:rowOff>
    </xdr:from>
    <xdr:to>
      <xdr:col>4</xdr:col>
      <xdr:colOff>3723151</xdr:colOff>
      <xdr:row>8</xdr:row>
      <xdr:rowOff>13366</xdr:rowOff>
    </xdr:to>
    <xdr:sp macro="" textlink="">
      <xdr:nvSpPr>
        <xdr:cNvPr id="37" name="Texto 600">
          <a:extLst>
            <a:ext uri="{FF2B5EF4-FFF2-40B4-BE49-F238E27FC236}">
              <a16:creationId xmlns:a16="http://schemas.microsoft.com/office/drawing/2014/main" id="{00000000-0008-0000-1E00-000025000000}"/>
            </a:ext>
          </a:extLst>
        </xdr:cNvPr>
        <xdr:cNvSpPr txBox="1">
          <a:spLocks noChangeArrowheads="1"/>
        </xdr:cNvSpPr>
      </xdr:nvSpPr>
      <xdr:spPr bwMode="auto">
        <a:xfrm>
          <a:off x="5322570" y="1259205"/>
          <a:ext cx="25795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4078605</xdr:colOff>
      <xdr:row>8</xdr:row>
      <xdr:rowOff>93345</xdr:rowOff>
    </xdr:from>
    <xdr:to>
      <xdr:col>4</xdr:col>
      <xdr:colOff>4498785</xdr:colOff>
      <xdr:row>9</xdr:row>
      <xdr:rowOff>66706</xdr:rowOff>
    </xdr:to>
    <xdr:sp macro="" textlink="">
      <xdr:nvSpPr>
        <xdr:cNvPr id="38" name="Texto 601">
          <a:extLst>
            <a:ext uri="{FF2B5EF4-FFF2-40B4-BE49-F238E27FC236}">
              <a16:creationId xmlns:a16="http://schemas.microsoft.com/office/drawing/2014/main" id="{00000000-0008-0000-1E00-000026000000}"/>
            </a:ext>
          </a:extLst>
        </xdr:cNvPr>
        <xdr:cNvSpPr txBox="1">
          <a:spLocks noChangeArrowheads="1"/>
        </xdr:cNvSpPr>
      </xdr:nvSpPr>
      <xdr:spPr bwMode="auto">
        <a:xfrm>
          <a:off x="5935980" y="1474470"/>
          <a:ext cx="42018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Lac D'oo</a:t>
          </a:r>
        </a:p>
      </xdr:txBody>
    </xdr:sp>
    <xdr:clientData/>
  </xdr:twoCellAnchor>
  <xdr:twoCellAnchor editAs="absolute">
    <xdr:from>
      <xdr:col>4</xdr:col>
      <xdr:colOff>2343150</xdr:colOff>
      <xdr:row>9</xdr:row>
      <xdr:rowOff>20955</xdr:rowOff>
    </xdr:from>
    <xdr:to>
      <xdr:col>4</xdr:col>
      <xdr:colOff>2886440</xdr:colOff>
      <xdr:row>10</xdr:row>
      <xdr:rowOff>31</xdr:rowOff>
    </xdr:to>
    <xdr:sp macro="" textlink="">
      <xdr:nvSpPr>
        <xdr:cNvPr id="39" name="Texto 602">
          <a:extLst>
            <a:ext uri="{FF2B5EF4-FFF2-40B4-BE49-F238E27FC236}">
              <a16:creationId xmlns:a16="http://schemas.microsoft.com/office/drawing/2014/main" id="{00000000-0008-0000-1E00-000027000000}"/>
            </a:ext>
          </a:extLst>
        </xdr:cNvPr>
        <xdr:cNvSpPr txBox="1">
          <a:spLocks noChangeArrowheads="1"/>
        </xdr:cNvSpPr>
      </xdr:nvSpPr>
      <xdr:spPr bwMode="auto">
        <a:xfrm>
          <a:off x="4200525" y="1564005"/>
          <a:ext cx="54329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Irún 132 kV</a:t>
          </a:r>
        </a:p>
      </xdr:txBody>
    </xdr:sp>
    <xdr:clientData/>
  </xdr:twoCellAnchor>
  <xdr:twoCellAnchor editAs="absolute">
    <xdr:from>
      <xdr:col>4</xdr:col>
      <xdr:colOff>2541270</xdr:colOff>
      <xdr:row>9</xdr:row>
      <xdr:rowOff>108585</xdr:rowOff>
    </xdr:from>
    <xdr:to>
      <xdr:col>4</xdr:col>
      <xdr:colOff>3198501</xdr:colOff>
      <xdr:row>10</xdr:row>
      <xdr:rowOff>81946</xdr:rowOff>
    </xdr:to>
    <xdr:sp macro="" textlink="">
      <xdr:nvSpPr>
        <xdr:cNvPr id="40" name="Texto 604">
          <a:extLst>
            <a:ext uri="{FF2B5EF4-FFF2-40B4-BE49-F238E27FC236}">
              <a16:creationId xmlns:a16="http://schemas.microsoft.com/office/drawing/2014/main" id="{00000000-0008-0000-1E00-000028000000}"/>
            </a:ext>
          </a:extLst>
        </xdr:cNvPr>
        <xdr:cNvSpPr txBox="1">
          <a:spLocks noChangeArrowheads="1"/>
        </xdr:cNvSpPr>
      </xdr:nvSpPr>
      <xdr:spPr bwMode="auto">
        <a:xfrm>
          <a:off x="4398645" y="1651635"/>
          <a:ext cx="65723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Arkale 220 kV</a:t>
          </a:r>
        </a:p>
      </xdr:txBody>
    </xdr:sp>
    <xdr:clientData/>
  </xdr:twoCellAnchor>
  <xdr:twoCellAnchor editAs="absolute">
    <xdr:from>
      <xdr:col>4</xdr:col>
      <xdr:colOff>3042285</xdr:colOff>
      <xdr:row>10</xdr:row>
      <xdr:rowOff>146685</xdr:rowOff>
    </xdr:from>
    <xdr:to>
      <xdr:col>4</xdr:col>
      <xdr:colOff>3767933</xdr:colOff>
      <xdr:row>11</xdr:row>
      <xdr:rowOff>120046</xdr:rowOff>
    </xdr:to>
    <xdr:sp macro="" textlink="">
      <xdr:nvSpPr>
        <xdr:cNvPr id="41" name="Texto 606">
          <a:extLst>
            <a:ext uri="{FF2B5EF4-FFF2-40B4-BE49-F238E27FC236}">
              <a16:creationId xmlns:a16="http://schemas.microsoft.com/office/drawing/2014/main" id="{00000000-0008-0000-1E00-000029000000}"/>
            </a:ext>
          </a:extLst>
        </xdr:cNvPr>
        <xdr:cNvSpPr txBox="1">
          <a:spLocks noChangeArrowheads="1"/>
        </xdr:cNvSpPr>
      </xdr:nvSpPr>
      <xdr:spPr bwMode="auto">
        <a:xfrm>
          <a:off x="4899660" y="1851660"/>
          <a:ext cx="72564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Biescas 220 kV</a:t>
          </a:r>
        </a:p>
      </xdr:txBody>
    </xdr:sp>
    <xdr:clientData/>
  </xdr:twoCellAnchor>
  <xdr:twoCellAnchor editAs="absolute">
    <xdr:from>
      <xdr:col>4</xdr:col>
      <xdr:colOff>2737485</xdr:colOff>
      <xdr:row>10</xdr:row>
      <xdr:rowOff>43815</xdr:rowOff>
    </xdr:from>
    <xdr:to>
      <xdr:col>4</xdr:col>
      <xdr:colOff>3463196</xdr:colOff>
      <xdr:row>11</xdr:row>
      <xdr:rowOff>17176</xdr:rowOff>
    </xdr:to>
    <xdr:sp macro="" textlink="">
      <xdr:nvSpPr>
        <xdr:cNvPr id="42" name="Texto 607">
          <a:extLst>
            <a:ext uri="{FF2B5EF4-FFF2-40B4-BE49-F238E27FC236}">
              <a16:creationId xmlns:a16="http://schemas.microsoft.com/office/drawing/2014/main" id="{00000000-0008-0000-1E00-00002A000000}"/>
            </a:ext>
          </a:extLst>
        </xdr:cNvPr>
        <xdr:cNvSpPr txBox="1">
          <a:spLocks noChangeArrowheads="1"/>
        </xdr:cNvSpPr>
      </xdr:nvSpPr>
      <xdr:spPr bwMode="auto">
        <a:xfrm>
          <a:off x="4594860" y="1748790"/>
          <a:ext cx="72571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Hernani 400 kV</a:t>
          </a:r>
        </a:p>
      </xdr:txBody>
    </xdr:sp>
    <xdr:clientData/>
  </xdr:twoCellAnchor>
  <xdr:twoCellAnchor editAs="absolute">
    <xdr:from>
      <xdr:col>4</xdr:col>
      <xdr:colOff>3400425</xdr:colOff>
      <xdr:row>11</xdr:row>
      <xdr:rowOff>100965</xdr:rowOff>
    </xdr:from>
    <xdr:to>
      <xdr:col>4</xdr:col>
      <xdr:colOff>4057784</xdr:colOff>
      <xdr:row>12</xdr:row>
      <xdr:rowOff>74326</xdr:rowOff>
    </xdr:to>
    <xdr:sp macro="" textlink="">
      <xdr:nvSpPr>
        <xdr:cNvPr id="43" name="Texto 608">
          <a:extLst>
            <a:ext uri="{FF2B5EF4-FFF2-40B4-BE49-F238E27FC236}">
              <a16:creationId xmlns:a16="http://schemas.microsoft.com/office/drawing/2014/main" id="{00000000-0008-0000-1E00-00002B000000}"/>
            </a:ext>
          </a:extLst>
        </xdr:cNvPr>
        <xdr:cNvSpPr txBox="1">
          <a:spLocks noChangeArrowheads="1"/>
        </xdr:cNvSpPr>
      </xdr:nvSpPr>
      <xdr:spPr bwMode="auto">
        <a:xfrm>
          <a:off x="5257800" y="1967865"/>
          <a:ext cx="65735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Benós 150 kV</a:t>
          </a:r>
        </a:p>
      </xdr:txBody>
    </xdr:sp>
    <xdr:clientData/>
  </xdr:twoCellAnchor>
  <xdr:twoCellAnchor editAs="absolute">
    <xdr:from>
      <xdr:col>4</xdr:col>
      <xdr:colOff>3747135</xdr:colOff>
      <xdr:row>12</xdr:row>
      <xdr:rowOff>30480</xdr:rowOff>
    </xdr:from>
    <xdr:to>
      <xdr:col>4</xdr:col>
      <xdr:colOff>4375833</xdr:colOff>
      <xdr:row>13</xdr:row>
      <xdr:rowOff>3841</xdr:rowOff>
    </xdr:to>
    <xdr:sp macro="" textlink="">
      <xdr:nvSpPr>
        <xdr:cNvPr id="44" name="Texto 605">
          <a:extLst>
            <a:ext uri="{FF2B5EF4-FFF2-40B4-BE49-F238E27FC236}">
              <a16:creationId xmlns:a16="http://schemas.microsoft.com/office/drawing/2014/main" id="{00000000-0008-0000-1E00-00002C000000}"/>
            </a:ext>
          </a:extLst>
        </xdr:cNvPr>
        <xdr:cNvSpPr txBox="1">
          <a:spLocks noChangeArrowheads="1"/>
        </xdr:cNvSpPr>
      </xdr:nvSpPr>
      <xdr:spPr bwMode="auto">
        <a:xfrm>
          <a:off x="5604510" y="2059305"/>
          <a:ext cx="62869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Adrall 110 kV</a:t>
          </a:r>
        </a:p>
      </xdr:txBody>
    </xdr:sp>
    <xdr:clientData/>
  </xdr:twoCellAnchor>
  <xdr:twoCellAnchor editAs="absolute">
    <xdr:from>
      <xdr:col>4</xdr:col>
      <xdr:colOff>601980</xdr:colOff>
      <xdr:row>10</xdr:row>
      <xdr:rowOff>30480</xdr:rowOff>
    </xdr:from>
    <xdr:to>
      <xdr:col>4</xdr:col>
      <xdr:colOff>716280</xdr:colOff>
      <xdr:row>12</xdr:row>
      <xdr:rowOff>91440</xdr:rowOff>
    </xdr:to>
    <xdr:sp macro="" textlink="">
      <xdr:nvSpPr>
        <xdr:cNvPr id="45" name="Dibujo 610">
          <a:extLst>
            <a:ext uri="{FF2B5EF4-FFF2-40B4-BE49-F238E27FC236}">
              <a16:creationId xmlns:a16="http://schemas.microsoft.com/office/drawing/2014/main" id="{00000000-0008-0000-1E00-00002D000000}"/>
            </a:ext>
          </a:extLst>
        </xdr:cNvPr>
        <xdr:cNvSpPr>
          <a:spLocks/>
        </xdr:cNvSpPr>
      </xdr:nvSpPr>
      <xdr:spPr bwMode="auto">
        <a:xfrm>
          <a:off x="2459355" y="1735455"/>
          <a:ext cx="11430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746760</xdr:colOff>
      <xdr:row>10</xdr:row>
      <xdr:rowOff>137160</xdr:rowOff>
    </xdr:from>
    <xdr:to>
      <xdr:col>4</xdr:col>
      <xdr:colOff>854760</xdr:colOff>
      <xdr:row>13</xdr:row>
      <xdr:rowOff>30480</xdr:rowOff>
    </xdr:to>
    <xdr:sp macro="" textlink="">
      <xdr:nvSpPr>
        <xdr:cNvPr id="46" name="Dibujo 611">
          <a:extLst>
            <a:ext uri="{FF2B5EF4-FFF2-40B4-BE49-F238E27FC236}">
              <a16:creationId xmlns:a16="http://schemas.microsoft.com/office/drawing/2014/main" id="{00000000-0008-0000-1E00-00002E000000}"/>
            </a:ext>
          </a:extLst>
        </xdr:cNvPr>
        <xdr:cNvSpPr>
          <a:spLocks/>
        </xdr:cNvSpPr>
      </xdr:nvSpPr>
      <xdr:spPr bwMode="auto">
        <a:xfrm>
          <a:off x="2604135" y="1827848"/>
          <a:ext cx="108000" cy="36957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581421</xdr:colOff>
      <xdr:row>10</xdr:row>
      <xdr:rowOff>123825</xdr:rowOff>
    </xdr:from>
    <xdr:to>
      <xdr:col>4</xdr:col>
      <xdr:colOff>717805</xdr:colOff>
      <xdr:row>11</xdr:row>
      <xdr:rowOff>156184</xdr:rowOff>
    </xdr:to>
    <xdr:sp macro="" textlink="'Data 1'!D377">
      <xdr:nvSpPr>
        <xdr:cNvPr id="47" name="Texto 612">
          <a:extLst>
            <a:ext uri="{FF2B5EF4-FFF2-40B4-BE49-F238E27FC236}">
              <a16:creationId xmlns:a16="http://schemas.microsoft.com/office/drawing/2014/main" id="{00000000-0008-0000-1E00-00002F000000}"/>
            </a:ext>
          </a:extLst>
        </xdr:cNvPr>
        <xdr:cNvSpPr txBox="1">
          <a:spLocks noChangeArrowheads="1"/>
        </xdr:cNvSpPr>
      </xdr:nvSpPr>
      <xdr:spPr bwMode="auto">
        <a:xfrm>
          <a:off x="2438796" y="18288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B49D573-7F27-4AB0-A811-8224342D2A7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1.019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712866</xdr:colOff>
      <xdr:row>11</xdr:row>
      <xdr:rowOff>20955</xdr:rowOff>
    </xdr:from>
    <xdr:to>
      <xdr:col>4</xdr:col>
      <xdr:colOff>849250</xdr:colOff>
      <xdr:row>12</xdr:row>
      <xdr:rowOff>138914</xdr:rowOff>
    </xdr:to>
    <xdr:sp macro="" textlink="'Data 1'!E377">
      <xdr:nvSpPr>
        <xdr:cNvPr id="48" name="Texto 613">
          <a:extLst>
            <a:ext uri="{FF2B5EF4-FFF2-40B4-BE49-F238E27FC236}">
              <a16:creationId xmlns:a16="http://schemas.microsoft.com/office/drawing/2014/main" id="{00000000-0008-0000-1E00-000030000000}"/>
            </a:ext>
          </a:extLst>
        </xdr:cNvPr>
        <xdr:cNvSpPr txBox="1">
          <a:spLocks noChangeArrowheads="1"/>
        </xdr:cNvSpPr>
      </xdr:nvSpPr>
      <xdr:spPr bwMode="auto">
        <a:xfrm>
          <a:off x="2570241" y="18878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22F03D33-684A-4019-A456-BB3742F4E55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3.190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1348519</xdr:colOff>
      <xdr:row>20</xdr:row>
      <xdr:rowOff>30702</xdr:rowOff>
    </xdr:from>
    <xdr:to>
      <xdr:col>4</xdr:col>
      <xdr:colOff>2028513</xdr:colOff>
      <xdr:row>21</xdr:row>
      <xdr:rowOff>4063</xdr:rowOff>
    </xdr:to>
    <xdr:sp macro="" textlink="">
      <xdr:nvSpPr>
        <xdr:cNvPr id="49" name="Texto 626">
          <a:extLst>
            <a:ext uri="{FF2B5EF4-FFF2-40B4-BE49-F238E27FC236}">
              <a16:creationId xmlns:a16="http://schemas.microsoft.com/office/drawing/2014/main" id="{00000000-0008-0000-1E00-000031000000}"/>
            </a:ext>
          </a:extLst>
        </xdr:cNvPr>
        <xdr:cNvSpPr txBox="1">
          <a:spLocks noChangeArrowheads="1"/>
        </xdr:cNvSpPr>
      </xdr:nvSpPr>
      <xdr:spPr bwMode="auto">
        <a:xfrm>
          <a:off x="3205894" y="3354927"/>
          <a:ext cx="679994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Cedillo 400 kV</a:t>
          </a:r>
        </a:p>
      </xdr:txBody>
    </xdr:sp>
    <xdr:clientData/>
  </xdr:twoCellAnchor>
  <xdr:twoCellAnchor editAs="absolute">
    <xdr:from>
      <xdr:col>4</xdr:col>
      <xdr:colOff>1330197</xdr:colOff>
      <xdr:row>21</xdr:row>
      <xdr:rowOff>145535</xdr:rowOff>
    </xdr:from>
    <xdr:to>
      <xdr:col>4</xdr:col>
      <xdr:colOff>2010320</xdr:colOff>
      <xdr:row>22</xdr:row>
      <xdr:rowOff>118896</xdr:rowOff>
    </xdr:to>
    <xdr:sp macro="" textlink="">
      <xdr:nvSpPr>
        <xdr:cNvPr id="50" name="Texto 628">
          <a:extLst>
            <a:ext uri="{FF2B5EF4-FFF2-40B4-BE49-F238E27FC236}">
              <a16:creationId xmlns:a16="http://schemas.microsoft.com/office/drawing/2014/main" id="{00000000-0008-0000-1E00-000032000000}"/>
            </a:ext>
          </a:extLst>
        </xdr:cNvPr>
        <xdr:cNvSpPr txBox="1">
          <a:spLocks noChangeArrowheads="1"/>
        </xdr:cNvSpPr>
      </xdr:nvSpPr>
      <xdr:spPr bwMode="auto">
        <a:xfrm>
          <a:off x="3187572" y="3631685"/>
          <a:ext cx="680123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Badajoz 66 kV</a:t>
          </a:r>
        </a:p>
      </xdr:txBody>
    </xdr:sp>
    <xdr:clientData/>
  </xdr:twoCellAnchor>
  <xdr:twoCellAnchor editAs="absolute">
    <xdr:from>
      <xdr:col>4</xdr:col>
      <xdr:colOff>1325835</xdr:colOff>
      <xdr:row>16</xdr:row>
      <xdr:rowOff>145800</xdr:rowOff>
    </xdr:from>
    <xdr:to>
      <xdr:col>4</xdr:col>
      <xdr:colOff>2222684</xdr:colOff>
      <xdr:row>17</xdr:row>
      <xdr:rowOff>119161</xdr:rowOff>
    </xdr:to>
    <xdr:sp macro="" textlink="">
      <xdr:nvSpPr>
        <xdr:cNvPr id="51" name="Texto 629">
          <a:extLst>
            <a:ext uri="{FF2B5EF4-FFF2-40B4-BE49-F238E27FC236}">
              <a16:creationId xmlns:a16="http://schemas.microsoft.com/office/drawing/2014/main" id="{00000000-0008-0000-1E00-000033000000}"/>
            </a:ext>
          </a:extLst>
        </xdr:cNvPr>
        <xdr:cNvSpPr txBox="1">
          <a:spLocks noChangeArrowheads="1"/>
        </xdr:cNvSpPr>
      </xdr:nvSpPr>
      <xdr:spPr bwMode="auto">
        <a:xfrm>
          <a:off x="3183210" y="2822325"/>
          <a:ext cx="89684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Aldeadávila 220 kV</a:t>
          </a:r>
        </a:p>
      </xdr:txBody>
    </xdr:sp>
    <xdr:clientData/>
  </xdr:twoCellAnchor>
  <xdr:twoCellAnchor editAs="absolute">
    <xdr:from>
      <xdr:col>4</xdr:col>
      <xdr:colOff>1342625</xdr:colOff>
      <xdr:row>18</xdr:row>
      <xdr:rowOff>101320</xdr:rowOff>
    </xdr:from>
    <xdr:to>
      <xdr:col>4</xdr:col>
      <xdr:colOff>2102577</xdr:colOff>
      <xdr:row>19</xdr:row>
      <xdr:rowOff>74681</xdr:rowOff>
    </xdr:to>
    <xdr:sp macro="" textlink="">
      <xdr:nvSpPr>
        <xdr:cNvPr id="52" name="Texto 630">
          <a:extLst>
            <a:ext uri="{FF2B5EF4-FFF2-40B4-BE49-F238E27FC236}">
              <a16:creationId xmlns:a16="http://schemas.microsoft.com/office/drawing/2014/main" id="{00000000-0008-0000-1E00-000034000000}"/>
            </a:ext>
          </a:extLst>
        </xdr:cNvPr>
        <xdr:cNvSpPr txBox="1">
          <a:spLocks noChangeArrowheads="1"/>
        </xdr:cNvSpPr>
      </xdr:nvSpPr>
      <xdr:spPr bwMode="auto">
        <a:xfrm>
          <a:off x="3200000" y="3101695"/>
          <a:ext cx="75995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Saucelle 220 kV</a:t>
          </a:r>
        </a:p>
      </xdr:txBody>
    </xdr:sp>
    <xdr:clientData/>
  </xdr:twoCellAnchor>
  <xdr:twoCellAnchor editAs="absolute">
    <xdr:from>
      <xdr:col>4</xdr:col>
      <xdr:colOff>1340189</xdr:colOff>
      <xdr:row>15</xdr:row>
      <xdr:rowOff>60165</xdr:rowOff>
    </xdr:from>
    <xdr:to>
      <xdr:col>4</xdr:col>
      <xdr:colOff>2265571</xdr:colOff>
      <xdr:row>16</xdr:row>
      <xdr:rowOff>33526</xdr:rowOff>
    </xdr:to>
    <xdr:sp macro="" textlink="">
      <xdr:nvSpPr>
        <xdr:cNvPr id="53" name="Texto 631">
          <a:extLst>
            <a:ext uri="{FF2B5EF4-FFF2-40B4-BE49-F238E27FC236}">
              <a16:creationId xmlns:a16="http://schemas.microsoft.com/office/drawing/2014/main" id="{00000000-0008-0000-1E00-000035000000}"/>
            </a:ext>
          </a:extLst>
        </xdr:cNvPr>
        <xdr:cNvSpPr txBox="1">
          <a:spLocks noChangeArrowheads="1"/>
        </xdr:cNvSpPr>
      </xdr:nvSpPr>
      <xdr:spPr bwMode="auto">
        <a:xfrm>
          <a:off x="3197564" y="2574765"/>
          <a:ext cx="92538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220 kV</a:t>
          </a:r>
        </a:p>
      </xdr:txBody>
    </xdr:sp>
    <xdr:clientData/>
  </xdr:twoCellAnchor>
  <xdr:twoCellAnchor editAs="absolute">
    <xdr:from>
      <xdr:col>4</xdr:col>
      <xdr:colOff>919938</xdr:colOff>
      <xdr:row>20</xdr:row>
      <xdr:rowOff>29815</xdr:rowOff>
    </xdr:from>
    <xdr:to>
      <xdr:col>4</xdr:col>
      <xdr:colOff>1195206</xdr:colOff>
      <xdr:row>21</xdr:row>
      <xdr:rowOff>8891</xdr:rowOff>
    </xdr:to>
    <xdr:sp macro="" textlink="'Data 1'!E383">
      <xdr:nvSpPr>
        <xdr:cNvPr id="54" name="Texto 637">
          <a:extLst>
            <a:ext uri="{FF2B5EF4-FFF2-40B4-BE49-F238E27FC236}">
              <a16:creationId xmlns:a16="http://schemas.microsoft.com/office/drawing/2014/main" id="{00000000-0008-0000-1E00-000036000000}"/>
            </a:ext>
          </a:extLst>
        </xdr:cNvPr>
        <xdr:cNvSpPr txBox="1">
          <a:spLocks noChangeArrowheads="1"/>
        </xdr:cNvSpPr>
      </xdr:nvSpPr>
      <xdr:spPr bwMode="auto">
        <a:xfrm>
          <a:off x="2777313" y="3354040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3300B48C-FD66-4111-994B-5FF1CFA8294F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812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916482</xdr:colOff>
      <xdr:row>16</xdr:row>
      <xdr:rowOff>154970</xdr:rowOff>
    </xdr:from>
    <xdr:to>
      <xdr:col>4</xdr:col>
      <xdr:colOff>1106149</xdr:colOff>
      <xdr:row>17</xdr:row>
      <xdr:rowOff>137221</xdr:rowOff>
    </xdr:to>
    <xdr:sp macro="" textlink="'Data 1'!E380">
      <xdr:nvSpPr>
        <xdr:cNvPr id="55" name="Texto 638">
          <a:extLst>
            <a:ext uri="{FF2B5EF4-FFF2-40B4-BE49-F238E27FC236}">
              <a16:creationId xmlns:a16="http://schemas.microsoft.com/office/drawing/2014/main" id="{00000000-0008-0000-1E00-000037000000}"/>
            </a:ext>
          </a:extLst>
        </xdr:cNvPr>
        <xdr:cNvSpPr txBox="1">
          <a:spLocks noChangeArrowheads="1"/>
        </xdr:cNvSpPr>
      </xdr:nvSpPr>
      <xdr:spPr bwMode="auto">
        <a:xfrm>
          <a:off x="2773857" y="2798158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C948E493-5CC1-431A-8F7A-83B6E339C349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277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914400</xdr:colOff>
      <xdr:row>18</xdr:row>
      <xdr:rowOff>95959</xdr:rowOff>
    </xdr:from>
    <xdr:to>
      <xdr:col>4</xdr:col>
      <xdr:colOff>1104067</xdr:colOff>
      <xdr:row>19</xdr:row>
      <xdr:rowOff>78210</xdr:rowOff>
    </xdr:to>
    <xdr:sp macro="" textlink="'Data 1'!E382">
      <xdr:nvSpPr>
        <xdr:cNvPr id="56" name="Texto 639">
          <a:extLst>
            <a:ext uri="{FF2B5EF4-FFF2-40B4-BE49-F238E27FC236}">
              <a16:creationId xmlns:a16="http://schemas.microsoft.com/office/drawing/2014/main" id="{00000000-0008-0000-1E00-000038000000}"/>
            </a:ext>
          </a:extLst>
        </xdr:cNvPr>
        <xdr:cNvSpPr txBox="1">
          <a:spLocks noChangeArrowheads="1"/>
        </xdr:cNvSpPr>
      </xdr:nvSpPr>
      <xdr:spPr bwMode="auto">
        <a:xfrm>
          <a:off x="2771775" y="3056647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06934252-2CF6-4319-84D0-F287464E366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287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930262</xdr:colOff>
      <xdr:row>15</xdr:row>
      <xdr:rowOff>59592</xdr:rowOff>
    </xdr:from>
    <xdr:to>
      <xdr:col>4</xdr:col>
      <xdr:colOff>1119929</xdr:colOff>
      <xdr:row>16</xdr:row>
      <xdr:rowOff>41843</xdr:rowOff>
    </xdr:to>
    <xdr:sp macro="" textlink="'Data 1'!E381">
      <xdr:nvSpPr>
        <xdr:cNvPr id="57" name="Texto 640">
          <a:extLst>
            <a:ext uri="{FF2B5EF4-FFF2-40B4-BE49-F238E27FC236}">
              <a16:creationId xmlns:a16="http://schemas.microsoft.com/office/drawing/2014/main" id="{00000000-0008-0000-1E00-000039000000}"/>
            </a:ext>
          </a:extLst>
        </xdr:cNvPr>
        <xdr:cNvSpPr txBox="1">
          <a:spLocks noChangeArrowheads="1"/>
        </xdr:cNvSpPr>
      </xdr:nvSpPr>
      <xdr:spPr bwMode="auto">
        <a:xfrm>
          <a:off x="2787637" y="254403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1A1357-84B7-48DD-A27A-BC4B60818B0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273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387545</xdr:colOff>
      <xdr:row>21</xdr:row>
      <xdr:rowOff>2720</xdr:rowOff>
    </xdr:from>
    <xdr:to>
      <xdr:col>4</xdr:col>
      <xdr:colOff>951666</xdr:colOff>
      <xdr:row>21</xdr:row>
      <xdr:rowOff>143721</xdr:rowOff>
    </xdr:to>
    <xdr:sp macro="" textlink="">
      <xdr:nvSpPr>
        <xdr:cNvPr id="58" name="Texto 676">
          <a:extLst>
            <a:ext uri="{FF2B5EF4-FFF2-40B4-BE49-F238E27FC236}">
              <a16:creationId xmlns:a16="http://schemas.microsoft.com/office/drawing/2014/main" id="{00000000-0008-0000-1E00-00003A000000}"/>
            </a:ext>
          </a:extLst>
        </xdr:cNvPr>
        <xdr:cNvSpPr txBox="1">
          <a:spLocks noChangeArrowheads="1"/>
        </xdr:cNvSpPr>
      </xdr:nvSpPr>
      <xdr:spPr bwMode="auto">
        <a:xfrm>
          <a:off x="2244920" y="3488870"/>
          <a:ext cx="56412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Alcáçovas            </a:t>
          </a:r>
        </a:p>
      </xdr:txBody>
    </xdr:sp>
    <xdr:clientData/>
  </xdr:twoCellAnchor>
  <xdr:twoCellAnchor editAs="absolute">
    <xdr:from>
      <xdr:col>4</xdr:col>
      <xdr:colOff>4564380</xdr:colOff>
      <xdr:row>10</xdr:row>
      <xdr:rowOff>22860</xdr:rowOff>
    </xdr:from>
    <xdr:to>
      <xdr:col>4</xdr:col>
      <xdr:colOff>4686300</xdr:colOff>
      <xdr:row>12</xdr:row>
      <xdr:rowOff>144780</xdr:rowOff>
    </xdr:to>
    <xdr:sp macro="" textlink="">
      <xdr:nvSpPr>
        <xdr:cNvPr id="59" name="Dibujo 581">
          <a:extLst>
            <a:ext uri="{FF2B5EF4-FFF2-40B4-BE49-F238E27FC236}">
              <a16:creationId xmlns:a16="http://schemas.microsoft.com/office/drawing/2014/main" id="{00000000-0008-0000-1E00-00003B000000}"/>
            </a:ext>
          </a:extLst>
        </xdr:cNvPr>
        <xdr:cNvSpPr>
          <a:spLocks/>
        </xdr:cNvSpPr>
      </xdr:nvSpPr>
      <xdr:spPr bwMode="auto">
        <a:xfrm>
          <a:off x="6421755" y="1727835"/>
          <a:ext cx="121920" cy="44577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4531995</xdr:colOff>
      <xdr:row>10</xdr:row>
      <xdr:rowOff>99060</xdr:rowOff>
    </xdr:from>
    <xdr:to>
      <xdr:col>4</xdr:col>
      <xdr:colOff>4668379</xdr:colOff>
      <xdr:row>11</xdr:row>
      <xdr:rowOff>131419</xdr:rowOff>
    </xdr:to>
    <xdr:sp macro="" textlink="'Data 1'!E375">
      <xdr:nvSpPr>
        <xdr:cNvPr id="60" name="Texto 593">
          <a:extLst>
            <a:ext uri="{FF2B5EF4-FFF2-40B4-BE49-F238E27FC236}">
              <a16:creationId xmlns:a16="http://schemas.microsoft.com/office/drawing/2014/main" id="{00000000-0008-0000-1E00-00003C000000}"/>
            </a:ext>
          </a:extLst>
        </xdr:cNvPr>
        <xdr:cNvSpPr txBox="1">
          <a:spLocks noChangeArrowheads="1"/>
        </xdr:cNvSpPr>
      </xdr:nvSpPr>
      <xdr:spPr bwMode="auto">
        <a:xfrm>
          <a:off x="6389370" y="18040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B9AA7E9-91CD-478F-846A-6F48CDA201E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1.012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4177665</xdr:colOff>
      <xdr:row>12</xdr:row>
      <xdr:rowOff>121920</xdr:rowOff>
    </xdr:from>
    <xdr:to>
      <xdr:col>4</xdr:col>
      <xdr:colOff>4686587</xdr:colOff>
      <xdr:row>13</xdr:row>
      <xdr:rowOff>95281</xdr:rowOff>
    </xdr:to>
    <xdr:sp macro="" textlink="">
      <xdr:nvSpPr>
        <xdr:cNvPr id="61" name="Texto 603">
          <a:extLst>
            <a:ext uri="{FF2B5EF4-FFF2-40B4-BE49-F238E27FC236}">
              <a16:creationId xmlns:a16="http://schemas.microsoft.com/office/drawing/2014/main" id="{00000000-0008-0000-1E00-00003D000000}"/>
            </a:ext>
          </a:extLst>
        </xdr:cNvPr>
        <xdr:cNvSpPr txBox="1">
          <a:spLocks noChangeArrowheads="1"/>
        </xdr:cNvSpPr>
      </xdr:nvSpPr>
      <xdr:spPr bwMode="auto">
        <a:xfrm>
          <a:off x="6035040" y="2150745"/>
          <a:ext cx="50892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Vic 400 kV</a:t>
          </a:r>
        </a:p>
      </xdr:txBody>
    </xdr:sp>
    <xdr:clientData/>
  </xdr:twoCellAnchor>
  <xdr:twoCellAnchor editAs="absolute">
    <xdr:from>
      <xdr:col>4</xdr:col>
      <xdr:colOff>971550</xdr:colOff>
      <xdr:row>9</xdr:row>
      <xdr:rowOff>68580</xdr:rowOff>
    </xdr:from>
    <xdr:to>
      <xdr:col>4</xdr:col>
      <xdr:colOff>1742915</xdr:colOff>
      <xdr:row>10</xdr:row>
      <xdr:rowOff>41941</xdr:rowOff>
    </xdr:to>
    <xdr:sp macro="" textlink="">
      <xdr:nvSpPr>
        <xdr:cNvPr id="62" name="Texto 751">
          <a:extLst>
            <a:ext uri="{FF2B5EF4-FFF2-40B4-BE49-F238E27FC236}">
              <a16:creationId xmlns:a16="http://schemas.microsoft.com/office/drawing/2014/main" id="{00000000-0008-0000-1E00-00003E000000}"/>
            </a:ext>
          </a:extLst>
        </xdr:cNvPr>
        <xdr:cNvSpPr txBox="1">
          <a:spLocks noChangeArrowheads="1"/>
        </xdr:cNvSpPr>
      </xdr:nvSpPr>
      <xdr:spPr bwMode="auto">
        <a:xfrm>
          <a:off x="2828925" y="1611630"/>
          <a:ext cx="771365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Conchas 132 kV</a:t>
          </a:r>
        </a:p>
      </xdr:txBody>
    </xdr:sp>
    <xdr:clientData/>
  </xdr:twoCellAnchor>
  <xdr:twoCellAnchor editAs="absolute">
    <xdr:from>
      <xdr:col>4</xdr:col>
      <xdr:colOff>1173480</xdr:colOff>
      <xdr:row>29</xdr:row>
      <xdr:rowOff>22860</xdr:rowOff>
    </xdr:from>
    <xdr:to>
      <xdr:col>4</xdr:col>
      <xdr:colOff>2956560</xdr:colOff>
      <xdr:row>32</xdr:row>
      <xdr:rowOff>121920</xdr:rowOff>
    </xdr:to>
    <xdr:grpSp>
      <xdr:nvGrpSpPr>
        <xdr:cNvPr id="63" name="Group 121">
          <a:extLst>
            <a:ext uri="{FF2B5EF4-FFF2-40B4-BE49-F238E27FC236}">
              <a16:creationId xmlns:a16="http://schemas.microsoft.com/office/drawing/2014/main" id="{00000000-0008-0000-1E00-00003F000000}"/>
            </a:ext>
          </a:extLst>
        </xdr:cNvPr>
        <xdr:cNvGrpSpPr>
          <a:grpSpLocks/>
        </xdr:cNvGrpSpPr>
      </xdr:nvGrpSpPr>
      <xdr:grpSpPr bwMode="auto">
        <a:xfrm>
          <a:off x="3030855" y="4804410"/>
          <a:ext cx="1783080" cy="584835"/>
          <a:chOff x="233" y="439"/>
          <a:chExt cx="183" cy="64"/>
        </a:xfrm>
      </xdr:grpSpPr>
      <xdr:sp macro="" textlink="">
        <xdr:nvSpPr>
          <xdr:cNvPr id="64" name="Dibujo 753">
            <a:extLst>
              <a:ext uri="{FF2B5EF4-FFF2-40B4-BE49-F238E27FC236}">
                <a16:creationId xmlns:a16="http://schemas.microsoft.com/office/drawing/2014/main" id="{00000000-0008-0000-1E00-000040000000}"/>
              </a:ext>
            </a:extLst>
          </xdr:cNvPr>
          <xdr:cNvSpPr>
            <a:spLocks/>
          </xdr:cNvSpPr>
        </xdr:nvSpPr>
        <xdr:spPr bwMode="auto">
          <a:xfrm>
            <a:off x="293" y="459"/>
            <a:ext cx="15" cy="37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3863"/>
                </a:lnTo>
                <a:lnTo>
                  <a:pt x="8937" y="16384"/>
                </a:lnTo>
                <a:lnTo>
                  <a:pt x="0" y="13863"/>
                </a:lnTo>
                <a:lnTo>
                  <a:pt x="0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'Data 1'!E390">
        <xdr:nvSpPr>
          <xdr:cNvPr id="65" name="Texto 755">
            <a:extLst>
              <a:ext uri="{FF2B5EF4-FFF2-40B4-BE49-F238E27FC236}">
                <a16:creationId xmlns:a16="http://schemas.microsoft.com/office/drawing/2014/main" id="{00000000-0008-0000-1E00-00004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2" y="459"/>
            <a:ext cx="14" cy="2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D0646A32-6574-4E15-A534-7AA06F812905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r" rtl="0">
                <a:defRPr sz="1000"/>
              </a:pPr>
              <a:t>707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6" name="Texto 756">
            <a:extLst>
              <a:ext uri="{FF2B5EF4-FFF2-40B4-BE49-F238E27FC236}">
                <a16:creationId xmlns:a16="http://schemas.microsoft.com/office/drawing/2014/main" id="{00000000-0008-0000-1E00-00004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439"/>
            <a:ext cx="71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P. Cruz 400 kV</a:t>
            </a:r>
          </a:p>
        </xdr:txBody>
      </xdr:sp>
      <xdr:sp macro="" textlink="">
        <xdr:nvSpPr>
          <xdr:cNvPr id="67" name="Texto 757">
            <a:extLst>
              <a:ext uri="{FF2B5EF4-FFF2-40B4-BE49-F238E27FC236}">
                <a16:creationId xmlns:a16="http://schemas.microsoft.com/office/drawing/2014/main" id="{00000000-0008-0000-1E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" y="487"/>
            <a:ext cx="106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18288" bIns="0" anchor="t" upright="1">
            <a:spAutoFit/>
          </a:bodyPr>
          <a:lstStyle/>
          <a:p>
            <a:pPr algn="ctr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Melloussa (Marruecos)</a:t>
            </a:r>
          </a:p>
        </xdr:txBody>
      </xdr:sp>
      <xdr:sp macro="" textlink="">
        <xdr:nvSpPr>
          <xdr:cNvPr id="68" name="Dibujo 752">
            <a:extLst>
              <a:ext uri="{FF2B5EF4-FFF2-40B4-BE49-F238E27FC236}">
                <a16:creationId xmlns:a16="http://schemas.microsoft.com/office/drawing/2014/main" id="{00000000-0008-0000-1E00-000044000000}"/>
              </a:ext>
            </a:extLst>
          </xdr:cNvPr>
          <xdr:cNvSpPr>
            <a:spLocks/>
          </xdr:cNvSpPr>
        </xdr:nvSpPr>
        <xdr:spPr bwMode="auto">
          <a:xfrm>
            <a:off x="308" y="446"/>
            <a:ext cx="13" cy="4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2657"/>
                </a:moveTo>
                <a:lnTo>
                  <a:pt x="8192" y="0"/>
                </a:lnTo>
                <a:lnTo>
                  <a:pt x="0" y="2657"/>
                </a:lnTo>
                <a:lnTo>
                  <a:pt x="0" y="16384"/>
                </a:lnTo>
                <a:lnTo>
                  <a:pt x="16384" y="16384"/>
                </a:lnTo>
                <a:lnTo>
                  <a:pt x="16384" y="2657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'Data 1'!D390">
        <xdr:nvSpPr>
          <xdr:cNvPr id="69" name="Texto 754">
            <a:extLst>
              <a:ext uri="{FF2B5EF4-FFF2-40B4-BE49-F238E27FC236}">
                <a16:creationId xmlns:a16="http://schemas.microsoft.com/office/drawing/2014/main" id="{00000000-0008-0000-1E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5" y="453"/>
            <a:ext cx="14" cy="3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C9678CEC-E1E9-4227-9C19-6BAA33D73E82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r" rtl="0">
                <a:defRPr sz="1000"/>
              </a:pPr>
              <a:t>410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4686300</xdr:colOff>
      <xdr:row>10</xdr:row>
      <xdr:rowOff>106680</xdr:rowOff>
    </xdr:from>
    <xdr:to>
      <xdr:col>4</xdr:col>
      <xdr:colOff>4815840</xdr:colOff>
      <xdr:row>13</xdr:row>
      <xdr:rowOff>38100</xdr:rowOff>
    </xdr:to>
    <xdr:sp macro="" textlink="">
      <xdr:nvSpPr>
        <xdr:cNvPr id="70" name="Dibujo 582">
          <a:extLst>
            <a:ext uri="{FF2B5EF4-FFF2-40B4-BE49-F238E27FC236}">
              <a16:creationId xmlns:a16="http://schemas.microsoft.com/office/drawing/2014/main" id="{00000000-0008-0000-1E00-000046000000}"/>
            </a:ext>
          </a:extLst>
        </xdr:cNvPr>
        <xdr:cNvSpPr>
          <a:spLocks/>
        </xdr:cNvSpPr>
      </xdr:nvSpPr>
      <xdr:spPr bwMode="auto">
        <a:xfrm>
          <a:off x="6543675" y="1811655"/>
          <a:ext cx="129540" cy="41719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4674870</xdr:colOff>
      <xdr:row>11</xdr:row>
      <xdr:rowOff>24324</xdr:rowOff>
    </xdr:from>
    <xdr:to>
      <xdr:col>4</xdr:col>
      <xdr:colOff>4811254</xdr:colOff>
      <xdr:row>12</xdr:row>
      <xdr:rowOff>142283</xdr:rowOff>
    </xdr:to>
    <xdr:sp macro="" textlink="'Data 1'!D375">
      <xdr:nvSpPr>
        <xdr:cNvPr id="71" name="Texto 594">
          <a:extLst>
            <a:ext uri="{FF2B5EF4-FFF2-40B4-BE49-F238E27FC236}">
              <a16:creationId xmlns:a16="http://schemas.microsoft.com/office/drawing/2014/main" id="{00000000-0008-0000-1E00-000047000000}"/>
            </a:ext>
          </a:extLst>
        </xdr:cNvPr>
        <xdr:cNvSpPr txBox="1">
          <a:spLocks noChangeArrowheads="1"/>
        </xdr:cNvSpPr>
      </xdr:nvSpPr>
      <xdr:spPr bwMode="auto">
        <a:xfrm>
          <a:off x="6532245" y="1891224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398D65A-1664-4031-892A-D3FDD34A49F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2.079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4396740</xdr:colOff>
      <xdr:row>10</xdr:row>
      <xdr:rowOff>7620</xdr:rowOff>
    </xdr:from>
    <xdr:to>
      <xdr:col>4</xdr:col>
      <xdr:colOff>4518660</xdr:colOff>
      <xdr:row>12</xdr:row>
      <xdr:rowOff>121920</xdr:rowOff>
    </xdr:to>
    <xdr:sp macro="" textlink="">
      <xdr:nvSpPr>
        <xdr:cNvPr id="73" name="Dibujo 573">
          <a:extLst>
            <a:ext uri="{FF2B5EF4-FFF2-40B4-BE49-F238E27FC236}">
              <a16:creationId xmlns:a16="http://schemas.microsoft.com/office/drawing/2014/main" id="{00000000-0008-0000-1E00-000049000000}"/>
            </a:ext>
          </a:extLst>
        </xdr:cNvPr>
        <xdr:cNvSpPr>
          <a:spLocks/>
        </xdr:cNvSpPr>
      </xdr:nvSpPr>
      <xdr:spPr bwMode="auto">
        <a:xfrm>
          <a:off x="6254115" y="1712595"/>
          <a:ext cx="121920" cy="4381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4371975</xdr:colOff>
      <xdr:row>11</xdr:row>
      <xdr:rowOff>139065</xdr:rowOff>
    </xdr:from>
    <xdr:to>
      <xdr:col>4</xdr:col>
      <xdr:colOff>4508359</xdr:colOff>
      <xdr:row>12</xdr:row>
      <xdr:rowOff>57290</xdr:rowOff>
    </xdr:to>
    <xdr:sp macro="" textlink="'Data 1'!D367">
      <xdr:nvSpPr>
        <xdr:cNvPr id="74" name="Texto 585">
          <a:extLst>
            <a:ext uri="{FF2B5EF4-FFF2-40B4-BE49-F238E27FC236}">
              <a16:creationId xmlns:a16="http://schemas.microsoft.com/office/drawing/2014/main" id="{00000000-0008-0000-1E00-00004A000000}"/>
            </a:ext>
          </a:extLst>
        </xdr:cNvPr>
        <xdr:cNvSpPr txBox="1">
          <a:spLocks noChangeArrowheads="1"/>
        </xdr:cNvSpPr>
      </xdr:nvSpPr>
      <xdr:spPr bwMode="auto">
        <a:xfrm>
          <a:off x="6229350" y="200596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CD4F095-36BC-49C8-8590-7BC66101B809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922020</xdr:colOff>
      <xdr:row>19</xdr:row>
      <xdr:rowOff>121920</xdr:rowOff>
    </xdr:from>
    <xdr:to>
      <xdr:col>4</xdr:col>
      <xdr:colOff>1402080</xdr:colOff>
      <xdr:row>20</xdr:row>
      <xdr:rowOff>45720</xdr:rowOff>
    </xdr:to>
    <xdr:sp macro="" textlink="">
      <xdr:nvSpPr>
        <xdr:cNvPr id="75" name="Dibujo 512">
          <a:extLst>
            <a:ext uri="{FF2B5EF4-FFF2-40B4-BE49-F238E27FC236}">
              <a16:creationId xmlns:a16="http://schemas.microsoft.com/office/drawing/2014/main" id="{00000000-0008-0000-1E00-00004B000000}"/>
            </a:ext>
          </a:extLst>
        </xdr:cNvPr>
        <xdr:cNvSpPr>
          <a:spLocks/>
        </xdr:cNvSpPr>
      </xdr:nvSpPr>
      <xdr:spPr bwMode="auto">
        <a:xfrm>
          <a:off x="2779395" y="3284220"/>
          <a:ext cx="480060" cy="8572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1060908</xdr:colOff>
      <xdr:row>19</xdr:row>
      <xdr:rowOff>81074</xdr:rowOff>
    </xdr:from>
    <xdr:to>
      <xdr:col>4</xdr:col>
      <xdr:colOff>1250575</xdr:colOff>
      <xdr:row>20</xdr:row>
      <xdr:rowOff>60150</xdr:rowOff>
    </xdr:to>
    <xdr:sp macro="" textlink="'Data 1'!D383">
      <xdr:nvSpPr>
        <xdr:cNvPr id="76" name="Texto 632">
          <a:extLst>
            <a:ext uri="{FF2B5EF4-FFF2-40B4-BE49-F238E27FC236}">
              <a16:creationId xmlns:a16="http://schemas.microsoft.com/office/drawing/2014/main" id="{00000000-0008-0000-1E00-00004C000000}"/>
            </a:ext>
          </a:extLst>
        </xdr:cNvPr>
        <xdr:cNvSpPr txBox="1">
          <a:spLocks noChangeArrowheads="1"/>
        </xdr:cNvSpPr>
      </xdr:nvSpPr>
      <xdr:spPr bwMode="auto">
        <a:xfrm>
          <a:off x="2918283" y="3243374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1980FB51-DF38-4BAD-B1C1-873280C3118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934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18</xdr:row>
      <xdr:rowOff>0</xdr:rowOff>
    </xdr:from>
    <xdr:to>
      <xdr:col>4</xdr:col>
      <xdr:colOff>1447800</xdr:colOff>
      <xdr:row>18</xdr:row>
      <xdr:rowOff>121920</xdr:rowOff>
    </xdr:to>
    <xdr:sp macro="" textlink="">
      <xdr:nvSpPr>
        <xdr:cNvPr id="77" name="Dibujo 516">
          <a:extLst>
            <a:ext uri="{FF2B5EF4-FFF2-40B4-BE49-F238E27FC236}">
              <a16:creationId xmlns:a16="http://schemas.microsoft.com/office/drawing/2014/main" id="{00000000-0008-0000-1E00-00004D000000}"/>
            </a:ext>
          </a:extLst>
        </xdr:cNvPr>
        <xdr:cNvSpPr>
          <a:spLocks/>
        </xdr:cNvSpPr>
      </xdr:nvSpPr>
      <xdr:spPr bwMode="auto">
        <a:xfrm>
          <a:off x="2825115" y="3000375"/>
          <a:ext cx="48006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1218491</xdr:colOff>
      <xdr:row>17</xdr:row>
      <xdr:rowOff>137514</xdr:rowOff>
    </xdr:from>
    <xdr:to>
      <xdr:col>4</xdr:col>
      <xdr:colOff>1408158</xdr:colOff>
      <xdr:row>18</xdr:row>
      <xdr:rowOff>119765</xdr:rowOff>
    </xdr:to>
    <xdr:sp macro="" textlink="'Data 1'!D382">
      <xdr:nvSpPr>
        <xdr:cNvPr id="78" name="Texto 635">
          <a:extLst>
            <a:ext uri="{FF2B5EF4-FFF2-40B4-BE49-F238E27FC236}">
              <a16:creationId xmlns:a16="http://schemas.microsoft.com/office/drawing/2014/main" id="{00000000-0008-0000-1E00-00004E000000}"/>
            </a:ext>
          </a:extLst>
        </xdr:cNvPr>
        <xdr:cNvSpPr txBox="1">
          <a:spLocks noChangeArrowheads="1"/>
        </xdr:cNvSpPr>
      </xdr:nvSpPr>
      <xdr:spPr bwMode="auto">
        <a:xfrm>
          <a:off x="3075866" y="2939452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82C431A2-7548-4114-A83D-39D5D563B94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191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16</xdr:row>
      <xdr:rowOff>68580</xdr:rowOff>
    </xdr:from>
    <xdr:to>
      <xdr:col>4</xdr:col>
      <xdr:colOff>1447800</xdr:colOff>
      <xdr:row>17</xdr:row>
      <xdr:rowOff>7620</xdr:rowOff>
    </xdr:to>
    <xdr:sp macro="" textlink="">
      <xdr:nvSpPr>
        <xdr:cNvPr id="79" name="Dibujo 499">
          <a:extLst>
            <a:ext uri="{FF2B5EF4-FFF2-40B4-BE49-F238E27FC236}">
              <a16:creationId xmlns:a16="http://schemas.microsoft.com/office/drawing/2014/main" id="{00000000-0008-0000-1E00-00004F000000}"/>
            </a:ext>
          </a:extLst>
        </xdr:cNvPr>
        <xdr:cNvSpPr>
          <a:spLocks/>
        </xdr:cNvSpPr>
      </xdr:nvSpPr>
      <xdr:spPr bwMode="auto">
        <a:xfrm>
          <a:off x="2825115" y="2745105"/>
          <a:ext cx="480060" cy="10096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1184172</xdr:colOff>
      <xdr:row>16</xdr:row>
      <xdr:rowOff>39385</xdr:rowOff>
    </xdr:from>
    <xdr:to>
      <xdr:col>4</xdr:col>
      <xdr:colOff>1373839</xdr:colOff>
      <xdr:row>17</xdr:row>
      <xdr:rowOff>21636</xdr:rowOff>
    </xdr:to>
    <xdr:sp macro="" textlink="'Data 1'!D380">
      <xdr:nvSpPr>
        <xdr:cNvPr id="80" name="Texto 634">
          <a:extLst>
            <a:ext uri="{FF2B5EF4-FFF2-40B4-BE49-F238E27FC236}">
              <a16:creationId xmlns:a16="http://schemas.microsoft.com/office/drawing/2014/main" id="{00000000-0008-0000-1E00-000050000000}"/>
            </a:ext>
          </a:extLst>
        </xdr:cNvPr>
        <xdr:cNvSpPr txBox="1">
          <a:spLocks noChangeArrowheads="1"/>
        </xdr:cNvSpPr>
      </xdr:nvSpPr>
      <xdr:spPr bwMode="auto">
        <a:xfrm>
          <a:off x="3041547" y="2682573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C8C0526-67F8-43AB-9704-10DC8729C85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204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14</xdr:row>
      <xdr:rowOff>144780</xdr:rowOff>
    </xdr:from>
    <xdr:to>
      <xdr:col>4</xdr:col>
      <xdr:colOff>1447800</xdr:colOff>
      <xdr:row>15</xdr:row>
      <xdr:rowOff>76200</xdr:rowOff>
    </xdr:to>
    <xdr:sp macro="" textlink="">
      <xdr:nvSpPr>
        <xdr:cNvPr id="81" name="Dibujo 508">
          <a:extLst>
            <a:ext uri="{FF2B5EF4-FFF2-40B4-BE49-F238E27FC236}">
              <a16:creationId xmlns:a16="http://schemas.microsoft.com/office/drawing/2014/main" id="{00000000-0008-0000-1E00-000051000000}"/>
            </a:ext>
          </a:extLst>
        </xdr:cNvPr>
        <xdr:cNvSpPr>
          <a:spLocks/>
        </xdr:cNvSpPr>
      </xdr:nvSpPr>
      <xdr:spPr bwMode="auto">
        <a:xfrm>
          <a:off x="2825115" y="2497455"/>
          <a:ext cx="480060" cy="9334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967740</xdr:colOff>
      <xdr:row>13</xdr:row>
      <xdr:rowOff>60960</xdr:rowOff>
    </xdr:from>
    <xdr:to>
      <xdr:col>4</xdr:col>
      <xdr:colOff>1295400</xdr:colOff>
      <xdr:row>13</xdr:row>
      <xdr:rowOff>60960</xdr:rowOff>
    </xdr:to>
    <xdr:sp macro="" textlink="">
      <xdr:nvSpPr>
        <xdr:cNvPr id="82" name="Line 9">
          <a:extLst>
            <a:ext uri="{FF2B5EF4-FFF2-40B4-BE49-F238E27FC236}">
              <a16:creationId xmlns:a16="http://schemas.microsoft.com/office/drawing/2014/main" id="{00000000-0008-0000-1E00-000052000000}"/>
            </a:ext>
          </a:extLst>
        </xdr:cNvPr>
        <xdr:cNvSpPr>
          <a:spLocks noChangeShapeType="1"/>
        </xdr:cNvSpPr>
      </xdr:nvSpPr>
      <xdr:spPr bwMode="auto">
        <a:xfrm flipH="1">
          <a:off x="2825115" y="2251710"/>
          <a:ext cx="327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1215389</xdr:colOff>
      <xdr:row>14</xdr:row>
      <xdr:rowOff>116073</xdr:rowOff>
    </xdr:from>
    <xdr:to>
      <xdr:col>4</xdr:col>
      <xdr:colOff>1405056</xdr:colOff>
      <xdr:row>15</xdr:row>
      <xdr:rowOff>98324</xdr:rowOff>
    </xdr:to>
    <xdr:sp macro="" textlink="'Data 1'!D381">
      <xdr:nvSpPr>
        <xdr:cNvPr id="83" name="Texto 636">
          <a:extLst>
            <a:ext uri="{FF2B5EF4-FFF2-40B4-BE49-F238E27FC236}">
              <a16:creationId xmlns:a16="http://schemas.microsoft.com/office/drawing/2014/main" id="{00000000-0008-0000-1E00-000053000000}"/>
            </a:ext>
          </a:extLst>
        </xdr:cNvPr>
        <xdr:cNvSpPr txBox="1">
          <a:spLocks noChangeArrowheads="1"/>
        </xdr:cNvSpPr>
      </xdr:nvSpPr>
      <xdr:spPr bwMode="auto">
        <a:xfrm>
          <a:off x="3072764" y="2441761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1D8E4365-E40C-4CD7-AD62-9897ED25409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202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10</xdr:row>
      <xdr:rowOff>30480</xdr:rowOff>
    </xdr:from>
    <xdr:to>
      <xdr:col>4</xdr:col>
      <xdr:colOff>1066800</xdr:colOff>
      <xdr:row>12</xdr:row>
      <xdr:rowOff>91440</xdr:rowOff>
    </xdr:to>
    <xdr:sp macro="" textlink="">
      <xdr:nvSpPr>
        <xdr:cNvPr id="84" name="Dibujo 610">
          <a:extLst>
            <a:ext uri="{FF2B5EF4-FFF2-40B4-BE49-F238E27FC236}">
              <a16:creationId xmlns:a16="http://schemas.microsoft.com/office/drawing/2014/main" id="{00000000-0008-0000-1E00-000054000000}"/>
            </a:ext>
          </a:extLst>
        </xdr:cNvPr>
        <xdr:cNvSpPr>
          <a:spLocks/>
        </xdr:cNvSpPr>
      </xdr:nvSpPr>
      <xdr:spPr bwMode="auto">
        <a:xfrm>
          <a:off x="2809875" y="1735455"/>
          <a:ext cx="11430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915504</xdr:colOff>
      <xdr:row>10</xdr:row>
      <xdr:rowOff>123825</xdr:rowOff>
    </xdr:from>
    <xdr:to>
      <xdr:col>4</xdr:col>
      <xdr:colOff>1051888</xdr:colOff>
      <xdr:row>11</xdr:row>
      <xdr:rowOff>42050</xdr:rowOff>
    </xdr:to>
    <xdr:sp macro="" textlink="'Data 1'!D378">
      <xdr:nvSpPr>
        <xdr:cNvPr id="85" name="Texto 612">
          <a:extLst>
            <a:ext uri="{FF2B5EF4-FFF2-40B4-BE49-F238E27FC236}">
              <a16:creationId xmlns:a16="http://schemas.microsoft.com/office/drawing/2014/main" id="{00000000-0008-0000-1E00-000055000000}"/>
            </a:ext>
          </a:extLst>
        </xdr:cNvPr>
        <xdr:cNvSpPr txBox="1">
          <a:spLocks noChangeArrowheads="1"/>
        </xdr:cNvSpPr>
      </xdr:nvSpPr>
      <xdr:spPr bwMode="auto">
        <a:xfrm>
          <a:off x="2772879" y="182880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57E3AF1-5ADD-4BF5-9EC3-369552C58AC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1074420</xdr:colOff>
      <xdr:row>10</xdr:row>
      <xdr:rowOff>121920</xdr:rowOff>
    </xdr:from>
    <xdr:to>
      <xdr:col>4</xdr:col>
      <xdr:colOff>1181100</xdr:colOff>
      <xdr:row>13</xdr:row>
      <xdr:rowOff>7620</xdr:rowOff>
    </xdr:to>
    <xdr:sp macro="" textlink="">
      <xdr:nvSpPr>
        <xdr:cNvPr id="86" name="Dibujo 746">
          <a:extLst>
            <a:ext uri="{FF2B5EF4-FFF2-40B4-BE49-F238E27FC236}">
              <a16:creationId xmlns:a16="http://schemas.microsoft.com/office/drawing/2014/main" id="{00000000-0008-0000-1E00-000056000000}"/>
            </a:ext>
          </a:extLst>
        </xdr:cNvPr>
        <xdr:cNvSpPr>
          <a:spLocks/>
        </xdr:cNvSpPr>
      </xdr:nvSpPr>
      <xdr:spPr bwMode="auto">
        <a:xfrm>
          <a:off x="2931795" y="1826895"/>
          <a:ext cx="106680" cy="3714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1052487</xdr:colOff>
      <xdr:row>12</xdr:row>
      <xdr:rowOff>17145</xdr:rowOff>
    </xdr:from>
    <xdr:to>
      <xdr:col>4</xdr:col>
      <xdr:colOff>1188871</xdr:colOff>
      <xdr:row>12</xdr:row>
      <xdr:rowOff>97295</xdr:rowOff>
    </xdr:to>
    <xdr:sp macro="" textlink="'Data 1'!E378">
      <xdr:nvSpPr>
        <xdr:cNvPr id="87" name="Texto 747">
          <a:extLst>
            <a:ext uri="{FF2B5EF4-FFF2-40B4-BE49-F238E27FC236}">
              <a16:creationId xmlns:a16="http://schemas.microsoft.com/office/drawing/2014/main" id="{00000000-0008-0000-1E00-000057000000}"/>
            </a:ext>
          </a:extLst>
        </xdr:cNvPr>
        <xdr:cNvSpPr txBox="1">
          <a:spLocks noChangeArrowheads="1"/>
        </xdr:cNvSpPr>
      </xdr:nvSpPr>
      <xdr:spPr bwMode="auto">
        <a:xfrm>
          <a:off x="2909862" y="204597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54E130C-6F33-489C-A2F5-C905C42BD81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21</xdr:row>
      <xdr:rowOff>38100</xdr:rowOff>
    </xdr:from>
    <xdr:to>
      <xdr:col>4</xdr:col>
      <xdr:colOff>1432560</xdr:colOff>
      <xdr:row>21</xdr:row>
      <xdr:rowOff>144780</xdr:rowOff>
    </xdr:to>
    <xdr:sp macro="" textlink="">
      <xdr:nvSpPr>
        <xdr:cNvPr id="88" name="Dibujo 512">
          <a:extLst>
            <a:ext uri="{FF2B5EF4-FFF2-40B4-BE49-F238E27FC236}">
              <a16:creationId xmlns:a16="http://schemas.microsoft.com/office/drawing/2014/main" id="{00000000-0008-0000-1E00-000058000000}"/>
            </a:ext>
          </a:extLst>
        </xdr:cNvPr>
        <xdr:cNvSpPr>
          <a:spLocks/>
        </xdr:cNvSpPr>
      </xdr:nvSpPr>
      <xdr:spPr bwMode="auto">
        <a:xfrm>
          <a:off x="2809875" y="352425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1267352</xdr:colOff>
      <xdr:row>21</xdr:row>
      <xdr:rowOff>3143</xdr:rowOff>
    </xdr:from>
    <xdr:to>
      <xdr:col>4</xdr:col>
      <xdr:colOff>1338555</xdr:colOff>
      <xdr:row>21</xdr:row>
      <xdr:rowOff>157108</xdr:rowOff>
    </xdr:to>
    <xdr:sp macro="" textlink="'Data 1'!D384">
      <xdr:nvSpPr>
        <xdr:cNvPr id="89" name="Texto 632">
          <a:extLst>
            <a:ext uri="{FF2B5EF4-FFF2-40B4-BE49-F238E27FC236}">
              <a16:creationId xmlns:a16="http://schemas.microsoft.com/office/drawing/2014/main" id="{00000000-0008-0000-1E00-000059000000}"/>
            </a:ext>
          </a:extLst>
        </xdr:cNvPr>
        <xdr:cNvSpPr txBox="1">
          <a:spLocks noChangeArrowheads="1"/>
        </xdr:cNvSpPr>
      </xdr:nvSpPr>
      <xdr:spPr bwMode="auto">
        <a:xfrm>
          <a:off x="3124727" y="3489293"/>
          <a:ext cx="71203" cy="15396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6A677B11-D402-4FA3-BAA0-9344157FBEA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845820</xdr:colOff>
      <xdr:row>21</xdr:row>
      <xdr:rowOff>144780</xdr:rowOff>
    </xdr:from>
    <xdr:to>
      <xdr:col>4</xdr:col>
      <xdr:colOff>1325880</xdr:colOff>
      <xdr:row>22</xdr:row>
      <xdr:rowOff>99060</xdr:rowOff>
    </xdr:to>
    <xdr:sp macro="" textlink="">
      <xdr:nvSpPr>
        <xdr:cNvPr id="90" name="Dibujo 505">
          <a:extLst>
            <a:ext uri="{FF2B5EF4-FFF2-40B4-BE49-F238E27FC236}">
              <a16:creationId xmlns:a16="http://schemas.microsoft.com/office/drawing/2014/main" id="{00000000-0008-0000-1E00-00005A000000}"/>
            </a:ext>
          </a:extLst>
        </xdr:cNvPr>
        <xdr:cNvSpPr>
          <a:spLocks/>
        </xdr:cNvSpPr>
      </xdr:nvSpPr>
      <xdr:spPr bwMode="auto">
        <a:xfrm>
          <a:off x="2703195" y="3630930"/>
          <a:ext cx="480060" cy="11620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888729</xdr:colOff>
      <xdr:row>21</xdr:row>
      <xdr:rowOff>125193</xdr:rowOff>
    </xdr:from>
    <xdr:to>
      <xdr:col>4</xdr:col>
      <xdr:colOff>1086299</xdr:colOff>
      <xdr:row>22</xdr:row>
      <xdr:rowOff>90145</xdr:rowOff>
    </xdr:to>
    <xdr:sp macro="" textlink="'Data 1'!E384">
      <xdr:nvSpPr>
        <xdr:cNvPr id="91" name="Texto 633">
          <a:extLst>
            <a:ext uri="{FF2B5EF4-FFF2-40B4-BE49-F238E27FC236}">
              <a16:creationId xmlns:a16="http://schemas.microsoft.com/office/drawing/2014/main" id="{00000000-0008-0000-1E00-00005B000000}"/>
            </a:ext>
          </a:extLst>
        </xdr:cNvPr>
        <xdr:cNvSpPr txBox="1">
          <a:spLocks noChangeArrowheads="1"/>
        </xdr:cNvSpPr>
      </xdr:nvSpPr>
      <xdr:spPr bwMode="auto">
        <a:xfrm>
          <a:off x="2746104" y="3611343"/>
          <a:ext cx="197570" cy="12687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1F1649BC-A080-4AC3-8BD8-58687C001F7F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2903220</xdr:colOff>
      <xdr:row>7</xdr:row>
      <xdr:rowOff>38100</xdr:rowOff>
    </xdr:from>
    <xdr:to>
      <xdr:col>4</xdr:col>
      <xdr:colOff>3017520</xdr:colOff>
      <xdr:row>9</xdr:row>
      <xdr:rowOff>121920</xdr:rowOff>
    </xdr:to>
    <xdr:sp macro="" textlink="">
      <xdr:nvSpPr>
        <xdr:cNvPr id="92" name="Dibujo 565">
          <a:extLst>
            <a:ext uri="{FF2B5EF4-FFF2-40B4-BE49-F238E27FC236}">
              <a16:creationId xmlns:a16="http://schemas.microsoft.com/office/drawing/2014/main" id="{00000000-0008-0000-1E00-00005C000000}"/>
            </a:ext>
          </a:extLst>
        </xdr:cNvPr>
        <xdr:cNvSpPr>
          <a:spLocks/>
        </xdr:cNvSpPr>
      </xdr:nvSpPr>
      <xdr:spPr bwMode="auto">
        <a:xfrm>
          <a:off x="4760595" y="1257300"/>
          <a:ext cx="114300" cy="40767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2882265</xdr:colOff>
      <xdr:row>8</xdr:row>
      <xdr:rowOff>135255</xdr:rowOff>
    </xdr:from>
    <xdr:to>
      <xdr:col>4</xdr:col>
      <xdr:colOff>3018649</xdr:colOff>
      <xdr:row>9</xdr:row>
      <xdr:rowOff>53480</xdr:rowOff>
    </xdr:to>
    <xdr:sp macro="" textlink="'Data 1'!D369">
      <xdr:nvSpPr>
        <xdr:cNvPr id="93" name="Texto 584">
          <a:extLst>
            <a:ext uri="{FF2B5EF4-FFF2-40B4-BE49-F238E27FC236}">
              <a16:creationId xmlns:a16="http://schemas.microsoft.com/office/drawing/2014/main" id="{00000000-0008-0000-1E00-00005D000000}"/>
            </a:ext>
          </a:extLst>
        </xdr:cNvPr>
        <xdr:cNvSpPr txBox="1">
          <a:spLocks noChangeArrowheads="1"/>
        </xdr:cNvSpPr>
      </xdr:nvSpPr>
      <xdr:spPr bwMode="auto">
        <a:xfrm>
          <a:off x="4739640" y="151638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2748070-5839-49D5-B216-FDE1FECBDA0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807720</xdr:colOff>
      <xdr:row>23</xdr:row>
      <xdr:rowOff>76200</xdr:rowOff>
    </xdr:from>
    <xdr:to>
      <xdr:col>4</xdr:col>
      <xdr:colOff>1280160</xdr:colOff>
      <xdr:row>24</xdr:row>
      <xdr:rowOff>22860</xdr:rowOff>
    </xdr:to>
    <xdr:sp macro="" textlink="">
      <xdr:nvSpPr>
        <xdr:cNvPr id="94" name="Dibujo 748">
          <a:extLst>
            <a:ext uri="{FF2B5EF4-FFF2-40B4-BE49-F238E27FC236}">
              <a16:creationId xmlns:a16="http://schemas.microsoft.com/office/drawing/2014/main" id="{00000000-0008-0000-1E00-00005E000000}"/>
            </a:ext>
          </a:extLst>
        </xdr:cNvPr>
        <xdr:cNvSpPr>
          <a:spLocks/>
        </xdr:cNvSpPr>
      </xdr:nvSpPr>
      <xdr:spPr bwMode="auto">
        <a:xfrm>
          <a:off x="2665095" y="3886200"/>
          <a:ext cx="472440" cy="10858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1270571</xdr:colOff>
      <xdr:row>23</xdr:row>
      <xdr:rowOff>49236</xdr:rowOff>
    </xdr:from>
    <xdr:to>
      <xdr:col>4</xdr:col>
      <xdr:colOff>2036165</xdr:colOff>
      <xdr:row>24</xdr:row>
      <xdr:rowOff>22597</xdr:rowOff>
    </xdr:to>
    <xdr:sp macro="" textlink="">
      <xdr:nvSpPr>
        <xdr:cNvPr id="95" name="Texto 749">
          <a:extLst>
            <a:ext uri="{FF2B5EF4-FFF2-40B4-BE49-F238E27FC236}">
              <a16:creationId xmlns:a16="http://schemas.microsoft.com/office/drawing/2014/main" id="{00000000-0008-0000-1E00-00005F000000}"/>
            </a:ext>
          </a:extLst>
        </xdr:cNvPr>
        <xdr:cNvSpPr txBox="1">
          <a:spLocks noChangeArrowheads="1"/>
        </xdr:cNvSpPr>
      </xdr:nvSpPr>
      <xdr:spPr bwMode="auto">
        <a:xfrm>
          <a:off x="3127946" y="3859236"/>
          <a:ext cx="765594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Brovales 400 kV</a:t>
          </a:r>
        </a:p>
      </xdr:txBody>
    </xdr:sp>
    <xdr:clientData/>
  </xdr:twoCellAnchor>
  <xdr:twoCellAnchor editAs="absolute">
    <xdr:from>
      <xdr:col>4</xdr:col>
      <xdr:colOff>855344</xdr:colOff>
      <xdr:row>23</xdr:row>
      <xdr:rowOff>44965</xdr:rowOff>
    </xdr:from>
    <xdr:to>
      <xdr:col>4</xdr:col>
      <xdr:colOff>1352549</xdr:colOff>
      <xdr:row>24</xdr:row>
      <xdr:rowOff>9525</xdr:rowOff>
    </xdr:to>
    <xdr:sp macro="" textlink="'Data 1'!E385">
      <xdr:nvSpPr>
        <xdr:cNvPr id="96" name="Texto 750">
          <a:extLst>
            <a:ext uri="{FF2B5EF4-FFF2-40B4-BE49-F238E27FC236}">
              <a16:creationId xmlns:a16="http://schemas.microsoft.com/office/drawing/2014/main" id="{00000000-0008-0000-1E00-000060000000}"/>
            </a:ext>
          </a:extLst>
        </xdr:cNvPr>
        <xdr:cNvSpPr txBox="1">
          <a:spLocks noChangeArrowheads="1"/>
        </xdr:cNvSpPr>
      </xdr:nvSpPr>
      <xdr:spPr bwMode="auto">
        <a:xfrm>
          <a:off x="2712719" y="3854965"/>
          <a:ext cx="497205" cy="1264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E75A510D-8A68-4ACB-ADA5-E067719D0D7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1.255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929640</xdr:colOff>
      <xdr:row>22</xdr:row>
      <xdr:rowOff>129540</xdr:rowOff>
    </xdr:from>
    <xdr:to>
      <xdr:col>4</xdr:col>
      <xdr:colOff>1409700</xdr:colOff>
      <xdr:row>23</xdr:row>
      <xdr:rowOff>76200</xdr:rowOff>
    </xdr:to>
    <xdr:sp macro="" textlink="">
      <xdr:nvSpPr>
        <xdr:cNvPr id="97" name="Dibujo 512">
          <a:extLst>
            <a:ext uri="{FF2B5EF4-FFF2-40B4-BE49-F238E27FC236}">
              <a16:creationId xmlns:a16="http://schemas.microsoft.com/office/drawing/2014/main" id="{00000000-0008-0000-1E00-000061000000}"/>
            </a:ext>
          </a:extLst>
        </xdr:cNvPr>
        <xdr:cNvSpPr>
          <a:spLocks/>
        </xdr:cNvSpPr>
      </xdr:nvSpPr>
      <xdr:spPr bwMode="auto">
        <a:xfrm>
          <a:off x="2787015" y="3777615"/>
          <a:ext cx="480060" cy="10858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491490</xdr:colOff>
      <xdr:row>22</xdr:row>
      <xdr:rowOff>88875</xdr:rowOff>
    </xdr:from>
    <xdr:to>
      <xdr:col>4</xdr:col>
      <xdr:colOff>880699</xdr:colOff>
      <xdr:row>23</xdr:row>
      <xdr:rowOff>62236</xdr:rowOff>
    </xdr:to>
    <xdr:sp macro="" textlink="">
      <xdr:nvSpPr>
        <xdr:cNvPr id="98" name="Texto 749">
          <a:extLst>
            <a:ext uri="{FF2B5EF4-FFF2-40B4-BE49-F238E27FC236}">
              <a16:creationId xmlns:a16="http://schemas.microsoft.com/office/drawing/2014/main" id="{00000000-0008-0000-1E00-000062000000}"/>
            </a:ext>
          </a:extLst>
        </xdr:cNvPr>
        <xdr:cNvSpPr txBox="1">
          <a:spLocks noChangeArrowheads="1"/>
        </xdr:cNvSpPr>
      </xdr:nvSpPr>
      <xdr:spPr bwMode="auto">
        <a:xfrm>
          <a:off x="2348865" y="3736950"/>
          <a:ext cx="38920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Alqueva</a:t>
          </a:r>
        </a:p>
      </xdr:txBody>
    </xdr:sp>
    <xdr:clientData/>
  </xdr:twoCellAnchor>
  <xdr:twoCellAnchor editAs="absolute">
    <xdr:from>
      <xdr:col>4</xdr:col>
      <xdr:colOff>1061255</xdr:colOff>
      <xdr:row>22</xdr:row>
      <xdr:rowOff>102809</xdr:rowOff>
    </xdr:from>
    <xdr:to>
      <xdr:col>4</xdr:col>
      <xdr:colOff>1342389</xdr:colOff>
      <xdr:row>23</xdr:row>
      <xdr:rowOff>88986</xdr:rowOff>
    </xdr:to>
    <xdr:sp macro="" textlink="'Data 1'!D385">
      <xdr:nvSpPr>
        <xdr:cNvPr id="99" name="Texto 750">
          <a:extLst>
            <a:ext uri="{FF2B5EF4-FFF2-40B4-BE49-F238E27FC236}">
              <a16:creationId xmlns:a16="http://schemas.microsoft.com/office/drawing/2014/main" id="{00000000-0008-0000-1E00-000063000000}"/>
            </a:ext>
          </a:extLst>
        </xdr:cNvPr>
        <xdr:cNvSpPr txBox="1">
          <a:spLocks noChangeArrowheads="1"/>
        </xdr:cNvSpPr>
      </xdr:nvSpPr>
      <xdr:spPr bwMode="auto">
        <a:xfrm>
          <a:off x="2918630" y="3750884"/>
          <a:ext cx="281134" cy="14810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E6ACC318-9281-4A69-B4A3-BAA16063FB0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569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388620</xdr:colOff>
      <xdr:row>24</xdr:row>
      <xdr:rowOff>7620</xdr:rowOff>
    </xdr:from>
    <xdr:to>
      <xdr:col>4</xdr:col>
      <xdr:colOff>2461260</xdr:colOff>
      <xdr:row>25</xdr:row>
      <xdr:rowOff>121920</xdr:rowOff>
    </xdr:to>
    <xdr:grpSp>
      <xdr:nvGrpSpPr>
        <xdr:cNvPr id="100" name="Group 129">
          <a:extLst>
            <a:ext uri="{FF2B5EF4-FFF2-40B4-BE49-F238E27FC236}">
              <a16:creationId xmlns:a16="http://schemas.microsoft.com/office/drawing/2014/main" id="{00000000-0008-0000-1E00-000064000000}"/>
            </a:ext>
          </a:extLst>
        </xdr:cNvPr>
        <xdr:cNvGrpSpPr>
          <a:grpSpLocks/>
        </xdr:cNvGrpSpPr>
      </xdr:nvGrpSpPr>
      <xdr:grpSpPr bwMode="auto">
        <a:xfrm>
          <a:off x="2245995" y="3979545"/>
          <a:ext cx="2072640" cy="276225"/>
          <a:chOff x="180" y="412"/>
          <a:chExt cx="213" cy="30"/>
        </a:xfrm>
      </xdr:grpSpPr>
      <xdr:sp macro="" textlink="">
        <xdr:nvSpPr>
          <xdr:cNvPr id="101" name="Dibujo 748">
            <a:extLst>
              <a:ext uri="{FF2B5EF4-FFF2-40B4-BE49-F238E27FC236}">
                <a16:creationId xmlns:a16="http://schemas.microsoft.com/office/drawing/2014/main" id="{00000000-0008-0000-1E00-000065000000}"/>
              </a:ext>
            </a:extLst>
          </xdr:cNvPr>
          <xdr:cNvSpPr>
            <a:spLocks/>
          </xdr:cNvSpPr>
        </xdr:nvSpPr>
        <xdr:spPr bwMode="auto">
          <a:xfrm>
            <a:off x="221" y="428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6384"/>
                </a:lnTo>
                <a:lnTo>
                  <a:pt x="2048" y="16384"/>
                </a:lnTo>
                <a:lnTo>
                  <a:pt x="0" y="8582"/>
                </a:lnTo>
                <a:lnTo>
                  <a:pt x="2253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Texto 749">
            <a:extLst>
              <a:ext uri="{FF2B5EF4-FFF2-40B4-BE49-F238E27FC236}">
                <a16:creationId xmlns:a16="http://schemas.microsoft.com/office/drawing/2014/main" id="{00000000-0008-0000-1E00-00006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" y="426"/>
            <a:ext cx="123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Rosal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 de la Frontera</a:t>
            </a: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 15 kV</a:t>
            </a:r>
          </a:p>
        </xdr:txBody>
      </xdr:sp>
      <xdr:sp macro="" textlink="'Data 1'!E388">
        <xdr:nvSpPr>
          <xdr:cNvPr id="103" name="Texto 750">
            <a:extLst>
              <a:ext uri="{FF2B5EF4-FFF2-40B4-BE49-F238E27FC236}">
                <a16:creationId xmlns:a16="http://schemas.microsoft.com/office/drawing/2014/main" id="{00000000-0008-0000-1E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" y="425"/>
            <a:ext cx="9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square" lIns="18288" tIns="22860" rIns="0" bIns="0" anchor="t" upright="1">
            <a:noAutofit/>
          </a:bodyPr>
          <a:lstStyle/>
          <a:p>
            <a:pPr algn="l" rtl="0">
              <a:defRPr sz="1000"/>
            </a:pPr>
            <a:fld id="{B96F0F53-F81C-4E3D-A670-AD7627D1276E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" name="Dibujo 512">
            <a:extLst>
              <a:ext uri="{FF2B5EF4-FFF2-40B4-BE49-F238E27FC236}">
                <a16:creationId xmlns:a16="http://schemas.microsoft.com/office/drawing/2014/main" id="{00000000-0008-0000-1E00-000068000000}"/>
              </a:ext>
            </a:extLst>
          </xdr:cNvPr>
          <xdr:cNvSpPr>
            <a:spLocks/>
          </xdr:cNvSpPr>
        </xdr:nvSpPr>
        <xdr:spPr bwMode="auto">
          <a:xfrm>
            <a:off x="235" y="416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16384"/>
                </a:lnTo>
                <a:lnTo>
                  <a:pt x="14522" y="16384"/>
                </a:lnTo>
                <a:lnTo>
                  <a:pt x="16384" y="9011"/>
                </a:lnTo>
                <a:lnTo>
                  <a:pt x="14522" y="0"/>
                </a:lnTo>
                <a:lnTo>
                  <a:pt x="0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Texto 749">
            <a:extLst>
              <a:ext uri="{FF2B5EF4-FFF2-40B4-BE49-F238E27FC236}">
                <a16:creationId xmlns:a16="http://schemas.microsoft.com/office/drawing/2014/main" id="{00000000-0008-0000-1E00-00006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" y="413"/>
            <a:ext cx="48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V. 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Ficalho</a:t>
            </a:r>
            <a:endParaRPr lang="es-ES" sz="800" b="0" i="0" strike="noStrike">
              <a:solidFill>
                <a:srgbClr val="002060"/>
              </a:solidFill>
              <a:latin typeface="Arial"/>
              <a:cs typeface="Arial"/>
            </a:endParaRPr>
          </a:p>
        </xdr:txBody>
      </xdr:sp>
      <xdr:sp macro="" textlink="'Data 1'!D388">
        <xdr:nvSpPr>
          <xdr:cNvPr id="106" name="Texto 750">
            <a:extLst>
              <a:ext uri="{FF2B5EF4-FFF2-40B4-BE49-F238E27FC236}">
                <a16:creationId xmlns:a16="http://schemas.microsoft.com/office/drawing/2014/main" id="{00000000-0008-0000-1E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" y="412"/>
            <a:ext cx="8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fld id="{723A2D4B-6AC3-4D0D-9954-85D6315DBC3E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1215162</xdr:colOff>
      <xdr:row>11</xdr:row>
      <xdr:rowOff>125730</xdr:rowOff>
    </xdr:from>
    <xdr:to>
      <xdr:col>4</xdr:col>
      <xdr:colOff>1593022</xdr:colOff>
      <xdr:row>12</xdr:row>
      <xdr:rowOff>99091</xdr:rowOff>
    </xdr:to>
    <xdr:sp macro="" textlink="">
      <xdr:nvSpPr>
        <xdr:cNvPr id="107" name="Texto 615">
          <a:extLst>
            <a:ext uri="{FF2B5EF4-FFF2-40B4-BE49-F238E27FC236}">
              <a16:creationId xmlns:a16="http://schemas.microsoft.com/office/drawing/2014/main" id="{00000000-0008-0000-1E00-00006B000000}"/>
            </a:ext>
          </a:extLst>
        </xdr:cNvPr>
        <xdr:cNvSpPr txBox="1">
          <a:spLocks noChangeArrowheads="1"/>
        </xdr:cNvSpPr>
      </xdr:nvSpPr>
      <xdr:spPr bwMode="auto">
        <a:xfrm>
          <a:off x="3072537" y="1992630"/>
          <a:ext cx="37786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Lindoso</a:t>
          </a:r>
        </a:p>
      </xdr:txBody>
    </xdr:sp>
    <xdr:clientData/>
  </xdr:twoCellAnchor>
  <xdr:twoCellAnchor editAs="absolute">
    <xdr:from>
      <xdr:col>4</xdr:col>
      <xdr:colOff>435807</xdr:colOff>
      <xdr:row>14</xdr:row>
      <xdr:rowOff>104555</xdr:rowOff>
    </xdr:from>
    <xdr:to>
      <xdr:col>4</xdr:col>
      <xdr:colOff>990067</xdr:colOff>
      <xdr:row>15</xdr:row>
      <xdr:rowOff>89315</xdr:rowOff>
    </xdr:to>
    <xdr:sp macro="" textlink="">
      <xdr:nvSpPr>
        <xdr:cNvPr id="108" name="Texto 527">
          <a:extLst>
            <a:ext uri="{FF2B5EF4-FFF2-40B4-BE49-F238E27FC236}">
              <a16:creationId xmlns:a16="http://schemas.microsoft.com/office/drawing/2014/main" id="{00000000-0008-0000-1E00-00006C000000}"/>
            </a:ext>
          </a:extLst>
        </xdr:cNvPr>
        <xdr:cNvSpPr txBox="1">
          <a:spLocks noChangeArrowheads="1"/>
        </xdr:cNvSpPr>
      </xdr:nvSpPr>
      <xdr:spPr bwMode="auto">
        <a:xfrm>
          <a:off x="2293182" y="2457230"/>
          <a:ext cx="554260" cy="1466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2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410906</xdr:colOff>
      <xdr:row>16</xdr:row>
      <xdr:rowOff>29862</xdr:rowOff>
    </xdr:from>
    <xdr:to>
      <xdr:col>4</xdr:col>
      <xdr:colOff>885716</xdr:colOff>
      <xdr:row>17</xdr:row>
      <xdr:rowOff>3223</xdr:rowOff>
    </xdr:to>
    <xdr:sp macro="" textlink="">
      <xdr:nvSpPr>
        <xdr:cNvPr id="109" name="Texto 520">
          <a:extLst>
            <a:ext uri="{FF2B5EF4-FFF2-40B4-BE49-F238E27FC236}">
              <a16:creationId xmlns:a16="http://schemas.microsoft.com/office/drawing/2014/main" id="{00000000-0008-0000-1E00-00006D000000}"/>
            </a:ext>
          </a:extLst>
        </xdr:cNvPr>
        <xdr:cNvSpPr txBox="1">
          <a:spLocks noChangeArrowheads="1"/>
        </xdr:cNvSpPr>
      </xdr:nvSpPr>
      <xdr:spPr bwMode="auto">
        <a:xfrm>
          <a:off x="2268281" y="2706387"/>
          <a:ext cx="47481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81959"/>
              </a:solidFill>
              <a:effectLst/>
              <a:uLnTx/>
              <a:uFillTx/>
              <a:latin typeface="Arial"/>
              <a:ea typeface="+mn-ea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1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1120140</xdr:colOff>
      <xdr:row>13</xdr:row>
      <xdr:rowOff>45720</xdr:rowOff>
    </xdr:from>
    <xdr:to>
      <xdr:col>4</xdr:col>
      <xdr:colOff>1600200</xdr:colOff>
      <xdr:row>13</xdr:row>
      <xdr:rowOff>152400</xdr:rowOff>
    </xdr:to>
    <xdr:sp macro="" textlink="">
      <xdr:nvSpPr>
        <xdr:cNvPr id="110" name="Dibujo 508">
          <a:extLst>
            <a:ext uri="{FF2B5EF4-FFF2-40B4-BE49-F238E27FC236}">
              <a16:creationId xmlns:a16="http://schemas.microsoft.com/office/drawing/2014/main" id="{00000000-0008-0000-1E00-00006E000000}"/>
            </a:ext>
          </a:extLst>
        </xdr:cNvPr>
        <xdr:cNvSpPr>
          <a:spLocks/>
        </xdr:cNvSpPr>
      </xdr:nvSpPr>
      <xdr:spPr bwMode="auto">
        <a:xfrm>
          <a:off x="2977515" y="223647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952500</xdr:colOff>
      <xdr:row>14</xdr:row>
      <xdr:rowOff>0</xdr:rowOff>
    </xdr:from>
    <xdr:to>
      <xdr:col>4</xdr:col>
      <xdr:colOff>1447800</xdr:colOff>
      <xdr:row>14</xdr:row>
      <xdr:rowOff>106680</xdr:rowOff>
    </xdr:to>
    <xdr:sp macro="" textlink="">
      <xdr:nvSpPr>
        <xdr:cNvPr id="111" name="Dibujo 509">
          <a:extLst>
            <a:ext uri="{FF2B5EF4-FFF2-40B4-BE49-F238E27FC236}">
              <a16:creationId xmlns:a16="http://schemas.microsoft.com/office/drawing/2014/main" id="{00000000-0008-0000-1E00-00006F000000}"/>
            </a:ext>
          </a:extLst>
        </xdr:cNvPr>
        <xdr:cNvSpPr>
          <a:spLocks/>
        </xdr:cNvSpPr>
      </xdr:nvSpPr>
      <xdr:spPr bwMode="auto">
        <a:xfrm>
          <a:off x="2809875" y="2352675"/>
          <a:ext cx="49530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647440</xdr:colOff>
      <xdr:row>13</xdr:row>
      <xdr:rowOff>7531</xdr:rowOff>
    </xdr:from>
    <xdr:to>
      <xdr:col>4</xdr:col>
      <xdr:colOff>1144658</xdr:colOff>
      <xdr:row>13</xdr:row>
      <xdr:rowOff>150406</xdr:rowOff>
    </xdr:to>
    <xdr:sp macro="" textlink="">
      <xdr:nvSpPr>
        <xdr:cNvPr id="112" name="Texto 527">
          <a:extLst>
            <a:ext uri="{FF2B5EF4-FFF2-40B4-BE49-F238E27FC236}">
              <a16:creationId xmlns:a16="http://schemas.microsoft.com/office/drawing/2014/main" id="{00000000-0008-0000-1E00-000070000000}"/>
            </a:ext>
          </a:extLst>
        </xdr:cNvPr>
        <xdr:cNvSpPr txBox="1">
          <a:spLocks noChangeArrowheads="1"/>
        </xdr:cNvSpPr>
      </xdr:nvSpPr>
      <xdr:spPr bwMode="auto">
        <a:xfrm>
          <a:off x="2504815" y="2198281"/>
          <a:ext cx="497218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Lagoaça</a:t>
          </a:r>
        </a:p>
      </xdr:txBody>
    </xdr:sp>
    <xdr:clientData/>
  </xdr:twoCellAnchor>
  <xdr:twoCellAnchor editAs="absolute">
    <xdr:from>
      <xdr:col>4</xdr:col>
      <xdr:colOff>1433667</xdr:colOff>
      <xdr:row>13</xdr:row>
      <xdr:rowOff>127989</xdr:rowOff>
    </xdr:from>
    <xdr:to>
      <xdr:col>4</xdr:col>
      <xdr:colOff>2359049</xdr:colOff>
      <xdr:row>14</xdr:row>
      <xdr:rowOff>101350</xdr:rowOff>
    </xdr:to>
    <xdr:sp macro="" textlink="">
      <xdr:nvSpPr>
        <xdr:cNvPr id="113" name="Texto 631">
          <a:extLst>
            <a:ext uri="{FF2B5EF4-FFF2-40B4-BE49-F238E27FC236}">
              <a16:creationId xmlns:a16="http://schemas.microsoft.com/office/drawing/2014/main" id="{00000000-0008-0000-1E00-000071000000}"/>
            </a:ext>
          </a:extLst>
        </xdr:cNvPr>
        <xdr:cNvSpPr txBox="1">
          <a:spLocks noChangeArrowheads="1"/>
        </xdr:cNvSpPr>
      </xdr:nvSpPr>
      <xdr:spPr bwMode="auto">
        <a:xfrm>
          <a:off x="3291042" y="2318739"/>
          <a:ext cx="92538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400 kV</a:t>
          </a:r>
        </a:p>
      </xdr:txBody>
    </xdr:sp>
    <xdr:clientData/>
  </xdr:twoCellAnchor>
  <xdr:twoCellAnchor editAs="absolute">
    <xdr:from>
      <xdr:col>4</xdr:col>
      <xdr:colOff>1242193</xdr:colOff>
      <xdr:row>13</xdr:row>
      <xdr:rowOff>25252</xdr:rowOff>
    </xdr:from>
    <xdr:to>
      <xdr:col>4</xdr:col>
      <xdr:colOff>1517461</xdr:colOff>
      <xdr:row>14</xdr:row>
      <xdr:rowOff>7503</xdr:rowOff>
    </xdr:to>
    <xdr:sp macro="" textlink="'Data 1'!D379">
      <xdr:nvSpPr>
        <xdr:cNvPr id="114" name="Texto 636">
          <a:extLst>
            <a:ext uri="{FF2B5EF4-FFF2-40B4-BE49-F238E27FC236}">
              <a16:creationId xmlns:a16="http://schemas.microsoft.com/office/drawing/2014/main" id="{00000000-0008-0000-1E00-000072000000}"/>
            </a:ext>
          </a:extLst>
        </xdr:cNvPr>
        <xdr:cNvSpPr txBox="1">
          <a:spLocks noChangeArrowheads="1"/>
        </xdr:cNvSpPr>
      </xdr:nvSpPr>
      <xdr:spPr bwMode="auto">
        <a:xfrm>
          <a:off x="3099568" y="2192190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EA52AE-CD6D-4FCE-8982-48914B56CA1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2.518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1012086</xdr:colOff>
      <xdr:row>13</xdr:row>
      <xdr:rowOff>139862</xdr:rowOff>
    </xdr:from>
    <xdr:to>
      <xdr:col>4</xdr:col>
      <xdr:colOff>1287354</xdr:colOff>
      <xdr:row>14</xdr:row>
      <xdr:rowOff>118938</xdr:rowOff>
    </xdr:to>
    <xdr:sp macro="" textlink="'Data 1'!E379">
      <xdr:nvSpPr>
        <xdr:cNvPr id="115" name="Texto 636">
          <a:extLst>
            <a:ext uri="{FF2B5EF4-FFF2-40B4-BE49-F238E27FC236}">
              <a16:creationId xmlns:a16="http://schemas.microsoft.com/office/drawing/2014/main" id="{00000000-0008-0000-1E00-000073000000}"/>
            </a:ext>
          </a:extLst>
        </xdr:cNvPr>
        <xdr:cNvSpPr txBox="1">
          <a:spLocks noChangeArrowheads="1"/>
        </xdr:cNvSpPr>
      </xdr:nvSpPr>
      <xdr:spPr bwMode="auto">
        <a:xfrm>
          <a:off x="2869461" y="2330612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F859655D-F5DE-422F-A993-9DC60578745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797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4991100</xdr:colOff>
      <xdr:row>11</xdr:row>
      <xdr:rowOff>22860</xdr:rowOff>
    </xdr:from>
    <xdr:to>
      <xdr:col>4</xdr:col>
      <xdr:colOff>5120640</xdr:colOff>
      <xdr:row>13</xdr:row>
      <xdr:rowOff>121920</xdr:rowOff>
    </xdr:to>
    <xdr:sp macro="" textlink="">
      <xdr:nvSpPr>
        <xdr:cNvPr id="116" name="Dibujo 582">
          <a:extLst>
            <a:ext uri="{FF2B5EF4-FFF2-40B4-BE49-F238E27FC236}">
              <a16:creationId xmlns:a16="http://schemas.microsoft.com/office/drawing/2014/main" id="{00000000-0008-0000-1E00-000074000000}"/>
            </a:ext>
          </a:extLst>
        </xdr:cNvPr>
        <xdr:cNvSpPr>
          <a:spLocks/>
        </xdr:cNvSpPr>
      </xdr:nvSpPr>
      <xdr:spPr bwMode="auto">
        <a:xfrm>
          <a:off x="6848475" y="1889760"/>
          <a:ext cx="129540" cy="42291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4846320</xdr:colOff>
      <xdr:row>10</xdr:row>
      <xdr:rowOff>99060</xdr:rowOff>
    </xdr:from>
    <xdr:to>
      <xdr:col>4</xdr:col>
      <xdr:colOff>4975860</xdr:colOff>
      <xdr:row>13</xdr:row>
      <xdr:rowOff>60960</xdr:rowOff>
    </xdr:to>
    <xdr:sp macro="" textlink="">
      <xdr:nvSpPr>
        <xdr:cNvPr id="117" name="Dibujo 581">
          <a:extLst>
            <a:ext uri="{FF2B5EF4-FFF2-40B4-BE49-F238E27FC236}">
              <a16:creationId xmlns:a16="http://schemas.microsoft.com/office/drawing/2014/main" id="{00000000-0008-0000-1E00-000075000000}"/>
            </a:ext>
          </a:extLst>
        </xdr:cNvPr>
        <xdr:cNvSpPr>
          <a:spLocks/>
        </xdr:cNvSpPr>
      </xdr:nvSpPr>
      <xdr:spPr bwMode="auto">
        <a:xfrm>
          <a:off x="6703695" y="1804035"/>
          <a:ext cx="129540" cy="4476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4832985</xdr:colOff>
      <xdr:row>11</xdr:row>
      <xdr:rowOff>9525</xdr:rowOff>
    </xdr:from>
    <xdr:to>
      <xdr:col>4</xdr:col>
      <xdr:colOff>4969369</xdr:colOff>
      <xdr:row>12</xdr:row>
      <xdr:rowOff>41884</xdr:rowOff>
    </xdr:to>
    <xdr:sp macro="" textlink="'Data 1'!E374">
      <xdr:nvSpPr>
        <xdr:cNvPr id="118" name="Texto 593">
          <a:extLst>
            <a:ext uri="{FF2B5EF4-FFF2-40B4-BE49-F238E27FC236}">
              <a16:creationId xmlns:a16="http://schemas.microsoft.com/office/drawing/2014/main" id="{00000000-0008-0000-1E00-000076000000}"/>
            </a:ext>
          </a:extLst>
        </xdr:cNvPr>
        <xdr:cNvSpPr txBox="1">
          <a:spLocks noChangeArrowheads="1"/>
        </xdr:cNvSpPr>
      </xdr:nvSpPr>
      <xdr:spPr bwMode="auto">
        <a:xfrm>
          <a:off x="6690360" y="187642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777DD56-B4EB-4D27-908D-3EA3C1A65DE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1.706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4983797</xdr:colOff>
      <xdr:row>11</xdr:row>
      <xdr:rowOff>64770</xdr:rowOff>
    </xdr:from>
    <xdr:to>
      <xdr:col>4</xdr:col>
      <xdr:colOff>5120181</xdr:colOff>
      <xdr:row>13</xdr:row>
      <xdr:rowOff>20804</xdr:rowOff>
    </xdr:to>
    <xdr:sp macro="" textlink="'Data 1'!D374">
      <xdr:nvSpPr>
        <xdr:cNvPr id="119" name="Texto 594">
          <a:extLst>
            <a:ext uri="{FF2B5EF4-FFF2-40B4-BE49-F238E27FC236}">
              <a16:creationId xmlns:a16="http://schemas.microsoft.com/office/drawing/2014/main" id="{00000000-0008-0000-1E00-000077000000}"/>
            </a:ext>
          </a:extLst>
        </xdr:cNvPr>
        <xdr:cNvSpPr txBox="1">
          <a:spLocks noChangeArrowheads="1"/>
        </xdr:cNvSpPr>
      </xdr:nvSpPr>
      <xdr:spPr bwMode="auto">
        <a:xfrm>
          <a:off x="6841172" y="1931670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F4D6861-DCDA-468E-A5F0-B633373685F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4.205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4440555</xdr:colOff>
      <xdr:row>13</xdr:row>
      <xdr:rowOff>45720</xdr:rowOff>
    </xdr:from>
    <xdr:to>
      <xdr:col>4</xdr:col>
      <xdr:colOff>5000965</xdr:colOff>
      <xdr:row>14</xdr:row>
      <xdr:rowOff>19081</xdr:rowOff>
    </xdr:to>
    <xdr:sp macro="" textlink="">
      <xdr:nvSpPr>
        <xdr:cNvPr id="120" name="Texto 596">
          <a:extLst>
            <a:ext uri="{FF2B5EF4-FFF2-40B4-BE49-F238E27FC236}">
              <a16:creationId xmlns:a16="http://schemas.microsoft.com/office/drawing/2014/main" id="{00000000-0008-0000-1E00-000078000000}"/>
            </a:ext>
          </a:extLst>
        </xdr:cNvPr>
        <xdr:cNvSpPr txBox="1">
          <a:spLocks noChangeArrowheads="1"/>
        </xdr:cNvSpPr>
      </xdr:nvSpPr>
      <xdr:spPr bwMode="auto">
        <a:xfrm>
          <a:off x="6297930" y="2236470"/>
          <a:ext cx="56041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Sta. Llogaia</a:t>
          </a:r>
        </a:p>
      </xdr:txBody>
    </xdr:sp>
    <xdr:clientData/>
  </xdr:twoCellAnchor>
  <xdr:twoCellAnchor editAs="absolute">
    <xdr:from>
      <xdr:col>4</xdr:col>
      <xdr:colOff>914400</xdr:colOff>
      <xdr:row>25</xdr:row>
      <xdr:rowOff>137160</xdr:rowOff>
    </xdr:from>
    <xdr:to>
      <xdr:col>4</xdr:col>
      <xdr:colOff>1386840</xdr:colOff>
      <xdr:row>26</xdr:row>
      <xdr:rowOff>91440</xdr:rowOff>
    </xdr:to>
    <xdr:sp macro="" textlink="">
      <xdr:nvSpPr>
        <xdr:cNvPr id="121" name="Dibujo 508">
          <a:extLst>
            <a:ext uri="{FF2B5EF4-FFF2-40B4-BE49-F238E27FC236}">
              <a16:creationId xmlns:a16="http://schemas.microsoft.com/office/drawing/2014/main" id="{00000000-0008-0000-1E00-000079000000}"/>
            </a:ext>
          </a:extLst>
        </xdr:cNvPr>
        <xdr:cNvSpPr>
          <a:spLocks/>
        </xdr:cNvSpPr>
      </xdr:nvSpPr>
      <xdr:spPr bwMode="auto">
        <a:xfrm>
          <a:off x="2771775" y="4271010"/>
          <a:ext cx="472440" cy="11620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822960</xdr:colOff>
      <xdr:row>26</xdr:row>
      <xdr:rowOff>106680</xdr:rowOff>
    </xdr:from>
    <xdr:to>
      <xdr:col>4</xdr:col>
      <xdr:colOff>1303020</xdr:colOff>
      <xdr:row>27</xdr:row>
      <xdr:rowOff>45720</xdr:rowOff>
    </xdr:to>
    <xdr:sp macro="" textlink="">
      <xdr:nvSpPr>
        <xdr:cNvPr id="122" name="Dibujo 748">
          <a:extLst>
            <a:ext uri="{FF2B5EF4-FFF2-40B4-BE49-F238E27FC236}">
              <a16:creationId xmlns:a16="http://schemas.microsoft.com/office/drawing/2014/main" id="{00000000-0008-0000-1E00-00007A000000}"/>
            </a:ext>
          </a:extLst>
        </xdr:cNvPr>
        <xdr:cNvSpPr>
          <a:spLocks/>
        </xdr:cNvSpPr>
      </xdr:nvSpPr>
      <xdr:spPr bwMode="auto">
        <a:xfrm>
          <a:off x="2680335" y="4402455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1302956</xdr:colOff>
      <xdr:row>26</xdr:row>
      <xdr:rowOff>67041</xdr:rowOff>
    </xdr:from>
    <xdr:to>
      <xdr:col>4</xdr:col>
      <xdr:colOff>2547849</xdr:colOff>
      <xdr:row>27</xdr:row>
      <xdr:rowOff>40402</xdr:rowOff>
    </xdr:to>
    <xdr:sp macro="" textlink="">
      <xdr:nvSpPr>
        <xdr:cNvPr id="123" name="Texto 749">
          <a:extLst>
            <a:ext uri="{FF2B5EF4-FFF2-40B4-BE49-F238E27FC236}">
              <a16:creationId xmlns:a16="http://schemas.microsoft.com/office/drawing/2014/main" id="{00000000-0008-0000-1E00-00007B000000}"/>
            </a:ext>
          </a:extLst>
        </xdr:cNvPr>
        <xdr:cNvSpPr txBox="1">
          <a:spLocks noChangeArrowheads="1"/>
        </xdr:cNvSpPr>
      </xdr:nvSpPr>
      <xdr:spPr bwMode="auto">
        <a:xfrm>
          <a:off x="3160331" y="4362816"/>
          <a:ext cx="1244893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Puebla de Guzmán 400 kV</a:t>
          </a:r>
        </a:p>
      </xdr:txBody>
    </xdr:sp>
    <xdr:clientData/>
  </xdr:twoCellAnchor>
  <xdr:twoCellAnchor editAs="absolute">
    <xdr:from>
      <xdr:col>4</xdr:col>
      <xdr:colOff>560070</xdr:colOff>
      <xdr:row>25</xdr:row>
      <xdr:rowOff>89535</xdr:rowOff>
    </xdr:from>
    <xdr:to>
      <xdr:col>4</xdr:col>
      <xdr:colOff>863551</xdr:colOff>
      <xdr:row>26</xdr:row>
      <xdr:rowOff>62896</xdr:rowOff>
    </xdr:to>
    <xdr:sp macro="" textlink="">
      <xdr:nvSpPr>
        <xdr:cNvPr id="124" name="Texto 749">
          <a:extLst>
            <a:ext uri="{FF2B5EF4-FFF2-40B4-BE49-F238E27FC236}">
              <a16:creationId xmlns:a16="http://schemas.microsoft.com/office/drawing/2014/main" id="{00000000-0008-0000-1E00-00007C000000}"/>
            </a:ext>
          </a:extLst>
        </xdr:cNvPr>
        <xdr:cNvSpPr txBox="1">
          <a:spLocks noChangeArrowheads="1"/>
        </xdr:cNvSpPr>
      </xdr:nvSpPr>
      <xdr:spPr bwMode="auto">
        <a:xfrm>
          <a:off x="2417445" y="4223385"/>
          <a:ext cx="30348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Tavira</a:t>
          </a:r>
        </a:p>
      </xdr:txBody>
    </xdr:sp>
    <xdr:clientData/>
  </xdr:twoCellAnchor>
  <xdr:twoCellAnchor editAs="absolute">
    <xdr:from>
      <xdr:col>4</xdr:col>
      <xdr:colOff>1040300</xdr:colOff>
      <xdr:row>25</xdr:row>
      <xdr:rowOff>111089</xdr:rowOff>
    </xdr:from>
    <xdr:to>
      <xdr:col>4</xdr:col>
      <xdr:colOff>1321434</xdr:colOff>
      <xdr:row>26</xdr:row>
      <xdr:rowOff>87649</xdr:rowOff>
    </xdr:to>
    <xdr:sp macro="" textlink="'Data 1'!D387">
      <xdr:nvSpPr>
        <xdr:cNvPr id="125" name="Texto 750">
          <a:extLst>
            <a:ext uri="{FF2B5EF4-FFF2-40B4-BE49-F238E27FC236}">
              <a16:creationId xmlns:a16="http://schemas.microsoft.com/office/drawing/2014/main" id="{00000000-0008-0000-1E00-00007D000000}"/>
            </a:ext>
          </a:extLst>
        </xdr:cNvPr>
        <xdr:cNvSpPr txBox="1">
          <a:spLocks noChangeArrowheads="1"/>
        </xdr:cNvSpPr>
      </xdr:nvSpPr>
      <xdr:spPr bwMode="auto">
        <a:xfrm>
          <a:off x="2897675" y="4244939"/>
          <a:ext cx="281134" cy="1384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4F4BB83F-2120-4130-88BD-19FAD2D6350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460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880109</xdr:colOff>
      <xdr:row>26</xdr:row>
      <xdr:rowOff>65769</xdr:rowOff>
    </xdr:from>
    <xdr:to>
      <xdr:col>4</xdr:col>
      <xdr:colOff>1238250</xdr:colOff>
      <xdr:row>27</xdr:row>
      <xdr:rowOff>57149</xdr:rowOff>
    </xdr:to>
    <xdr:sp macro="" textlink="'Data 1'!E387">
      <xdr:nvSpPr>
        <xdr:cNvPr id="126" name="Texto 750">
          <a:extLst>
            <a:ext uri="{FF2B5EF4-FFF2-40B4-BE49-F238E27FC236}">
              <a16:creationId xmlns:a16="http://schemas.microsoft.com/office/drawing/2014/main" id="{00000000-0008-0000-1E00-00007E000000}"/>
            </a:ext>
          </a:extLst>
        </xdr:cNvPr>
        <xdr:cNvSpPr txBox="1">
          <a:spLocks noChangeArrowheads="1"/>
        </xdr:cNvSpPr>
      </xdr:nvSpPr>
      <xdr:spPr bwMode="auto">
        <a:xfrm>
          <a:off x="2737484" y="4361544"/>
          <a:ext cx="358141" cy="1533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CB95FF5B-91DE-45B3-A2B7-AAE7A77190D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663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2770187</xdr:colOff>
      <xdr:row>7</xdr:row>
      <xdr:rowOff>47625</xdr:rowOff>
    </xdr:from>
    <xdr:to>
      <xdr:col>4</xdr:col>
      <xdr:colOff>2906571</xdr:colOff>
      <xdr:row>7</xdr:row>
      <xdr:rowOff>127775</xdr:rowOff>
    </xdr:to>
    <xdr:sp macro="" textlink="'Data 1'!E369">
      <xdr:nvSpPr>
        <xdr:cNvPr id="127" name="Texto 584">
          <a:extLst>
            <a:ext uri="{FF2B5EF4-FFF2-40B4-BE49-F238E27FC236}">
              <a16:creationId xmlns:a16="http://schemas.microsoft.com/office/drawing/2014/main" id="{00000000-0008-0000-1E00-00007F000000}"/>
            </a:ext>
          </a:extLst>
        </xdr:cNvPr>
        <xdr:cNvSpPr txBox="1">
          <a:spLocks noChangeArrowheads="1"/>
        </xdr:cNvSpPr>
      </xdr:nvSpPr>
      <xdr:spPr bwMode="auto">
        <a:xfrm>
          <a:off x="4627562" y="126682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E0C6FD58-EB0F-4E43-8D24-4196CD3DBE7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12</xdr:col>
      <xdr:colOff>740745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4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8</xdr:col>
      <xdr:colOff>836745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55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32385</xdr:rowOff>
    </xdr:from>
    <xdr:to>
      <xdr:col>10</xdr:col>
      <xdr:colOff>730200</xdr:colOff>
      <xdr:row>3</xdr:row>
      <xdr:rowOff>32385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89585"/>
          <a:ext cx="90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4968240</xdr:colOff>
      <xdr:row>25</xdr:row>
      <xdr:rowOff>15240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 txBox="1"/>
      </xdr:nvSpPr>
      <xdr:spPr>
        <a:xfrm>
          <a:off x="6825615" y="4120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5</xdr:col>
      <xdr:colOff>428625</xdr:colOff>
      <xdr:row>7</xdr:row>
      <xdr:rowOff>0</xdr:rowOff>
    </xdr:from>
    <xdr:to>
      <xdr:col>5</xdr:col>
      <xdr:colOff>628650</xdr:colOff>
      <xdr:row>8</xdr:row>
      <xdr:rowOff>0</xdr:rowOff>
    </xdr:to>
    <xdr:sp macro="" textlink="">
      <xdr:nvSpPr>
        <xdr:cNvPr id="12" name="Rectangle 5">
          <a:extLst>
            <a:ext uri="{FF2B5EF4-FFF2-40B4-BE49-F238E27FC236}">
              <a16:creationId xmlns:a16="http://schemas.microsoft.com/office/drawing/2014/main" id="{00000000-0008-0000-2700-00000C000000}"/>
            </a:ext>
          </a:extLst>
        </xdr:cNvPr>
        <xdr:cNvSpPr>
          <a:spLocks noChangeArrowheads="1"/>
        </xdr:cNvSpPr>
      </xdr:nvSpPr>
      <xdr:spPr bwMode="auto">
        <a:xfrm>
          <a:off x="3048000" y="1190625"/>
          <a:ext cx="200025" cy="161925"/>
        </a:xfrm>
        <a:prstGeom prst="rect">
          <a:avLst/>
        </a:prstGeom>
        <a:solidFill>
          <a:srgbClr val="A6CAF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7</xdr:row>
      <xdr:rowOff>19050</xdr:rowOff>
    </xdr:from>
    <xdr:to>
      <xdr:col>8</xdr:col>
      <xdr:colOff>438150</xdr:colOff>
      <xdr:row>8</xdr:row>
      <xdr:rowOff>19050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00000000-0008-0000-2700-00000D000000}"/>
            </a:ext>
          </a:extLst>
        </xdr:cNvPr>
        <xdr:cNvSpPr>
          <a:spLocks noChangeArrowheads="1"/>
        </xdr:cNvSpPr>
      </xdr:nvSpPr>
      <xdr:spPr bwMode="auto">
        <a:xfrm>
          <a:off x="6181725" y="1209675"/>
          <a:ext cx="200025" cy="161925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3905250</xdr:colOff>
      <xdr:row>37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3905250</xdr:colOff>
      <xdr:row>37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10</xdr:col>
      <xdr:colOff>741570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7</xdr:col>
      <xdr:colOff>800460</xdr:colOff>
      <xdr:row>2</xdr:row>
      <xdr:rowOff>28575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6105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74F803EF-AB4A-4099-8AF3-4BCA5665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7</xdr:col>
      <xdr:colOff>800460</xdr:colOff>
      <xdr:row>2</xdr:row>
      <xdr:rowOff>28575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90CD89EC-F1A4-4C67-BCF2-54AA6E8F33D7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6105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133350</xdr:rowOff>
    </xdr:from>
    <xdr:to>
      <xdr:col>3</xdr:col>
      <xdr:colOff>123825</xdr:colOff>
      <xdr:row>1</xdr:row>
      <xdr:rowOff>133350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10</xdr:col>
      <xdr:colOff>19410</xdr:colOff>
      <xdr:row>2</xdr:row>
      <xdr:rowOff>28575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>
          <a:spLocks noChangeShapeType="1"/>
        </xdr:cNvSpPr>
      </xdr:nvSpPr>
      <xdr:spPr bwMode="auto">
        <a:xfrm flipH="1">
          <a:off x="190500" y="495300"/>
          <a:ext cx="6105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152399</xdr:colOff>
      <xdr:row>2</xdr:row>
      <xdr:rowOff>28575</xdr:rowOff>
    </xdr:from>
    <xdr:to>
      <xdr:col>9</xdr:col>
      <xdr:colOff>724949</xdr:colOff>
      <xdr:row>2</xdr:row>
      <xdr:rowOff>28575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>
          <a:spLocks noChangeShapeType="1"/>
        </xdr:cNvSpPr>
      </xdr:nvSpPr>
      <xdr:spPr bwMode="auto">
        <a:xfrm flipH="1">
          <a:off x="152399" y="495300"/>
          <a:ext cx="68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19050</xdr:colOff>
      <xdr:row>0</xdr:row>
      <xdr:rowOff>142875</xdr:rowOff>
    </xdr:from>
    <xdr:to>
      <xdr:col>2</xdr:col>
      <xdr:colOff>904875</xdr:colOff>
      <xdr:row>1</xdr:row>
      <xdr:rowOff>142875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2</xdr:row>
      <xdr:rowOff>9525</xdr:rowOff>
    </xdr:from>
    <xdr:to>
      <xdr:col>7</xdr:col>
      <xdr:colOff>756000</xdr:colOff>
      <xdr:row>2</xdr:row>
      <xdr:rowOff>9525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76250"/>
          <a:ext cx="53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152399</xdr:colOff>
      <xdr:row>2</xdr:row>
      <xdr:rowOff>28575</xdr:rowOff>
    </xdr:from>
    <xdr:to>
      <xdr:col>8</xdr:col>
      <xdr:colOff>742874</xdr:colOff>
      <xdr:row>2</xdr:row>
      <xdr:rowOff>28575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>
          <a:spLocks noChangeShapeType="1"/>
        </xdr:cNvSpPr>
      </xdr:nvSpPr>
      <xdr:spPr bwMode="auto">
        <a:xfrm flipH="1">
          <a:off x="152399" y="495300"/>
          <a:ext cx="66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19050</xdr:colOff>
      <xdr:row>0</xdr:row>
      <xdr:rowOff>142875</xdr:rowOff>
    </xdr:from>
    <xdr:to>
      <xdr:col>2</xdr:col>
      <xdr:colOff>904875</xdr:colOff>
      <xdr:row>1</xdr:row>
      <xdr:rowOff>142875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48"/>
  <sheetViews>
    <sheetView showGridLines="0" showRowColHeaders="0" tabSelected="1" showOutlineSymbols="0" zoomScaleNormal="100" workbookViewId="0">
      <selection activeCell="H14" sqref="H14"/>
    </sheetView>
  </sheetViews>
  <sheetFormatPr baseColWidth="10" defaultColWidth="11.42578125" defaultRowHeight="12.75"/>
  <cols>
    <col min="1" max="1" width="0.140625" style="45" customWidth="1"/>
    <col min="2" max="2" width="2.7109375" style="45" customWidth="1"/>
    <col min="3" max="3" width="16.42578125" style="45" customWidth="1"/>
    <col min="4" max="4" width="4.7109375" style="45" customWidth="1"/>
    <col min="5" max="5" width="95.7109375" style="45" customWidth="1"/>
    <col min="6" max="16384" width="11.42578125" style="45"/>
  </cols>
  <sheetData>
    <row r="1" spans="1:15" ht="0.75" customHeight="1">
      <c r="A1" s="108" t="s">
        <v>248</v>
      </c>
    </row>
    <row r="2" spans="1:15" ht="21" customHeight="1">
      <c r="B2" s="45" t="s">
        <v>35</v>
      </c>
      <c r="C2" s="46"/>
      <c r="D2" s="46"/>
      <c r="E2" s="4" t="s">
        <v>86</v>
      </c>
    </row>
    <row r="3" spans="1:15" ht="15" customHeight="1">
      <c r="C3" s="46"/>
      <c r="D3" s="46"/>
      <c r="E3" s="362" t="s">
        <v>348</v>
      </c>
    </row>
    <row r="4" spans="1:15" s="49" customFormat="1" ht="20.25" customHeight="1">
      <c r="B4" s="47"/>
      <c r="C4" s="48"/>
      <c r="E4" s="388" t="s">
        <v>351</v>
      </c>
    </row>
    <row r="5" spans="1:15" s="49" customFormat="1" ht="8.25" customHeight="1">
      <c r="B5" s="47"/>
      <c r="C5" s="50"/>
    </row>
    <row r="6" spans="1:15" s="49" customFormat="1" ht="3" customHeight="1">
      <c r="B6" s="47"/>
      <c r="C6" s="50"/>
    </row>
    <row r="7" spans="1:15" s="49" customFormat="1" ht="7.5" customHeight="1">
      <c r="B7" s="47"/>
      <c r="C7" s="51"/>
      <c r="D7" s="52"/>
      <c r="E7" s="52"/>
    </row>
    <row r="8" spans="1:15" s="49" customFormat="1" ht="12.6" customHeight="1">
      <c r="B8" s="47"/>
      <c r="C8" s="53"/>
      <c r="D8" s="54" t="s">
        <v>107</v>
      </c>
      <c r="E8" s="55" t="str">
        <f>'C1'!B5</f>
        <v>Demanda eléctrica por CC.AA. y variación respecto al año anterior</v>
      </c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ht="12.6" customHeight="1">
      <c r="D9" s="54" t="s">
        <v>107</v>
      </c>
      <c r="E9" s="55" t="str">
        <f>'C2'!B5</f>
        <v>Potencia instalada por CC.AA. a 31.12.2020</v>
      </c>
    </row>
    <row r="10" spans="1:15" ht="12.6" customHeight="1">
      <c r="D10" s="54" t="s">
        <v>107</v>
      </c>
      <c r="E10" s="55" t="str">
        <f>'C3'!C7</f>
        <v>Evolución de la red de transporte de energía eléctrica en España</v>
      </c>
    </row>
    <row r="11" spans="1:15" ht="12.6" customHeight="1">
      <c r="D11" s="54" t="s">
        <v>107</v>
      </c>
      <c r="E11" s="55" t="str">
        <f>'C4'!C7</f>
        <v>Instalaciones de la red de transporte de energía eléctrica en España</v>
      </c>
    </row>
    <row r="12" spans="1:15" ht="12.6" customHeight="1">
      <c r="D12" s="54" t="s">
        <v>107</v>
      </c>
      <c r="E12" s="55" t="str">
        <f>'C5'!C7</f>
        <v>Evolución de la demanda eléctrica peninsular</v>
      </c>
    </row>
    <row r="13" spans="1:15" ht="12.6" customHeight="1">
      <c r="D13" s="54" t="s">
        <v>107</v>
      </c>
      <c r="E13" s="55" t="str">
        <f>MID('C6'!C7,1,52)</f>
        <v>Variación mensual de la demanda eléctrica peninsular</v>
      </c>
    </row>
    <row r="14" spans="1:15" ht="12.6" customHeight="1">
      <c r="D14" s="54" t="s">
        <v>107</v>
      </c>
      <c r="E14" s="55" t="str">
        <f>MID('C7'!C7,1,50)</f>
        <v>Variación anual de la demanda eléctrica peninsular</v>
      </c>
    </row>
    <row r="15" spans="1:15" ht="12.6" customHeight="1">
      <c r="D15" s="54" t="s">
        <v>107</v>
      </c>
      <c r="E15" s="55" t="str">
        <f>MID('C8'!C7,1,70)</f>
        <v>Componentes de la variación de la demanda eléctrica mensual peninsular</v>
      </c>
    </row>
    <row r="16" spans="1:15" ht="12.6" customHeight="1">
      <c r="D16" s="54" t="s">
        <v>107</v>
      </c>
      <c r="E16" s="387" t="str">
        <f>MID('C9'!C7,1,32)</f>
        <v>IRE: Componentes de la variación</v>
      </c>
    </row>
    <row r="17" spans="4:5" ht="12.6" customHeight="1">
      <c r="D17" s="54" t="s">
        <v>107</v>
      </c>
      <c r="E17" s="57" t="str">
        <f>MID('C10'!C7,1,35)</f>
        <v>Variación mensual del IRE corregido</v>
      </c>
    </row>
    <row r="18" spans="4:5" ht="12.6" customHeight="1">
      <c r="D18" s="54" t="s">
        <v>107</v>
      </c>
      <c r="E18" s="55" t="str">
        <f>'C11'!C7</f>
        <v>Máximos anuales de demanda peninsular</v>
      </c>
    </row>
    <row r="19" spans="4:5" ht="12.6" customHeight="1">
      <c r="D19" s="54" t="s">
        <v>107</v>
      </c>
      <c r="E19" s="55" t="str">
        <f>'C12'!C7</f>
        <v xml:space="preserve">Potencia eléctrica instalada peninsular
a 31 de diciembre de 2020
</v>
      </c>
    </row>
    <row r="20" spans="4:5" ht="12.6" customHeight="1">
      <c r="D20" s="54" t="s">
        <v>107</v>
      </c>
      <c r="E20" s="55" t="str">
        <f>MID('C13'!C7,1,45)</f>
        <v xml:space="preserve">Cobertura de la demanda eléctrica peninsular </v>
      </c>
    </row>
    <row r="21" spans="4:5" ht="12.6" customHeight="1">
      <c r="D21" s="54" t="s">
        <v>107</v>
      </c>
      <c r="E21" s="55" t="str">
        <f>'C14'!C7</f>
        <v>Cobertura de la demanda  eléctrica. 
Máxima horaria peninsular 2020</v>
      </c>
    </row>
    <row r="22" spans="4:5" ht="12.6" customHeight="1">
      <c r="D22" s="54" t="s">
        <v>107</v>
      </c>
      <c r="E22" s="57" t="str">
        <f>'C15'!C7</f>
        <v xml:space="preserve">Evolución de la generación eléctrica peninsular renovable y no renovable </v>
      </c>
    </row>
    <row r="23" spans="4:5" ht="12.6" customHeight="1">
      <c r="D23" s="54" t="s">
        <v>107</v>
      </c>
      <c r="E23" s="55" t="str">
        <f>'C16'!$C$7</f>
        <v xml:space="preserve">Evolución de las emisiones de CO2 eq. asociadas a la generación eléctrica peninsular </v>
      </c>
    </row>
    <row r="24" spans="4:5" ht="12.6" customHeight="1">
      <c r="D24" s="54" t="s">
        <v>107</v>
      </c>
      <c r="E24" s="55" t="str">
        <f>'C17'!C7</f>
        <v>Evolución de la generación eléctrica peninsular renovable</v>
      </c>
    </row>
    <row r="25" spans="4:5" ht="12.6" customHeight="1">
      <c r="D25" s="54" t="s">
        <v>107</v>
      </c>
      <c r="E25" s="55" t="str">
        <f>'C18'!C7</f>
        <v>Evolución de la generación eléctrica peninsular no renovable</v>
      </c>
    </row>
    <row r="26" spans="4:5" ht="12.6" customHeight="1">
      <c r="D26" s="54" t="s">
        <v>107</v>
      </c>
      <c r="E26" s="57" t="str">
        <f>'C19'!C7</f>
        <v>Energía producible hidráulica peninsular</v>
      </c>
    </row>
    <row r="27" spans="4:5" ht="12.6" customHeight="1">
      <c r="D27" s="54" t="s">
        <v>107</v>
      </c>
      <c r="E27" s="387" t="str">
        <f>'C20'!C7</f>
        <v>Energía producible hidráulica diaria peninsular 2020 comparada con el producible medio histórico</v>
      </c>
    </row>
    <row r="28" spans="4:5" ht="12.6" customHeight="1">
      <c r="D28" s="54" t="s">
        <v>107</v>
      </c>
      <c r="E28" s="55" t="str">
        <f>'C21'!C7</f>
        <v>Reservas hidroeléctricas peninsulares 
a 31 de diciembre de 2020</v>
      </c>
    </row>
    <row r="29" spans="4:5" ht="12.6" customHeight="1">
      <c r="D29" s="54" t="s">
        <v>107</v>
      </c>
      <c r="E29" s="55" t="str">
        <f>'C22'!C7</f>
        <v xml:space="preserve">Evolución de las reservas hidroeléctricas peninsulares
</v>
      </c>
    </row>
    <row r="30" spans="4:5" ht="12.6" customHeight="1">
      <c r="D30" s="54" t="s">
        <v>107</v>
      </c>
      <c r="E30" s="55" t="str">
        <f>'C23'!C7</f>
        <v>Evolución de la red de transporte peninsular</v>
      </c>
    </row>
    <row r="31" spans="4:5" ht="12.6" customHeight="1">
      <c r="D31" s="54" t="s">
        <v>107</v>
      </c>
      <c r="E31" s="55" t="str">
        <f>'C24'!C7</f>
        <v>Evolución de la red de transporte de energía eléctrica peninsular</v>
      </c>
    </row>
    <row r="32" spans="4:5" ht="12.6" customHeight="1">
      <c r="D32" s="54" t="s">
        <v>107</v>
      </c>
      <c r="E32" s="55" t="str">
        <f>'C25'!C7</f>
        <v>Saldos de los intercambios internacionales físicos de energía eléctrica</v>
      </c>
    </row>
    <row r="33" spans="3:5" ht="12.6" customHeight="1">
      <c r="D33" s="54" t="s">
        <v>107</v>
      </c>
      <c r="E33" s="55" t="str">
        <f>MID('C26'!C7,1,58)</f>
        <v xml:space="preserve">Intercambios internacionales físicos de energía eléctrica
</v>
      </c>
    </row>
    <row r="34" spans="3:5" ht="12.6" customHeight="1">
      <c r="D34" s="54" t="s">
        <v>107</v>
      </c>
      <c r="E34" s="55" t="str">
        <f>'C27'!C7</f>
        <v>Evolución de la demanda eléctrica no peninsular</v>
      </c>
    </row>
    <row r="35" spans="3:5" ht="12.6" customHeight="1">
      <c r="D35" s="54" t="s">
        <v>107</v>
      </c>
      <c r="E35" s="55" t="str">
        <f>'C28'!C7</f>
        <v>Variación anual de la demanda eléctrica 
Islas Baleares (Año móvil)</v>
      </c>
    </row>
    <row r="36" spans="3:5" ht="12.6" customHeight="1">
      <c r="D36" s="54" t="s">
        <v>107</v>
      </c>
      <c r="E36" s="55" t="str">
        <f>'C29'!C7</f>
        <v>Variación anual de la demanda eléctrica 
Islas Canarias (Año móvil)</v>
      </c>
    </row>
    <row r="37" spans="3:5" ht="12.6" customHeight="1">
      <c r="D37" s="54" t="s">
        <v>107</v>
      </c>
      <c r="E37" s="55" t="str">
        <f>MID('C30'!C7,1,75)</f>
        <v>Componentes de la variación de la demanda eléctrica mensual 
Islas Baleares</v>
      </c>
    </row>
    <row r="38" spans="3:5" ht="12.6" customHeight="1">
      <c r="D38" s="54" t="s">
        <v>107</v>
      </c>
      <c r="E38" s="55" t="str">
        <f>MID('C31'!C7,1,75)</f>
        <v>Componentes de la variación de la demanda eléctrica mensual 
Islas Canarias</v>
      </c>
    </row>
    <row r="39" spans="3:5" ht="12.6" customHeight="1">
      <c r="D39" s="54" t="s">
        <v>107</v>
      </c>
      <c r="E39" s="55" t="str">
        <f>MID('C32'!C7,1,55)</f>
        <v>Variación mensual de la demanda eléctrica no peninsular</v>
      </c>
    </row>
    <row r="40" spans="3:5" ht="12.6" customHeight="1">
      <c r="D40" s="54" t="s">
        <v>107</v>
      </c>
      <c r="E40" s="55" t="str">
        <f>MID('C33'!C7,1,40)</f>
        <v>Máximos anuales de demanda no peninsular</v>
      </c>
    </row>
    <row r="41" spans="3:5" ht="12.6" customHeight="1">
      <c r="D41" s="54" t="s">
        <v>107</v>
      </c>
      <c r="E41" s="55" t="str">
        <f>'C34'!C7</f>
        <v>Potencia eléctrica instalada
Islas Baleares
a 31 de diciembre de 2020</v>
      </c>
    </row>
    <row r="42" spans="3:5" ht="12.6" customHeight="1">
      <c r="D42" s="54" t="s">
        <v>107</v>
      </c>
      <c r="E42" s="55" t="str">
        <f>MID('C35'!C7,1,50)</f>
        <v>Cobertura de la demanda  eléctrica 
Islas Baleares</v>
      </c>
    </row>
    <row r="43" spans="3:5" ht="12.6" customHeight="1">
      <c r="D43" s="54" t="s">
        <v>107</v>
      </c>
      <c r="E43" s="55" t="str">
        <f>'C36'!C7</f>
        <v xml:space="preserve">Potencia eléctrica instalada
a 31 de diciembre de 2020
Islas Canarias
</v>
      </c>
    </row>
    <row r="44" spans="3:5" ht="12.6" customHeight="1">
      <c r="D44" s="54" t="s">
        <v>107</v>
      </c>
      <c r="E44" s="55" t="str">
        <f>MID('C37'!C7,1,50)</f>
        <v>Cobertura de la demanda  eléctrica 
Islas Canarias</v>
      </c>
    </row>
    <row r="45" spans="3:5" ht="12.6" customHeight="1">
      <c r="D45" s="54" t="s">
        <v>107</v>
      </c>
      <c r="E45" s="55" t="str">
        <f>'C38'!C7</f>
        <v>Evolución de la red de transporte de energía eléctrica no peninsular</v>
      </c>
    </row>
    <row r="46" spans="3:5" ht="10.15" customHeight="1">
      <c r="D46" s="52"/>
      <c r="E46" s="52"/>
    </row>
    <row r="48" spans="3:5">
      <c r="C48" s="58"/>
    </row>
  </sheetData>
  <hyperlinks>
    <hyperlink ref="E8" location="'C1'!A1" display="'C1'!A1" xr:uid="{00000000-0004-0000-0000-000000000000}"/>
    <hyperlink ref="E9" location="'C2'!A1" display="Balance de energía eléctrica nacional" xr:uid="{00000000-0004-0000-0000-000001000000}"/>
    <hyperlink ref="E10" location="'C3'!A1" display="Balance de potencia eléctrica nacional a 31.12.2015" xr:uid="{00000000-0004-0000-0000-000002000000}"/>
    <hyperlink ref="E11" location="'C4'!A1" display="Evolución de la potencia instalada peninsular" xr:uid="{00000000-0004-0000-0000-000003000000}"/>
    <hyperlink ref="E12" location="'C5'!A1" display="Evolución del índice de cobertura mínimo peninsular" xr:uid="{00000000-0004-0000-0000-000004000000}"/>
    <hyperlink ref="E13" location="'C6'!A1" display="Evolución de la producción de energía renovable y no renovable peninsular " xr:uid="{00000000-0004-0000-0000-000005000000}"/>
    <hyperlink ref="E14" location="'C7'!A1" display="Estructura de la generación anual de energía renovable peninsular 2015" xr:uid="{00000000-0004-0000-0000-000006000000}"/>
    <hyperlink ref="E15" location="'C8'!A1" display="Cobertura máxima, media y mínima con hidráulica, eólica y solar peninsular en 2015" xr:uid="{00000000-0004-0000-0000-000007000000}"/>
    <hyperlink ref="E16" location="'C9'!A1" display="Generación hidráulica mensual comparada con la generación media histórica" xr:uid="{00000000-0004-0000-0000-000008000000}"/>
    <hyperlink ref="E17" location="'C10'!A1" display="Energía producible hidráulica diaria durante 2015 comparada con el " xr:uid="{00000000-0004-0000-0000-000009000000}"/>
    <hyperlink ref="E18" location="'C11'!A1" display="Estructura de generación anual de energía eléctrica peninsular" xr:uid="{00000000-0004-0000-0000-00000A000000}"/>
    <hyperlink ref="E19" location="'C12'!A1" display="Coeficiente de utilización de las centrales térmicas" xr:uid="{00000000-0004-0000-0000-00000B000000}"/>
    <hyperlink ref="E20" location="'C13'!A1" display="Evolución de la cobertura de la demanda de las Islas Baleares" xr:uid="{00000000-0004-0000-0000-00000C000000}"/>
    <hyperlink ref="E21" location="'C14'!A1" display="Evolución de la estructura de generación de las Islas Canarias" xr:uid="{00000000-0004-0000-0000-00000D000000}"/>
    <hyperlink ref="E22" location="'C15'!A1" display="Emisiones y factor de emisión de CO2 asociado a la generación " xr:uid="{00000000-0004-0000-0000-00000E000000}"/>
    <hyperlink ref="E23" location="'C16'!A1" display="Ratio generación/demanda (%) y generación neta (GWh) en 2015 por CC.AA." xr:uid="{00000000-0004-0000-0000-00000F000000}"/>
    <hyperlink ref="E24" location="'C17'!A1" display="'C17'!A1" xr:uid="{00000000-0004-0000-0000-000010000000}"/>
    <hyperlink ref="E25" location="'C18'!A1" display="'C18'!A1" xr:uid="{00000000-0004-0000-0000-000011000000}"/>
    <hyperlink ref="E26" location="'C19'!A1" display="'C19'!A1" xr:uid="{00000000-0004-0000-0000-000012000000}"/>
    <hyperlink ref="E27" location="'C20'!A1" display="'C20'!A1" xr:uid="{00000000-0004-0000-0000-000013000000}"/>
    <hyperlink ref="E28" location="'C21'!A1" display="'C21'!A1" xr:uid="{00000000-0004-0000-0000-000014000000}"/>
    <hyperlink ref="E29" location="'C22'!A1" display="'C22'!A1" xr:uid="{00000000-0004-0000-0000-000015000000}"/>
    <hyperlink ref="E30" location="'C23'!A1" display="'C23'!A1" xr:uid="{00000000-0004-0000-0000-000016000000}"/>
    <hyperlink ref="E31" location="'C24'!A1" display="'C24'!A1" xr:uid="{00000000-0004-0000-0000-000017000000}"/>
    <hyperlink ref="E32" location="'C25'!A1" display="'C25'!A1" xr:uid="{00000000-0004-0000-0000-000018000000}"/>
    <hyperlink ref="E33" location="'C26'!A1" display="'C26'!A1" xr:uid="{00000000-0004-0000-0000-000019000000}"/>
    <hyperlink ref="E34" location="'C27'!A1" display="'C27'!A1" xr:uid="{00000000-0004-0000-0000-00001A000000}"/>
    <hyperlink ref="E35" location="'C28'!A1" display="'C28'!A1" xr:uid="{00000000-0004-0000-0000-00001B000000}"/>
    <hyperlink ref="E36" location="'C29'!A1" display="'C29'!A1" xr:uid="{00000000-0004-0000-0000-00001C000000}"/>
    <hyperlink ref="E37" location="'C30'!A1" display="'C30'!A1" xr:uid="{00000000-0004-0000-0000-00001D000000}"/>
    <hyperlink ref="E38" location="'C31'!A1" display="'C31'!A1" xr:uid="{00000000-0004-0000-0000-00001E000000}"/>
    <hyperlink ref="E39" location="'C32'!A1" display="'C32'!A1" xr:uid="{00000000-0004-0000-0000-00001F000000}"/>
    <hyperlink ref="E40" location="'C33'!A1" display="'C33'!A1" xr:uid="{00000000-0004-0000-0000-000020000000}"/>
    <hyperlink ref="E41" location="'C34'!A1" display="'C34'!A1" xr:uid="{00000000-0004-0000-0000-000021000000}"/>
    <hyperlink ref="E42" location="'C35'!A1" display="'C35'!A1" xr:uid="{00000000-0004-0000-0000-000022000000}"/>
    <hyperlink ref="E43" location="'C36'!A1" display="'C36'!A1" xr:uid="{00000000-0004-0000-0000-000023000000}"/>
    <hyperlink ref="E44" location="'C37'!A1" display="'C37'!A1" xr:uid="{00000000-0004-0000-0000-000024000000}"/>
    <hyperlink ref="E45" location="'C38'!A1" display="'C38'!A1" xr:uid="{00000000-0004-0000-0000-000025000000}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43"/>
  <sheetViews>
    <sheetView showGridLines="0" showRowColHeaders="0" zoomScale="90" zoomScaleNormal="90" zoomScaleSheetLayoutView="100" workbookViewId="0">
      <selection activeCell="H32" sqref="H32"/>
    </sheetView>
  </sheetViews>
  <sheetFormatPr baseColWidth="10" defaultColWidth="11.42578125" defaultRowHeight="15"/>
  <cols>
    <col min="1" max="1" width="2.7109375" style="424" customWidth="1"/>
    <col min="2" max="2" width="23.7109375" style="424" customWidth="1"/>
    <col min="3" max="3" width="8.7109375" style="424" bestFit="1" customWidth="1"/>
    <col min="4" max="4" width="8.140625" style="424" bestFit="1" customWidth="1"/>
    <col min="5" max="5" width="9.5703125" style="424" bestFit="1" customWidth="1"/>
    <col min="6" max="6" width="8.42578125" style="424" customWidth="1"/>
    <col min="7" max="7" width="8.5703125" style="424" customWidth="1"/>
    <col min="8" max="8" width="8.140625" style="424" bestFit="1" customWidth="1"/>
    <col min="9" max="10" width="9.5703125" style="424" bestFit="1" customWidth="1"/>
    <col min="11" max="16384" width="11.42578125" style="424"/>
  </cols>
  <sheetData>
    <row r="1" spans="2:15" ht="21" customHeight="1">
      <c r="L1" s="362" t="s">
        <v>86</v>
      </c>
    </row>
    <row r="2" spans="2:15" ht="15" customHeight="1">
      <c r="L2" s="362" t="s">
        <v>348</v>
      </c>
    </row>
    <row r="3" spans="2:15" ht="20.25" customHeight="1">
      <c r="B3" s="108" t="s">
        <v>111</v>
      </c>
    </row>
    <row r="4" spans="2:15" ht="22.5" customHeight="1"/>
    <row r="5" spans="2:15" ht="47.25" customHeight="1">
      <c r="B5" s="423" t="s">
        <v>297</v>
      </c>
    </row>
    <row r="6" spans="2:15">
      <c r="B6" s="431"/>
      <c r="M6" s="486"/>
      <c r="N6" s="486"/>
      <c r="O6" s="487"/>
    </row>
    <row r="7" spans="2:15">
      <c r="B7" s="431"/>
      <c r="M7" s="486"/>
      <c r="N7" s="486"/>
      <c r="O7" s="487"/>
    </row>
    <row r="8" spans="2:15">
      <c r="B8" s="431"/>
      <c r="M8" s="486"/>
      <c r="N8" s="486"/>
      <c r="O8" s="487"/>
    </row>
    <row r="9" spans="2:15">
      <c r="B9" s="7"/>
      <c r="M9" s="486"/>
      <c r="N9" s="486"/>
      <c r="O9" s="487"/>
    </row>
    <row r="10" spans="2:15">
      <c r="M10" s="486"/>
      <c r="N10" s="486"/>
      <c r="O10" s="487"/>
    </row>
    <row r="11" spans="2:15">
      <c r="M11" s="486"/>
      <c r="N11" s="486"/>
      <c r="O11" s="487"/>
    </row>
    <row r="12" spans="2:15">
      <c r="M12" s="486"/>
      <c r="N12" s="486"/>
      <c r="O12" s="487"/>
    </row>
    <row r="13" spans="2:15">
      <c r="M13" s="486"/>
      <c r="N13" s="486"/>
      <c r="O13" s="487"/>
    </row>
    <row r="14" spans="2:15">
      <c r="M14" s="486"/>
      <c r="N14" s="486"/>
      <c r="O14" s="487"/>
    </row>
    <row r="15" spans="2:15">
      <c r="M15" s="486"/>
      <c r="N15" s="486"/>
      <c r="O15" s="487"/>
    </row>
    <row r="16" spans="2:15" ht="14.25" customHeight="1">
      <c r="M16" s="486"/>
      <c r="N16" s="486"/>
      <c r="O16" s="487"/>
    </row>
    <row r="17" spans="2:15" ht="15" customHeight="1">
      <c r="H17" s="425"/>
      <c r="M17" s="486"/>
      <c r="N17" s="486"/>
      <c r="O17" s="487"/>
    </row>
    <row r="18" spans="2:15">
      <c r="M18" s="486"/>
      <c r="N18" s="486"/>
      <c r="O18" s="487"/>
    </row>
    <row r="19" spans="2:15">
      <c r="M19" s="486"/>
      <c r="N19" s="486"/>
      <c r="O19" s="487"/>
    </row>
    <row r="20" spans="2:15">
      <c r="M20" s="486"/>
      <c r="N20" s="486"/>
      <c r="O20" s="487"/>
    </row>
    <row r="21" spans="2:15">
      <c r="M21" s="486"/>
      <c r="N21" s="486"/>
      <c r="O21" s="487"/>
    </row>
    <row r="22" spans="2:15">
      <c r="M22" s="486"/>
      <c r="N22" s="486"/>
      <c r="O22" s="487"/>
    </row>
    <row r="23" spans="2:15">
      <c r="M23" s="486"/>
      <c r="N23" s="486"/>
      <c r="O23" s="487"/>
    </row>
    <row r="24" spans="2:15">
      <c r="M24" s="486"/>
      <c r="N24" s="486"/>
      <c r="O24" s="487"/>
    </row>
    <row r="25" spans="2:15">
      <c r="J25" s="516"/>
      <c r="K25" s="445" t="s">
        <v>427</v>
      </c>
      <c r="M25" s="486"/>
      <c r="N25" s="486"/>
      <c r="O25" s="487"/>
    </row>
    <row r="26" spans="2:15">
      <c r="J26" s="515"/>
      <c r="K26" s="445" t="s">
        <v>426</v>
      </c>
    </row>
    <row r="27" spans="2:15">
      <c r="E27" s="428"/>
      <c r="J27" s="514"/>
      <c r="K27" s="445" t="s">
        <v>425</v>
      </c>
    </row>
    <row r="28" spans="2:15">
      <c r="E28" s="428"/>
      <c r="J28" s="513"/>
      <c r="K28" s="445" t="s">
        <v>424</v>
      </c>
      <c r="N28" s="488"/>
      <c r="O28" s="487"/>
    </row>
    <row r="29" spans="2:15">
      <c r="E29" s="428"/>
      <c r="N29" s="488"/>
      <c r="O29" s="487"/>
    </row>
    <row r="30" spans="2:15">
      <c r="E30" s="428"/>
      <c r="K30" s="489"/>
      <c r="O30"/>
    </row>
    <row r="31" spans="2:15">
      <c r="E31" s="428"/>
    </row>
    <row r="32" spans="2:15">
      <c r="B32" s="517" t="s">
        <v>428</v>
      </c>
      <c r="D32" s="517" t="s">
        <v>430</v>
      </c>
      <c r="H32" s="517" t="s">
        <v>429</v>
      </c>
    </row>
    <row r="33" spans="4:5">
      <c r="E33" s="428"/>
    </row>
    <row r="34" spans="4:5">
      <c r="E34" s="428"/>
    </row>
    <row r="35" spans="4:5">
      <c r="D35" s="428"/>
      <c r="E35" s="428"/>
    </row>
    <row r="36" spans="4:5">
      <c r="D36" s="428"/>
      <c r="E36" s="428"/>
    </row>
    <row r="37" spans="4:5">
      <c r="E37" s="428"/>
    </row>
    <row r="38" spans="4:5">
      <c r="E38" s="428"/>
    </row>
    <row r="39" spans="4:5">
      <c r="E39" s="428"/>
    </row>
    <row r="40" spans="4:5">
      <c r="E40" s="428"/>
    </row>
    <row r="41" spans="4:5">
      <c r="E41" s="428"/>
    </row>
    <row r="42" spans="4:5">
      <c r="E42" s="428"/>
    </row>
    <row r="43" spans="4:5">
      <c r="E43" s="428"/>
    </row>
  </sheetData>
  <hyperlinks>
    <hyperlink ref="B3" location="Indice!A1" display="Balance eléctrico, potencia instalada y red de transporte" xr:uid="{00000000-0004-0000-0100-000000000000}"/>
  </hyperlinks>
  <pageMargins left="0.31496062992126" right="0.31496062992126" top="0.74803149606299202" bottom="0.74803149606299202" header="0.31496062992126" footer="0.31496062992126"/>
  <pageSetup paperSize="9" orientation="landscape" r:id="rId1"/>
  <headerFooter>
    <oddHeader>&amp;L&amp;G</oddHeader>
    <oddFooter>&amp;L&amp;K006699Dpto. Estadistica e Información. DCRyCGdR&amp;R&amp;K006699Diciembre 2014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43"/>
  <sheetViews>
    <sheetView showGridLines="0" showRowColHeaders="0" zoomScaleNormal="100" workbookViewId="0"/>
  </sheetViews>
  <sheetFormatPr baseColWidth="10" defaultColWidth="11.42578125" defaultRowHeight="15"/>
  <cols>
    <col min="1" max="1" width="2.7109375" style="424" customWidth="1"/>
    <col min="2" max="2" width="23.7109375" style="424" customWidth="1"/>
    <col min="3" max="3" width="8.7109375" style="424" bestFit="1" customWidth="1"/>
    <col min="4" max="4" width="8.140625" style="424" bestFit="1" customWidth="1"/>
    <col min="5" max="5" width="9.5703125" style="424" bestFit="1" customWidth="1"/>
    <col min="6" max="6" width="8.42578125" style="424" customWidth="1"/>
    <col min="7" max="7" width="8.5703125" style="424" customWidth="1"/>
    <col min="8" max="8" width="8.140625" style="424" bestFit="1" customWidth="1"/>
    <col min="9" max="10" width="9.5703125" style="424" bestFit="1" customWidth="1"/>
    <col min="11" max="16384" width="11.42578125" style="424"/>
  </cols>
  <sheetData>
    <row r="1" spans="2:12" ht="21" customHeight="1">
      <c r="L1" s="362" t="s">
        <v>86</v>
      </c>
    </row>
    <row r="2" spans="2:12" ht="15" customHeight="1">
      <c r="L2" s="362" t="s">
        <v>348</v>
      </c>
    </row>
    <row r="3" spans="2:12" ht="20.25" customHeight="1">
      <c r="B3" s="108" t="s">
        <v>111</v>
      </c>
    </row>
    <row r="4" spans="2:12" ht="22.5" customHeight="1"/>
    <row r="5" spans="2:12" ht="47.25" customHeight="1">
      <c r="B5" s="11" t="s">
        <v>352</v>
      </c>
    </row>
    <row r="6" spans="2:12">
      <c r="B6" s="431" t="s">
        <v>97</v>
      </c>
    </row>
    <row r="7" spans="2:12">
      <c r="B7" s="431"/>
    </row>
    <row r="8" spans="2:12">
      <c r="B8" s="431"/>
    </row>
    <row r="9" spans="2:12">
      <c r="B9" s="7"/>
    </row>
    <row r="16" spans="2:12" ht="14.25" customHeight="1"/>
    <row r="17" spans="5:11" ht="15" customHeight="1">
      <c r="H17" s="425"/>
    </row>
    <row r="25" spans="5:11">
      <c r="J25" s="426"/>
      <c r="K25" s="445" t="s">
        <v>303</v>
      </c>
    </row>
    <row r="26" spans="5:11">
      <c r="J26" s="427"/>
      <c r="K26" s="445" t="s">
        <v>304</v>
      </c>
    </row>
    <row r="27" spans="5:11">
      <c r="E27" s="428"/>
      <c r="J27" s="429"/>
      <c r="K27" s="445" t="s">
        <v>302</v>
      </c>
    </row>
    <row r="28" spans="5:11">
      <c r="E28" s="428"/>
      <c r="J28" s="430"/>
      <c r="K28" s="445" t="s">
        <v>301</v>
      </c>
    </row>
    <row r="29" spans="5:11">
      <c r="E29" s="428"/>
    </row>
    <row r="30" spans="5:11">
      <c r="E30" s="428"/>
      <c r="K30" s="445"/>
    </row>
    <row r="31" spans="5:11">
      <c r="E31" s="428"/>
      <c r="K31" s="445"/>
    </row>
    <row r="32" spans="5:11">
      <c r="E32" s="428"/>
      <c r="K32" s="445"/>
    </row>
    <row r="33" spans="4:11">
      <c r="E33" s="428"/>
      <c r="K33" s="445"/>
    </row>
    <row r="34" spans="4:11">
      <c r="E34" s="428"/>
    </row>
    <row r="35" spans="4:11">
      <c r="D35" s="428"/>
      <c r="E35" s="428"/>
    </row>
    <row r="36" spans="4:11">
      <c r="D36" s="428"/>
      <c r="E36" s="428"/>
    </row>
    <row r="37" spans="4:11">
      <c r="E37" s="428"/>
    </row>
    <row r="38" spans="4:11">
      <c r="E38" s="428"/>
    </row>
    <row r="39" spans="4:11">
      <c r="E39" s="428"/>
    </row>
    <row r="40" spans="4:11">
      <c r="E40" s="428"/>
    </row>
    <row r="41" spans="4:11">
      <c r="E41" s="428"/>
    </row>
    <row r="42" spans="4:11">
      <c r="E42" s="428"/>
    </row>
    <row r="43" spans="4:11">
      <c r="E43" s="428"/>
    </row>
  </sheetData>
  <hyperlinks>
    <hyperlink ref="B3" location="Indice!A1" display="Balance eléctrico, potencia instalada y red de transporte" xr:uid="{00000000-0004-0000-0400-000000000000}"/>
  </hyperlinks>
  <pageMargins left="0.31496062992126" right="0.31496062992126" top="0.74803149606299202" bottom="0.74803149606299202" header="0.31496062992126" footer="0.31496062992126"/>
  <pageSetup paperSize="9" scale="96" orientation="landscape" r:id="rId1"/>
  <headerFooter>
    <oddHeader>&amp;L&amp;G</oddHeader>
    <oddFooter>&amp;L&amp;K006699Dpto. Estadistica e Información. DCRyCGdR&amp;R&amp;K006699Diciembre 2014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autoPageBreaks="0"/>
  </sheetPr>
  <dimension ref="B1:K28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59" customWidth="1"/>
    <col min="2" max="2" width="2.7109375" style="59" customWidth="1"/>
    <col min="3" max="3" width="23.7109375" style="59" customWidth="1"/>
    <col min="4" max="4" width="1.28515625" style="59" customWidth="1"/>
    <col min="5" max="5" width="105.7109375" style="59" customWidth="1"/>
    <col min="6" max="16384" width="11.42578125" style="59"/>
  </cols>
  <sheetData>
    <row r="1" spans="2:11" ht="0.75" customHeight="1"/>
    <row r="2" spans="2:11" ht="21" customHeight="1">
      <c r="E2" s="4" t="s">
        <v>86</v>
      </c>
    </row>
    <row r="3" spans="2:11" ht="15" customHeight="1">
      <c r="E3" s="362" t="s">
        <v>348</v>
      </c>
    </row>
    <row r="4" spans="2:11" s="61" customFormat="1" ht="20.25" customHeight="1">
      <c r="B4" s="60"/>
      <c r="C4" s="108" t="s">
        <v>111</v>
      </c>
    </row>
    <row r="5" spans="2:11" s="61" customFormat="1" ht="12.6" customHeight="1">
      <c r="B5" s="60"/>
      <c r="C5" s="62"/>
    </row>
    <row r="6" spans="2:11" s="61" customFormat="1" ht="12.6" customHeight="1">
      <c r="B6" s="60"/>
      <c r="C6" s="63"/>
      <c r="D6" s="64"/>
      <c r="E6" s="64"/>
    </row>
    <row r="7" spans="2:11" s="61" customFormat="1" ht="12.75" customHeight="1">
      <c r="B7" s="60"/>
      <c r="C7" s="527" t="s">
        <v>109</v>
      </c>
      <c r="D7" s="64"/>
      <c r="E7" s="65"/>
    </row>
    <row r="8" spans="2:11" s="61" customFormat="1" ht="12.75" customHeight="1">
      <c r="B8" s="60"/>
      <c r="C8" s="527"/>
      <c r="D8" s="64"/>
      <c r="E8" s="65"/>
    </row>
    <row r="9" spans="2:11" s="61" customFormat="1" ht="12.75" customHeight="1">
      <c r="B9" s="60"/>
      <c r="C9" s="527"/>
      <c r="D9" s="64"/>
      <c r="E9" s="65"/>
    </row>
    <row r="10" spans="2:11" s="61" customFormat="1" ht="12.75" customHeight="1">
      <c r="B10" s="60"/>
      <c r="C10" s="8" t="s">
        <v>110</v>
      </c>
      <c r="D10" s="64"/>
      <c r="E10" s="65"/>
    </row>
    <row r="11" spans="2:11" s="61" customFormat="1" ht="12.75" customHeight="1">
      <c r="B11" s="60"/>
      <c r="D11" s="64"/>
      <c r="E11" s="66"/>
      <c r="G11" s="67"/>
      <c r="H11" s="67"/>
      <c r="I11" s="67"/>
      <c r="J11" s="67"/>
      <c r="K11" s="67"/>
    </row>
    <row r="12" spans="2:11" s="61" customFormat="1" ht="12.75" customHeight="1">
      <c r="B12" s="60"/>
      <c r="D12" s="68"/>
      <c r="E12" s="66"/>
    </row>
    <row r="13" spans="2:11" s="61" customFormat="1" ht="12.75" customHeight="1">
      <c r="B13" s="60"/>
      <c r="C13" s="63"/>
      <c r="D13" s="64"/>
      <c r="E13" s="66"/>
      <c r="F13" s="69"/>
    </row>
    <row r="14" spans="2:11" s="61" customFormat="1" ht="12.75" customHeight="1">
      <c r="B14" s="60"/>
      <c r="C14" s="63"/>
      <c r="D14" s="64"/>
      <c r="E14" s="66"/>
      <c r="F14" s="69"/>
    </row>
    <row r="15" spans="2:11" s="61" customFormat="1" ht="12.75" customHeight="1">
      <c r="B15" s="60"/>
      <c r="C15" s="63"/>
      <c r="D15" s="64"/>
      <c r="E15" s="66"/>
      <c r="F15" s="69"/>
    </row>
    <row r="16" spans="2:11" s="61" customFormat="1" ht="12.75" customHeight="1">
      <c r="B16" s="60"/>
      <c r="C16" s="63"/>
      <c r="D16" s="64"/>
      <c r="E16" s="66"/>
      <c r="F16" s="69"/>
    </row>
    <row r="17" spans="2:11" s="61" customFormat="1" ht="12.75" customHeight="1">
      <c r="B17" s="60"/>
      <c r="C17" s="63"/>
      <c r="D17" s="64"/>
      <c r="E17" s="66"/>
      <c r="F17" s="69"/>
    </row>
    <row r="18" spans="2:11" s="61" customFormat="1" ht="12.75" customHeight="1">
      <c r="B18" s="60"/>
      <c r="C18" s="63"/>
      <c r="D18" s="64"/>
      <c r="E18" s="66"/>
    </row>
    <row r="19" spans="2:11" s="61" customFormat="1" ht="12.75" customHeight="1">
      <c r="B19" s="60"/>
      <c r="C19" s="63"/>
      <c r="D19" s="64"/>
      <c r="E19" s="66"/>
    </row>
    <row r="20" spans="2:11" s="61" customFormat="1" ht="12.75" customHeight="1">
      <c r="B20" s="60"/>
      <c r="C20" s="63"/>
      <c r="D20" s="64"/>
      <c r="E20" s="66"/>
    </row>
    <row r="21" spans="2:11" s="61" customFormat="1" ht="12.75" customHeight="1">
      <c r="B21" s="60"/>
      <c r="C21" s="63"/>
      <c r="D21" s="64"/>
      <c r="E21" s="66"/>
    </row>
    <row r="22" spans="2:11" ht="15" customHeight="1">
      <c r="E22" s="237"/>
    </row>
    <row r="23" spans="2:11">
      <c r="C23" s="71"/>
      <c r="D23" s="235"/>
      <c r="E23" s="238"/>
      <c r="F23" s="72"/>
      <c r="G23" s="72"/>
      <c r="H23" s="72"/>
    </row>
    <row r="24" spans="2:11">
      <c r="E24" s="237"/>
    </row>
    <row r="25" spans="2:11">
      <c r="E25" s="70" t="s">
        <v>213</v>
      </c>
    </row>
    <row r="26" spans="2:11">
      <c r="E26" s="285" t="s">
        <v>307</v>
      </c>
      <c r="F26" s="285"/>
      <c r="G26" s="285"/>
      <c r="H26" s="285"/>
      <c r="I26" s="285"/>
      <c r="J26" s="285"/>
      <c r="K26" s="285"/>
    </row>
    <row r="28" spans="2:11">
      <c r="B28" s="236"/>
      <c r="C28" s="236"/>
    </row>
  </sheetData>
  <mergeCells count="1">
    <mergeCell ref="C7:C9"/>
  </mergeCells>
  <hyperlinks>
    <hyperlink ref="C4" location="Indice!A1" display="Balance eléctrico, potencia instalada y red de transporte" xr:uid="{00000000-0004-0000-07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autoPageBreaks="0"/>
  </sheetPr>
  <dimension ref="A1:R35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73" customWidth="1"/>
    <col min="2" max="2" width="2.7109375" style="73" customWidth="1"/>
    <col min="3" max="3" width="23.7109375" style="73" customWidth="1"/>
    <col min="4" max="4" width="1.28515625" style="73" customWidth="1"/>
    <col min="5" max="5" width="19" style="87" customWidth="1"/>
    <col min="6" max="6" width="10.7109375" style="87" customWidth="1"/>
    <col min="7" max="7" width="6.140625" style="87" customWidth="1"/>
    <col min="8" max="11" width="10.7109375" style="87" customWidth="1"/>
    <col min="12" max="16384" width="11.42578125" style="87"/>
  </cols>
  <sheetData>
    <row r="1" spans="1:18" s="73" customFormat="1" ht="0.75" customHeight="1"/>
    <row r="2" spans="1:18" s="73" customFormat="1" ht="21" customHeight="1">
      <c r="E2" s="74"/>
      <c r="K2" s="4" t="s">
        <v>86</v>
      </c>
      <c r="R2" s="75"/>
    </row>
    <row r="3" spans="1:18" s="73" customFormat="1" ht="15" customHeight="1">
      <c r="F3" s="76"/>
      <c r="G3" s="76"/>
      <c r="H3" s="76"/>
      <c r="K3" s="362" t="s">
        <v>348</v>
      </c>
      <c r="R3" s="75"/>
    </row>
    <row r="4" spans="1:18" s="77" customFormat="1" ht="20.25" customHeight="1">
      <c r="B4" s="78"/>
      <c r="C4" s="6" t="s">
        <v>111</v>
      </c>
    </row>
    <row r="5" spans="1:18" s="77" customFormat="1" ht="12.6" customHeight="1">
      <c r="B5" s="78"/>
      <c r="C5" s="79"/>
      <c r="G5" s="80"/>
      <c r="H5" s="80"/>
      <c r="I5" s="80"/>
      <c r="J5" s="80"/>
      <c r="K5" s="80"/>
    </row>
    <row r="6" spans="1:18" s="77" customFormat="1" ht="12.6" customHeight="1">
      <c r="B6" s="78"/>
      <c r="C6" s="81"/>
      <c r="D6" s="82"/>
      <c r="E6" s="82"/>
      <c r="G6" s="80"/>
      <c r="H6" s="80"/>
      <c r="I6" s="80"/>
      <c r="J6" s="80"/>
      <c r="K6" s="80"/>
    </row>
    <row r="7" spans="1:18" ht="12.75" customHeight="1">
      <c r="A7" s="77"/>
      <c r="B7" s="78"/>
      <c r="C7" s="531" t="s">
        <v>79</v>
      </c>
      <c r="D7" s="82"/>
      <c r="E7" s="83"/>
      <c r="F7" s="84" t="s">
        <v>57</v>
      </c>
      <c r="G7" s="85"/>
      <c r="H7" s="528" t="s">
        <v>55</v>
      </c>
      <c r="I7" s="528"/>
      <c r="J7" s="528"/>
      <c r="K7" s="86"/>
    </row>
    <row r="8" spans="1:18" ht="12.75" customHeight="1">
      <c r="A8" s="77"/>
      <c r="B8" s="78"/>
      <c r="C8" s="531"/>
      <c r="D8" s="82"/>
      <c r="E8" s="83"/>
      <c r="F8" s="86" t="s">
        <v>56</v>
      </c>
      <c r="G8" s="88"/>
      <c r="H8" s="86" t="s">
        <v>56</v>
      </c>
      <c r="I8" s="86" t="s">
        <v>37</v>
      </c>
      <c r="J8" s="86" t="s">
        <v>38</v>
      </c>
      <c r="K8" s="86" t="s">
        <v>32</v>
      </c>
    </row>
    <row r="9" spans="1:18" ht="12.75" customHeight="1">
      <c r="A9" s="77"/>
      <c r="B9" s="78"/>
      <c r="C9" s="531"/>
      <c r="D9" s="82"/>
      <c r="E9" s="89" t="s">
        <v>58</v>
      </c>
      <c r="F9" s="90">
        <f>SUM(F10:F12)</f>
        <v>21753.143999999997</v>
      </c>
      <c r="G9" s="90"/>
      <c r="H9" s="90">
        <f>SUM(H10:H12)</f>
        <v>19310.056210000002</v>
      </c>
      <c r="I9" s="90">
        <f>SUM(I10:I12)</f>
        <v>1928.7800000000002</v>
      </c>
      <c r="J9" s="90">
        <f>SUM(J10:J12)</f>
        <v>1560.991</v>
      </c>
      <c r="K9" s="90">
        <f>SUM(F9,H9:J9)</f>
        <v>44552.971209999996</v>
      </c>
      <c r="L9" s="465">
        <v>197.38999999999214</v>
      </c>
      <c r="M9" s="91"/>
      <c r="N9" s="91"/>
      <c r="O9" s="92"/>
    </row>
    <row r="10" spans="1:18" ht="12.75" customHeight="1">
      <c r="A10" s="77"/>
      <c r="B10" s="78"/>
      <c r="C10" s="118"/>
      <c r="D10" s="82"/>
      <c r="E10" s="93" t="s">
        <v>59</v>
      </c>
      <c r="F10" s="94">
        <v>21636.153999999999</v>
      </c>
      <c r="G10" s="94"/>
      <c r="H10" s="497">
        <v>18549.327210000003</v>
      </c>
      <c r="I10" s="94">
        <v>1140.9220000000003</v>
      </c>
      <c r="J10" s="94">
        <v>1235.335</v>
      </c>
      <c r="K10" s="94">
        <f>SUM(F10,H10:J10)</f>
        <v>42561.738209999996</v>
      </c>
      <c r="L10" s="465">
        <v>70.054999999993015</v>
      </c>
      <c r="M10" s="95"/>
      <c r="N10" s="91"/>
      <c r="O10" s="92"/>
    </row>
    <row r="11" spans="1:18" ht="12.75" customHeight="1">
      <c r="A11" s="77"/>
      <c r="B11" s="78"/>
      <c r="C11" s="118"/>
      <c r="D11" s="82"/>
      <c r="E11" s="93" t="s">
        <v>60</v>
      </c>
      <c r="F11" s="94">
        <v>28.85</v>
      </c>
      <c r="G11" s="94"/>
      <c r="H11" s="94">
        <v>236</v>
      </c>
      <c r="I11" s="94">
        <v>581.68799999999999</v>
      </c>
      <c r="J11" s="94">
        <v>30</v>
      </c>
      <c r="K11" s="94">
        <f>SUM(F11,H11:J11)</f>
        <v>876.53800000000001</v>
      </c>
      <c r="L11" s="465">
        <v>41.692999999999984</v>
      </c>
      <c r="M11" s="95"/>
      <c r="N11" s="91"/>
      <c r="O11" s="96"/>
      <c r="P11" s="97"/>
      <c r="Q11" s="97"/>
      <c r="R11" s="97"/>
    </row>
    <row r="12" spans="1:18" ht="13.5" customHeight="1">
      <c r="A12" s="77"/>
      <c r="B12" s="78"/>
      <c r="C12" s="98"/>
      <c r="D12" s="82"/>
      <c r="E12" s="99" t="s">
        <v>61</v>
      </c>
      <c r="F12" s="94">
        <v>88.14</v>
      </c>
      <c r="G12" s="94"/>
      <c r="H12" s="497">
        <v>524.72900000000004</v>
      </c>
      <c r="I12" s="94">
        <v>206.17</v>
      </c>
      <c r="J12" s="94">
        <v>295.65599999999995</v>
      </c>
      <c r="K12" s="94">
        <f>SUM(F12,H12:J12)</f>
        <v>1114.6949999999999</v>
      </c>
      <c r="L12" s="465">
        <v>85.641999999999825</v>
      </c>
      <c r="M12" s="91"/>
    </row>
    <row r="13" spans="1:18" ht="12.75" customHeight="1">
      <c r="A13" s="77"/>
      <c r="B13" s="78"/>
      <c r="C13" s="81"/>
      <c r="D13" s="82"/>
      <c r="E13" s="100" t="s">
        <v>62</v>
      </c>
      <c r="F13" s="101">
        <v>84514</v>
      </c>
      <c r="G13" s="101"/>
      <c r="H13" s="101">
        <v>1563</v>
      </c>
      <c r="I13" s="101">
        <v>3838</v>
      </c>
      <c r="J13" s="101">
        <v>3630</v>
      </c>
      <c r="K13" s="101">
        <f>SUM(F13,H13:J13)</f>
        <v>93545</v>
      </c>
      <c r="L13" s="465">
        <v>1080</v>
      </c>
      <c r="M13" s="91"/>
      <c r="N13" s="91"/>
    </row>
    <row r="14" spans="1:18" ht="15" customHeight="1">
      <c r="E14" s="529" t="s">
        <v>108</v>
      </c>
      <c r="F14" s="529"/>
      <c r="G14" s="529"/>
      <c r="H14" s="529"/>
      <c r="I14" s="529"/>
      <c r="J14" s="529"/>
      <c r="K14" s="529"/>
    </row>
    <row r="15" spans="1:18" ht="24" customHeight="1">
      <c r="C15" s="87"/>
      <c r="E15" s="530" t="s">
        <v>353</v>
      </c>
      <c r="F15" s="530"/>
      <c r="G15" s="530"/>
      <c r="H15" s="530"/>
      <c r="I15" s="530"/>
      <c r="J15" s="530"/>
      <c r="K15" s="530"/>
      <c r="M15" s="91"/>
    </row>
    <row r="16" spans="1:18" ht="12.75" customHeight="1">
      <c r="C16" s="87"/>
      <c r="E16" s="102"/>
      <c r="F16" s="102"/>
      <c r="G16" s="103"/>
      <c r="H16" s="103"/>
      <c r="I16" s="103"/>
      <c r="J16" s="103"/>
      <c r="K16" s="103"/>
      <c r="M16" s="92"/>
    </row>
    <row r="17" spans="3:11" ht="12.75" customHeight="1">
      <c r="C17" s="87"/>
      <c r="E17" s="104"/>
      <c r="F17" s="466" t="s">
        <v>331</v>
      </c>
      <c r="G17" s="467"/>
      <c r="H17" s="466" t="s">
        <v>56</v>
      </c>
      <c r="I17" s="466" t="s">
        <v>37</v>
      </c>
      <c r="J17" s="466" t="s">
        <v>38</v>
      </c>
      <c r="K17" s="466" t="s">
        <v>32</v>
      </c>
    </row>
    <row r="18" spans="3:11" ht="12.75" customHeight="1">
      <c r="C18" s="87"/>
      <c r="E18" s="104"/>
      <c r="F18" s="466" t="s">
        <v>329</v>
      </c>
      <c r="G18" s="467"/>
      <c r="H18" s="465">
        <v>5.351</v>
      </c>
      <c r="I18" s="465">
        <v>28.114999999999998</v>
      </c>
      <c r="J18" s="466"/>
      <c r="K18" s="465">
        <f>SUM(H18:J18)</f>
        <v>33.466000000000001</v>
      </c>
    </row>
    <row r="19" spans="3:11" ht="12.75" customHeight="1">
      <c r="C19" s="87"/>
      <c r="E19" s="104"/>
      <c r="F19" s="466" t="s">
        <v>330</v>
      </c>
      <c r="G19" s="466"/>
      <c r="H19" s="465">
        <f>53.378-5.351</f>
        <v>48.027000000000001</v>
      </c>
      <c r="I19" s="466"/>
      <c r="J19" s="467"/>
      <c r="K19" s="465">
        <f t="shared" ref="K19:K20" si="0">SUM(H19:J19)</f>
        <v>48.027000000000001</v>
      </c>
    </row>
    <row r="20" spans="3:11" ht="12.75" customHeight="1">
      <c r="C20" s="87"/>
      <c r="E20" s="104"/>
      <c r="F20" s="466" t="s">
        <v>29</v>
      </c>
      <c r="G20" s="467"/>
      <c r="H20" s="465">
        <f>SUM(H18:H19)</f>
        <v>53.378</v>
      </c>
      <c r="I20" s="465">
        <f>SUM(I18:I19)</f>
        <v>28.114999999999998</v>
      </c>
      <c r="J20" s="466"/>
      <c r="K20" s="465">
        <f t="shared" si="0"/>
        <v>81.492999999999995</v>
      </c>
    </row>
    <row r="21" spans="3:11" ht="12.75" customHeight="1">
      <c r="F21" s="102"/>
      <c r="G21" s="103"/>
      <c r="H21" s="103"/>
      <c r="I21" s="103"/>
      <c r="J21" s="103"/>
      <c r="K21" s="103"/>
    </row>
    <row r="22" spans="3:11" ht="12.75" customHeight="1">
      <c r="F22" s="105"/>
      <c r="G22" s="106"/>
      <c r="H22" s="106"/>
      <c r="I22" s="106"/>
      <c r="J22" s="106"/>
      <c r="K22" s="106"/>
    </row>
    <row r="23" spans="3:11" ht="12.75" customHeight="1">
      <c r="G23" s="92"/>
      <c r="H23" s="92"/>
      <c r="I23" s="92"/>
      <c r="J23" s="92"/>
      <c r="K23" s="92"/>
    </row>
    <row r="24" spans="3:11" ht="12.75" customHeight="1">
      <c r="F24" s="105"/>
      <c r="G24" s="103"/>
      <c r="H24" s="103"/>
      <c r="I24" s="103"/>
      <c r="J24" s="103"/>
      <c r="K24" s="103"/>
    </row>
    <row r="25" spans="3:11" ht="12.75" customHeight="1"/>
    <row r="26" spans="3:11" ht="12.75" customHeight="1">
      <c r="E26" s="102"/>
      <c r="F26" s="102"/>
      <c r="G26" s="103"/>
      <c r="H26" s="103"/>
      <c r="I26" s="103"/>
      <c r="J26" s="103"/>
      <c r="K26" s="103"/>
    </row>
    <row r="27" spans="3:11" ht="12.75" customHeight="1">
      <c r="F27" s="102"/>
      <c r="G27" s="103"/>
      <c r="H27" s="103"/>
      <c r="I27" s="103"/>
      <c r="J27" s="103"/>
      <c r="K27" s="103"/>
    </row>
    <row r="28" spans="3:11" ht="12.75" customHeight="1">
      <c r="F28" s="105"/>
      <c r="G28" s="103"/>
      <c r="H28" s="103"/>
      <c r="I28" s="103"/>
      <c r="J28" s="103"/>
      <c r="K28" s="103"/>
    </row>
    <row r="29" spans="3:11" ht="12.75" customHeight="1"/>
    <row r="30" spans="3:11" ht="12.75" customHeight="1">
      <c r="G30" s="96"/>
      <c r="H30" s="96"/>
      <c r="I30" s="96"/>
      <c r="J30" s="96"/>
      <c r="K30" s="96"/>
    </row>
    <row r="31" spans="3:11" ht="12.75" customHeight="1"/>
    <row r="32" spans="3:11" ht="12.75" customHeight="1"/>
    <row r="33" ht="12.75" customHeight="1"/>
    <row r="34" ht="12.75" customHeight="1"/>
    <row r="35" ht="12.75" customHeight="1"/>
  </sheetData>
  <mergeCells count="4">
    <mergeCell ref="H7:J7"/>
    <mergeCell ref="E14:K14"/>
    <mergeCell ref="E15:K15"/>
    <mergeCell ref="C7:C9"/>
  </mergeCells>
  <hyperlinks>
    <hyperlink ref="C4" location="Indice!A1" display="Indice!A1" xr:uid="{00000000-0004-0000-08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C1:K1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11.42578125" style="107" customWidth="1"/>
    <col min="6" max="16384" width="11.42578125" style="107"/>
  </cols>
  <sheetData>
    <row r="1" spans="3:11" ht="0.6" customHeight="1"/>
    <row r="2" spans="3:11" ht="21" customHeight="1">
      <c r="J2" s="4" t="s">
        <v>86</v>
      </c>
    </row>
    <row r="3" spans="3:11" ht="15" customHeight="1">
      <c r="J3" s="362" t="s">
        <v>348</v>
      </c>
    </row>
    <row r="4" spans="3:11" ht="19.899999999999999" customHeight="1">
      <c r="C4" s="6" t="s">
        <v>47</v>
      </c>
    </row>
    <row r="5" spans="3:11" ht="12.6" customHeight="1"/>
    <row r="7" spans="3:11" ht="12.75" customHeight="1">
      <c r="C7" s="532" t="s">
        <v>84</v>
      </c>
      <c r="E7" s="109"/>
      <c r="F7" s="533" t="s">
        <v>112</v>
      </c>
      <c r="G7" s="533"/>
      <c r="H7" s="533" t="s">
        <v>114</v>
      </c>
      <c r="I7" s="533"/>
      <c r="J7" s="533"/>
    </row>
    <row r="8" spans="3:11">
      <c r="C8" s="532"/>
      <c r="E8" s="110"/>
      <c r="F8" s="111" t="s">
        <v>1</v>
      </c>
      <c r="G8" s="111" t="s">
        <v>113</v>
      </c>
      <c r="H8" s="111" t="s">
        <v>15</v>
      </c>
      <c r="I8" s="111" t="s">
        <v>16</v>
      </c>
      <c r="J8" s="112" t="s">
        <v>77</v>
      </c>
    </row>
    <row r="9" spans="3:11">
      <c r="E9" s="10">
        <v>2016</v>
      </c>
      <c r="F9" s="318">
        <v>249679.889981332</v>
      </c>
      <c r="G9" s="113">
        <v>0.69</v>
      </c>
      <c r="H9" s="113">
        <v>0.29422999999999999</v>
      </c>
      <c r="I9" s="113">
        <v>9.2549999999999993E-2</v>
      </c>
      <c r="J9" s="113">
        <v>0.30321999999999999</v>
      </c>
      <c r="K9" s="360"/>
    </row>
    <row r="10" spans="3:11">
      <c r="E10" s="10">
        <v>2017</v>
      </c>
      <c r="F10" s="318">
        <v>252506.40568934201</v>
      </c>
      <c r="G10" s="113">
        <v>1.1320000000000001</v>
      </c>
      <c r="H10" s="113">
        <v>-7.357000000000001E-2</v>
      </c>
      <c r="I10" s="113">
        <v>-0.16653999999999999</v>
      </c>
      <c r="J10" s="113">
        <v>1.3721099999999999</v>
      </c>
      <c r="K10" s="360"/>
    </row>
    <row r="11" spans="3:11">
      <c r="E11" s="10">
        <v>2018</v>
      </c>
      <c r="F11" s="318">
        <v>253566.42007159299</v>
      </c>
      <c r="G11" s="113">
        <v>0.42</v>
      </c>
      <c r="H11" s="113">
        <v>-0.26600000000000001</v>
      </c>
      <c r="I11" s="113">
        <v>0.16600000000000001</v>
      </c>
      <c r="J11" s="113">
        <v>0.52</v>
      </c>
      <c r="K11" s="360"/>
    </row>
    <row r="12" spans="3:11">
      <c r="E12" s="10">
        <v>2019</v>
      </c>
      <c r="F12" s="318">
        <v>249256.69423260799</v>
      </c>
      <c r="G12" s="113">
        <v>-1.7000000000000002</v>
      </c>
      <c r="H12" s="113">
        <v>0.74299999999999999</v>
      </c>
      <c r="I12" s="113">
        <v>0.22899999999999998</v>
      </c>
      <c r="J12" s="113">
        <v>-2.6720000000000002</v>
      </c>
      <c r="K12" s="360"/>
    </row>
    <row r="13" spans="3:11">
      <c r="E13" s="278">
        <v>2020</v>
      </c>
      <c r="F13" s="450">
        <v>236525.07064249102</v>
      </c>
      <c r="G13" s="280">
        <v>-5.1079999999999997</v>
      </c>
      <c r="H13" s="280">
        <v>-0.108</v>
      </c>
      <c r="I13" s="280">
        <v>0.08</v>
      </c>
      <c r="J13" s="280">
        <v>-5.08</v>
      </c>
      <c r="K13" s="360"/>
    </row>
    <row r="14" spans="3:11">
      <c r="E14" s="116"/>
      <c r="F14" s="117"/>
      <c r="G14" s="117"/>
      <c r="H14" s="117"/>
      <c r="I14" s="117"/>
      <c r="J14" s="117"/>
    </row>
  </sheetData>
  <mergeCells count="3">
    <mergeCell ref="C7:C8"/>
    <mergeCell ref="F7:G7"/>
    <mergeCell ref="H7:J7"/>
  </mergeCells>
  <hyperlinks>
    <hyperlink ref="C4" location="Indice!A1" display="Sistema peninsular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2"/>
  <dimension ref="C1:I2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7" width="11.42578125" style="107" customWidth="1"/>
    <col min="8" max="16384" width="11.42578125" style="107"/>
  </cols>
  <sheetData>
    <row r="1" spans="3:9" ht="0.6" customHeight="1"/>
    <row r="2" spans="3:9" ht="21" customHeight="1">
      <c r="G2" s="5" t="s">
        <v>86</v>
      </c>
    </row>
    <row r="3" spans="3:9" ht="15" customHeight="1">
      <c r="G3" s="362" t="s">
        <v>348</v>
      </c>
    </row>
    <row r="4" spans="3:9" ht="19.899999999999999" customHeight="1">
      <c r="C4" s="6" t="s">
        <v>47</v>
      </c>
    </row>
    <row r="5" spans="3:9" ht="12.6" customHeight="1"/>
    <row r="7" spans="3:9" ht="12.75" customHeight="1">
      <c r="C7" s="532" t="s">
        <v>354</v>
      </c>
      <c r="E7" s="109"/>
      <c r="F7" s="363"/>
      <c r="G7" s="363"/>
    </row>
    <row r="8" spans="3:9">
      <c r="C8" s="532"/>
      <c r="E8" s="110"/>
      <c r="F8" s="111" t="s">
        <v>118</v>
      </c>
      <c r="G8" s="111" t="s">
        <v>119</v>
      </c>
    </row>
    <row r="9" spans="3:9">
      <c r="C9" s="532"/>
      <c r="E9" s="10" t="s">
        <v>2</v>
      </c>
      <c r="F9" s="358">
        <f>'Data 1'!G131</f>
        <v>-3.0881336932249481</v>
      </c>
      <c r="G9" s="358">
        <f>'Data 1'!I131</f>
        <v>-3.0881336932249481</v>
      </c>
      <c r="H9" s="360"/>
      <c r="I9" s="392"/>
    </row>
    <row r="10" spans="3:9">
      <c r="C10" s="532"/>
      <c r="E10" s="10" t="s">
        <v>3</v>
      </c>
      <c r="F10" s="358">
        <f>'Data 1'!G132</f>
        <v>-1.5606539070049497</v>
      </c>
      <c r="G10" s="358">
        <f>'Data 1'!I132</f>
        <v>-2.3796208407670383</v>
      </c>
      <c r="H10" s="360"/>
      <c r="I10" s="392"/>
    </row>
    <row r="11" spans="3:9">
      <c r="C11" s="8" t="s">
        <v>115</v>
      </c>
      <c r="E11" s="10" t="s">
        <v>4</v>
      </c>
      <c r="F11" s="358">
        <f>'Data 1'!G133</f>
        <v>-4.451757000004763</v>
      </c>
      <c r="G11" s="358">
        <f>'Data 1'!I133</f>
        <v>-3.0488351115464885</v>
      </c>
      <c r="H11" s="360"/>
      <c r="I11" s="392"/>
    </row>
    <row r="12" spans="3:9">
      <c r="C12" s="8"/>
      <c r="E12" s="10" t="s">
        <v>5</v>
      </c>
      <c r="F12" s="358">
        <f>'Data 1'!G134</f>
        <v>-17.193954175728145</v>
      </c>
      <c r="G12" s="358">
        <f>'Data 1'!I134</f>
        <v>-6.3469740267760528</v>
      </c>
      <c r="H12" s="360"/>
      <c r="I12" s="392"/>
    </row>
    <row r="13" spans="3:9">
      <c r="C13" s="8"/>
      <c r="E13" s="10" t="s">
        <v>6</v>
      </c>
      <c r="F13" s="358">
        <f>'Data 1'!G135</f>
        <v>-12.747851339443727</v>
      </c>
      <c r="G13" s="358">
        <f>'Data 1'!I135</f>
        <v>-7.5765353055808893</v>
      </c>
      <c r="H13" s="360"/>
      <c r="I13" s="392"/>
    </row>
    <row r="14" spans="3:9">
      <c r="C14" s="8"/>
      <c r="E14" s="10" t="s">
        <v>7</v>
      </c>
      <c r="F14" s="358">
        <f>'Data 1'!G136</f>
        <v>-8.0996554254611386</v>
      </c>
      <c r="G14" s="358">
        <f>'Data 1'!I136</f>
        <v>-7.6610849980136226</v>
      </c>
      <c r="H14" s="360"/>
      <c r="I14" s="392"/>
    </row>
    <row r="15" spans="3:9">
      <c r="C15" s="8"/>
      <c r="E15" s="10" t="s">
        <v>8</v>
      </c>
      <c r="F15" s="358">
        <f>'Data 1'!G137</f>
        <v>-3.3482998170209943</v>
      </c>
      <c r="G15" s="358">
        <f>'Data 1'!I137</f>
        <v>-6.991707592731899</v>
      </c>
      <c r="H15" s="360"/>
      <c r="I15" s="392"/>
    </row>
    <row r="16" spans="3:9">
      <c r="C16" s="8"/>
      <c r="E16" s="10" t="s">
        <v>9</v>
      </c>
      <c r="F16" s="358">
        <f>'Data 1'!G138</f>
        <v>-2.065004743415022</v>
      </c>
      <c r="G16" s="358">
        <f>'Data 1'!I138</f>
        <v>-6.3685970641278233</v>
      </c>
      <c r="H16" s="360"/>
      <c r="I16" s="392"/>
    </row>
    <row r="17" spans="3:9">
      <c r="C17" s="8"/>
      <c r="E17" s="10" t="s">
        <v>10</v>
      </c>
      <c r="F17" s="358">
        <f>'Data 1'!G139</f>
        <v>-2.8124405386890095</v>
      </c>
      <c r="G17" s="358">
        <f>'Data 1'!I139</f>
        <v>-5.9902355103565341</v>
      </c>
      <c r="H17" s="360"/>
      <c r="I17" s="392"/>
    </row>
    <row r="18" spans="3:9">
      <c r="C18" s="8"/>
      <c r="E18" s="10" t="s">
        <v>11</v>
      </c>
      <c r="F18" s="358">
        <f>'Data 1'!G140</f>
        <v>-2.8235712306334482</v>
      </c>
      <c r="G18" s="358">
        <f>'Data 1'!I140</f>
        <v>-5.6826902013152321</v>
      </c>
      <c r="H18" s="360"/>
      <c r="I18" s="392"/>
    </row>
    <row r="19" spans="3:9">
      <c r="C19" s="8"/>
      <c r="E19" s="10" t="s">
        <v>12</v>
      </c>
      <c r="F19" s="358">
        <f>'Data 1'!G141</f>
        <v>-5.9149506668509595</v>
      </c>
      <c r="G19" s="358">
        <f>'Data 1'!I141</f>
        <v>-5.7038639638547046</v>
      </c>
      <c r="H19" s="360"/>
      <c r="I19" s="392"/>
    </row>
    <row r="20" spans="3:9">
      <c r="E20" s="114" t="s">
        <v>13</v>
      </c>
      <c r="F20" s="359">
        <f>'Data 1'!G142</f>
        <v>1.4020216892667747</v>
      </c>
      <c r="G20" s="359">
        <f>'Data 1'!I142</f>
        <v>-5.1078361723901233</v>
      </c>
      <c r="H20" s="360"/>
      <c r="I20" s="392"/>
    </row>
    <row r="21" spans="3:9">
      <c r="E21" s="116" t="s">
        <v>261</v>
      </c>
      <c r="F21" s="117"/>
      <c r="G21" s="117"/>
    </row>
  </sheetData>
  <mergeCells count="1">
    <mergeCell ref="C7:C10"/>
  </mergeCells>
  <hyperlinks>
    <hyperlink ref="C4" location="Indice!A1" display="Sistema peninsular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7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5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254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532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0B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8">
    <pageSetUpPr autoPageBreaks="0"/>
  </sheetPr>
  <dimension ref="C1:E3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4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355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532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0C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9"/>
  <dimension ref="C1:K1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16384" width="11.42578125" style="107"/>
  </cols>
  <sheetData>
    <row r="1" spans="3:11" ht="0.6" customHeight="1"/>
    <row r="2" spans="3:11" ht="21" customHeight="1">
      <c r="I2" s="163" t="s">
        <v>86</v>
      </c>
    </row>
    <row r="3" spans="3:11" ht="15" customHeight="1">
      <c r="I3" s="362" t="s">
        <v>348</v>
      </c>
    </row>
    <row r="4" spans="3:11" ht="19.899999999999999" customHeight="1">
      <c r="C4" s="6" t="s">
        <v>47</v>
      </c>
    </row>
    <row r="5" spans="3:11" ht="12.6" customHeight="1"/>
    <row r="7" spans="3:11" ht="12.75" customHeight="1">
      <c r="C7" s="532" t="s">
        <v>356</v>
      </c>
      <c r="E7" s="177"/>
      <c r="F7" s="177"/>
      <c r="G7" s="177"/>
      <c r="H7" s="177"/>
      <c r="I7" s="177"/>
    </row>
    <row r="8" spans="3:11">
      <c r="C8" s="532"/>
      <c r="E8" s="111"/>
      <c r="F8" s="375" t="s">
        <v>127</v>
      </c>
      <c r="G8" s="375" t="s">
        <v>15</v>
      </c>
      <c r="H8" s="375" t="s">
        <v>16</v>
      </c>
      <c r="I8" s="375" t="s">
        <v>128</v>
      </c>
    </row>
    <row r="9" spans="3:11">
      <c r="C9" s="532"/>
      <c r="E9" s="180" t="s">
        <v>129</v>
      </c>
      <c r="F9" s="181">
        <f>'Data 2'!E74</f>
        <v>-7.3001949216836</v>
      </c>
      <c r="G9" s="181">
        <f>ROUND('Data 2'!E74,1)-ROUND('Data 2'!I74,1)</f>
        <v>0.29999999999999982</v>
      </c>
      <c r="H9" s="181">
        <f>ROUND('Data 2'!I74,1)-ROUND('Data 2'!M74,1)</f>
        <v>0.10000000000000053</v>
      </c>
      <c r="I9" s="181">
        <f>'Data 2'!M74</f>
        <v>-7.7490846543401437</v>
      </c>
      <c r="J9" s="360"/>
      <c r="K9" s="398">
        <f>F9-SUM(G9:I9)</f>
        <v>4.8889732656543394E-2</v>
      </c>
    </row>
    <row r="10" spans="3:11">
      <c r="C10" s="119" t="s">
        <v>115</v>
      </c>
      <c r="E10" s="178"/>
      <c r="F10" s="113"/>
      <c r="G10" s="113"/>
      <c r="H10" s="113"/>
      <c r="I10" s="113"/>
      <c r="K10" s="399"/>
    </row>
    <row r="11" spans="3:11">
      <c r="E11" s="178" t="s">
        <v>130</v>
      </c>
      <c r="F11" s="113">
        <f>'Data 2'!F74</f>
        <v>-6.5868923632992011</v>
      </c>
      <c r="G11" s="113">
        <f>ROUND('Data 2'!F74,1)-ROUND('Data 2'!J74,1)</f>
        <v>0.30000000000000071</v>
      </c>
      <c r="H11" s="113">
        <f>ROUND('Data 2'!J74,1)-ROUND('Data 2'!N74,1)</f>
        <v>9.9999999999999645E-2</v>
      </c>
      <c r="I11" s="113">
        <f>'Data 2'!N74</f>
        <v>-7.0407186756367928</v>
      </c>
      <c r="J11" s="360"/>
      <c r="K11" s="398">
        <f t="shared" ref="K11:K12" si="0">F11-SUM(G11:I11)</f>
        <v>5.3826312337591276E-2</v>
      </c>
    </row>
    <row r="12" spans="3:11">
      <c r="E12" s="178" t="s">
        <v>133</v>
      </c>
      <c r="F12" s="113">
        <f>'Data 2'!G74</f>
        <v>-10.298899140155537</v>
      </c>
      <c r="G12" s="113">
        <f>ROUND('Data 2'!G74,1)-ROUND('Data 2'!K74,1)</f>
        <v>0.29999999999999893</v>
      </c>
      <c r="H12" s="113">
        <f>ROUND('Data 2'!K74,1)-ROUND('Data 2'!O74,1)</f>
        <v>9.9999999999999645E-2</v>
      </c>
      <c r="I12" s="113">
        <f>'Data 2'!O74</f>
        <v>-10.653555369083879</v>
      </c>
      <c r="J12" s="360"/>
      <c r="K12" s="398">
        <f t="shared" si="0"/>
        <v>-4.5343771071657102E-2</v>
      </c>
    </row>
    <row r="13" spans="3:11">
      <c r="E13" s="179" t="s">
        <v>131</v>
      </c>
      <c r="F13" s="115">
        <f>'Data 2'!H74</f>
        <v>-4.5880283666476114</v>
      </c>
      <c r="G13" s="115">
        <f>ROUND('Data 2'!H74,1)-ROUND('Data 2'!L74,1)</f>
        <v>0.10000000000000053</v>
      </c>
      <c r="H13" s="115">
        <f>ROUND('Data 2'!L74,1)-ROUND('Data 2'!P74,1)</f>
        <v>0.89999999999999947</v>
      </c>
      <c r="I13" s="115">
        <f>'Data 2'!P74</f>
        <v>-5.5688574507337769</v>
      </c>
      <c r="J13" s="360"/>
      <c r="K13" s="398">
        <f>F13-SUM(G13:I13)</f>
        <v>-1.9170915913834463E-2</v>
      </c>
    </row>
    <row r="14" spans="3:11">
      <c r="E14" s="117"/>
      <c r="F14" s="117"/>
      <c r="G14" s="117"/>
      <c r="H14" s="117"/>
      <c r="I14" s="117"/>
    </row>
    <row r="15" spans="3:11">
      <c r="F15" s="365"/>
      <c r="G15" s="365"/>
      <c r="H15" s="365"/>
      <c r="I15" s="365"/>
    </row>
    <row r="16" spans="3:11">
      <c r="F16" s="366"/>
      <c r="G16" s="366"/>
      <c r="H16" s="366"/>
      <c r="I16" s="366"/>
    </row>
    <row r="17" spans="6:9">
      <c r="F17" s="365"/>
      <c r="G17" s="365"/>
      <c r="H17" s="365"/>
      <c r="I17" s="365"/>
    </row>
    <row r="18" spans="6:9">
      <c r="F18" s="365"/>
      <c r="G18" s="365"/>
      <c r="H18" s="365"/>
      <c r="I18" s="365"/>
    </row>
    <row r="19" spans="6:9">
      <c r="F19" s="365"/>
      <c r="G19" s="365"/>
      <c r="H19" s="365"/>
      <c r="I19" s="365"/>
    </row>
  </sheetData>
  <mergeCells count="1">
    <mergeCell ref="C7:C9"/>
  </mergeCells>
  <hyperlinks>
    <hyperlink ref="C4" location="Indice!A1" display="Sistema peninsular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30">
    <pageSetUpPr autoPageBreaks="0"/>
  </sheetPr>
  <dimension ref="C1:E3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140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0E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1"/>
  <dimension ref="B1:S356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32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7" width="11.42578125" style="132"/>
    <col min="8" max="8" width="22.42578125" style="132" bestFit="1" customWidth="1"/>
    <col min="9" max="16384" width="11.42578125" style="132"/>
  </cols>
  <sheetData>
    <row r="1" spans="3:19" s="120" customFormat="1" ht="0.6" customHeight="1"/>
    <row r="2" spans="3:19" s="120" customFormat="1" ht="21" customHeight="1">
      <c r="E2" s="4" t="s">
        <v>86</v>
      </c>
    </row>
    <row r="3" spans="3:19" s="120" customFormat="1" ht="15" customHeight="1">
      <c r="E3" s="362" t="s">
        <v>348</v>
      </c>
    </row>
    <row r="4" spans="3:19" s="121" customFormat="1" ht="20.100000000000001" customHeight="1">
      <c r="C4" s="108" t="s">
        <v>47</v>
      </c>
      <c r="D4" s="108"/>
    </row>
    <row r="5" spans="3:19" s="121" customFormat="1" ht="12.6" customHeight="1">
      <c r="C5" s="122"/>
      <c r="D5" s="123"/>
    </row>
    <row r="6" spans="3:19" s="121" customFormat="1" ht="13.5" customHeight="1">
      <c r="C6" s="122"/>
      <c r="D6" s="124"/>
      <c r="E6" s="125"/>
    </row>
    <row r="7" spans="3:19" s="121" customFormat="1" ht="12.75" customHeight="1">
      <c r="C7" s="532" t="s">
        <v>123</v>
      </c>
      <c r="E7" s="126"/>
      <c r="G7" s="184"/>
      <c r="H7" s="184"/>
      <c r="I7" s="184"/>
      <c r="J7" s="184"/>
      <c r="K7" s="184"/>
    </row>
    <row r="8" spans="3:19" s="121" customFormat="1" ht="12.75" customHeight="1">
      <c r="C8" s="532"/>
      <c r="E8" s="126"/>
      <c r="G8" s="184"/>
      <c r="H8" s="184"/>
      <c r="I8" s="184"/>
      <c r="J8" s="184"/>
      <c r="K8" s="184"/>
    </row>
    <row r="9" spans="3:19" s="121" customFormat="1" ht="12.75" customHeight="1">
      <c r="C9" s="119"/>
      <c r="E9" s="126"/>
      <c r="G9" s="184"/>
      <c r="H9" s="184"/>
      <c r="I9" s="184"/>
      <c r="J9" s="184"/>
      <c r="K9" s="184"/>
    </row>
    <row r="10" spans="3:19" s="121" customFormat="1" ht="12.75" customHeight="1">
      <c r="C10" s="122"/>
      <c r="E10" s="126"/>
      <c r="F10" s="128"/>
      <c r="G10" s="184"/>
      <c r="H10" s="184"/>
      <c r="I10" s="184"/>
      <c r="J10" s="184"/>
      <c r="K10" s="184"/>
      <c r="L10" s="128"/>
      <c r="O10" s="128"/>
      <c r="P10" s="128"/>
      <c r="Q10" s="128"/>
      <c r="R10" s="128"/>
      <c r="S10" s="128"/>
    </row>
    <row r="11" spans="3:19" s="121" customFormat="1" ht="12.75" customHeight="1">
      <c r="C11" s="122"/>
      <c r="D11" s="127"/>
      <c r="E11" s="126"/>
      <c r="F11" s="128"/>
      <c r="G11" s="184"/>
      <c r="H11" s="184"/>
      <c r="I11" s="184"/>
      <c r="J11" s="184"/>
      <c r="K11" s="184"/>
      <c r="L11" s="128"/>
      <c r="O11" s="128"/>
      <c r="P11" s="128"/>
      <c r="Q11" s="128"/>
      <c r="R11" s="128"/>
      <c r="S11" s="128"/>
    </row>
    <row r="12" spans="3:19" s="121" customFormat="1" ht="12.75" customHeight="1">
      <c r="C12" s="122"/>
      <c r="D12" s="129"/>
      <c r="E12" s="126"/>
      <c r="F12" s="128"/>
      <c r="G12" s="184"/>
      <c r="H12" s="184"/>
      <c r="I12" s="184"/>
      <c r="J12" s="184"/>
      <c r="K12" s="184"/>
      <c r="L12" s="128"/>
      <c r="O12" s="128"/>
      <c r="P12" s="128"/>
      <c r="Q12" s="128"/>
      <c r="R12" s="128"/>
      <c r="S12" s="128"/>
    </row>
    <row r="13" spans="3:19" s="121" customFormat="1" ht="12.75" customHeight="1">
      <c r="C13" s="122"/>
      <c r="D13" s="130"/>
      <c r="E13" s="126"/>
      <c r="F13" s="128"/>
      <c r="G13" s="184"/>
      <c r="H13" s="184"/>
      <c r="I13" s="184"/>
      <c r="J13" s="184"/>
      <c r="K13" s="184"/>
      <c r="L13" s="128"/>
      <c r="O13" s="128"/>
      <c r="P13" s="128"/>
      <c r="Q13" s="128"/>
      <c r="R13" s="128"/>
      <c r="S13" s="128"/>
    </row>
    <row r="14" spans="3:19" s="121" customFormat="1" ht="12.75" customHeight="1">
      <c r="C14" s="122"/>
      <c r="D14" s="124"/>
      <c r="E14" s="126"/>
      <c r="F14" s="128"/>
      <c r="G14" s="184"/>
      <c r="H14" s="184"/>
      <c r="I14" s="184"/>
      <c r="J14" s="184"/>
      <c r="K14" s="184"/>
      <c r="L14" s="128"/>
      <c r="O14" s="128"/>
      <c r="P14" s="128"/>
      <c r="Q14" s="128"/>
      <c r="R14" s="128"/>
      <c r="S14" s="128"/>
    </row>
    <row r="15" spans="3:19" s="121" customFormat="1" ht="12.75" customHeight="1">
      <c r="C15" s="122"/>
      <c r="D15" s="124"/>
      <c r="E15" s="126"/>
      <c r="F15" s="128"/>
      <c r="G15" s="184"/>
      <c r="H15" s="184"/>
      <c r="I15" s="184"/>
      <c r="J15" s="184"/>
      <c r="K15" s="184"/>
      <c r="L15" s="128"/>
      <c r="O15" s="128"/>
      <c r="P15" s="128"/>
      <c r="Q15" s="128"/>
      <c r="R15" s="128"/>
      <c r="S15" s="128"/>
    </row>
    <row r="16" spans="3:19" s="121" customFormat="1" ht="12.75" customHeight="1">
      <c r="C16" s="122"/>
      <c r="D16" s="124"/>
      <c r="E16" s="126"/>
      <c r="G16" s="184"/>
      <c r="H16" s="184"/>
      <c r="I16" s="184"/>
      <c r="J16" s="184"/>
      <c r="K16" s="184"/>
    </row>
    <row r="17" spans="2:19" s="121" customFormat="1" ht="12.75" customHeight="1">
      <c r="C17" s="122"/>
      <c r="D17" s="124"/>
      <c r="E17" s="126"/>
      <c r="G17" s="184"/>
      <c r="H17" s="184"/>
      <c r="I17" s="184"/>
      <c r="J17" s="184"/>
      <c r="K17" s="184"/>
    </row>
    <row r="18" spans="2:19" s="121" customFormat="1" ht="12.75" customHeight="1">
      <c r="C18" s="122"/>
      <c r="D18" s="124"/>
      <c r="E18" s="126"/>
      <c r="G18" s="184"/>
      <c r="H18" s="184"/>
      <c r="I18" s="184"/>
      <c r="J18" s="184"/>
      <c r="K18" s="184"/>
    </row>
    <row r="19" spans="2:19" s="121" customFormat="1" ht="12.75" customHeight="1">
      <c r="C19" s="122"/>
      <c r="D19" s="124"/>
      <c r="E19" s="126"/>
      <c r="G19" s="184"/>
      <c r="H19" s="184"/>
      <c r="I19" s="184"/>
      <c r="J19" s="184"/>
      <c r="K19" s="184"/>
    </row>
    <row r="20" spans="2:19" s="121" customFormat="1" ht="12.75" customHeight="1">
      <c r="C20" s="122"/>
      <c r="D20" s="124"/>
      <c r="E20" s="126"/>
      <c r="G20" s="184"/>
      <c r="H20" s="184"/>
      <c r="I20" s="184"/>
      <c r="J20" s="184"/>
      <c r="K20" s="184"/>
    </row>
    <row r="21" spans="2:19" s="121" customFormat="1" ht="12.75" customHeight="1">
      <c r="C21" s="122"/>
      <c r="D21" s="124"/>
      <c r="E21" s="126"/>
      <c r="G21" s="184"/>
      <c r="H21" s="184"/>
      <c r="I21" s="184"/>
      <c r="J21" s="184"/>
      <c r="K21" s="184"/>
    </row>
    <row r="22" spans="2:19" ht="12.75" customHeight="1">
      <c r="B22" s="121"/>
      <c r="C22" s="122"/>
      <c r="D22" s="127"/>
      <c r="E22" s="131"/>
    </row>
    <row r="23" spans="2:19" ht="12.75" customHeight="1">
      <c r="B23" s="121"/>
      <c r="C23" s="122"/>
      <c r="D23" s="127"/>
      <c r="E23" s="131"/>
    </row>
    <row r="24" spans="2:19" ht="12.75" customHeight="1">
      <c r="B24" s="107"/>
      <c r="C24" s="107"/>
      <c r="D24" s="107"/>
      <c r="E24" s="234"/>
    </row>
    <row r="25" spans="2:19" ht="12.75" customHeight="1">
      <c r="B25" s="107"/>
      <c r="C25" s="107"/>
      <c r="D25" s="107"/>
      <c r="E25" s="107"/>
      <c r="J25" s="107"/>
      <c r="O25" s="107"/>
      <c r="P25" s="107"/>
      <c r="Q25" s="107"/>
      <c r="R25" s="107"/>
      <c r="S25" s="107"/>
    </row>
    <row r="26" spans="2:19" ht="12.75" customHeight="1">
      <c r="B26" s="107"/>
      <c r="C26" s="107"/>
      <c r="D26" s="107"/>
      <c r="E26" s="107"/>
      <c r="J26" s="133"/>
      <c r="O26" s="133"/>
      <c r="P26" s="133"/>
      <c r="Q26" s="133"/>
      <c r="R26" s="133"/>
      <c r="S26" s="133"/>
    </row>
    <row r="27" spans="2:19">
      <c r="B27" s="107"/>
      <c r="C27" s="107"/>
      <c r="D27" s="107"/>
      <c r="E27" s="107"/>
      <c r="J27" s="133"/>
      <c r="O27" s="133"/>
      <c r="P27" s="133"/>
      <c r="Q27" s="133"/>
      <c r="R27" s="133"/>
      <c r="S27" s="133"/>
    </row>
    <row r="28" spans="2:19">
      <c r="B28" s="107"/>
      <c r="C28" s="107"/>
      <c r="D28" s="107"/>
      <c r="E28" s="107"/>
      <c r="J28" s="133"/>
      <c r="O28" s="133"/>
      <c r="P28" s="133"/>
      <c r="Q28" s="133"/>
      <c r="R28" s="133"/>
      <c r="S28" s="133"/>
    </row>
    <row r="29" spans="2:19">
      <c r="B29" s="107"/>
      <c r="C29" s="107"/>
      <c r="D29" s="107"/>
      <c r="E29" s="107"/>
      <c r="J29" s="133"/>
      <c r="O29" s="133"/>
      <c r="P29" s="133"/>
      <c r="Q29" s="133"/>
      <c r="R29" s="133"/>
      <c r="S29" s="133"/>
    </row>
    <row r="30" spans="2:19">
      <c r="B30" s="107"/>
      <c r="C30" s="107"/>
      <c r="D30" s="107"/>
      <c r="E30" s="107"/>
      <c r="J30" s="133"/>
      <c r="O30" s="133"/>
      <c r="P30" s="133"/>
      <c r="Q30" s="133"/>
      <c r="R30" s="133"/>
      <c r="S30" s="133"/>
    </row>
    <row r="31" spans="2:19">
      <c r="B31" s="107"/>
      <c r="C31" s="107"/>
      <c r="D31" s="107"/>
      <c r="E31" s="107"/>
    </row>
    <row r="32" spans="2:19">
      <c r="B32" s="107"/>
      <c r="C32" s="107"/>
      <c r="D32" s="107"/>
      <c r="E32" s="107"/>
    </row>
    <row r="33" spans="2:5">
      <c r="B33" s="107"/>
      <c r="C33" s="107"/>
      <c r="D33" s="107"/>
      <c r="E33" s="107"/>
    </row>
    <row r="34" spans="2:5">
      <c r="B34" s="107"/>
      <c r="C34" s="107"/>
      <c r="D34" s="107"/>
      <c r="E34" s="107"/>
    </row>
    <row r="35" spans="2:5">
      <c r="B35" s="107"/>
      <c r="C35" s="107"/>
      <c r="D35" s="107"/>
      <c r="E35" s="107"/>
    </row>
    <row r="36" spans="2:5">
      <c r="B36" s="107"/>
      <c r="C36" s="107"/>
      <c r="D36" s="107"/>
      <c r="E36" s="107"/>
    </row>
    <row r="37" spans="2:5">
      <c r="B37" s="107"/>
      <c r="C37" s="107"/>
      <c r="D37" s="107"/>
      <c r="E37" s="107"/>
    </row>
    <row r="38" spans="2:5">
      <c r="B38" s="107"/>
      <c r="C38" s="107"/>
      <c r="D38" s="107"/>
      <c r="E38" s="107"/>
    </row>
    <row r="39" spans="2:5">
      <c r="B39" s="107"/>
      <c r="C39" s="107"/>
      <c r="D39" s="107"/>
      <c r="E39" s="107"/>
    </row>
    <row r="40" spans="2:5">
      <c r="B40" s="107"/>
      <c r="C40" s="107"/>
      <c r="D40" s="107"/>
      <c r="E40" s="107"/>
    </row>
    <row r="41" spans="2:5">
      <c r="B41" s="107"/>
      <c r="C41" s="107"/>
      <c r="D41" s="107"/>
      <c r="E41" s="107"/>
    </row>
    <row r="42" spans="2:5">
      <c r="B42" s="107"/>
      <c r="C42" s="107"/>
      <c r="D42" s="107"/>
      <c r="E42" s="107"/>
    </row>
    <row r="43" spans="2:5">
      <c r="B43" s="107"/>
      <c r="C43" s="107"/>
      <c r="D43" s="107"/>
      <c r="E43" s="107"/>
    </row>
    <row r="44" spans="2:5">
      <c r="B44" s="107"/>
      <c r="C44" s="107"/>
      <c r="D44" s="107"/>
      <c r="E44" s="107"/>
    </row>
    <row r="45" spans="2:5">
      <c r="B45" s="107"/>
      <c r="C45" s="107"/>
      <c r="D45" s="107"/>
      <c r="E45" s="107"/>
    </row>
    <row r="46" spans="2:5">
      <c r="B46" s="107"/>
      <c r="C46" s="107"/>
      <c r="D46" s="107"/>
      <c r="E46" s="107"/>
    </row>
    <row r="47" spans="2:5">
      <c r="B47" s="107"/>
      <c r="C47" s="107"/>
      <c r="D47" s="107"/>
      <c r="E47" s="107"/>
    </row>
    <row r="48" spans="2:5">
      <c r="B48" s="107"/>
      <c r="C48" s="107"/>
      <c r="D48" s="107"/>
      <c r="E48" s="107"/>
    </row>
    <row r="49" spans="2:5">
      <c r="B49" s="107"/>
      <c r="C49" s="107"/>
      <c r="D49" s="107"/>
      <c r="E49" s="107"/>
    </row>
    <row r="50" spans="2:5">
      <c r="B50" s="107"/>
      <c r="C50" s="107"/>
      <c r="D50" s="107"/>
      <c r="E50" s="107"/>
    </row>
    <row r="51" spans="2:5">
      <c r="B51" s="107"/>
      <c r="C51" s="107"/>
      <c r="D51" s="107"/>
      <c r="E51" s="107"/>
    </row>
    <row r="52" spans="2:5">
      <c r="B52" s="107"/>
      <c r="C52" s="107"/>
      <c r="D52" s="107"/>
      <c r="E52" s="107"/>
    </row>
    <row r="53" spans="2:5">
      <c r="B53" s="107"/>
      <c r="C53" s="107"/>
      <c r="D53" s="107"/>
      <c r="E53" s="107"/>
    </row>
    <row r="54" spans="2:5">
      <c r="B54" s="107"/>
      <c r="C54" s="107"/>
      <c r="D54" s="107"/>
      <c r="E54" s="107"/>
    </row>
    <row r="55" spans="2:5">
      <c r="B55" s="107"/>
      <c r="C55" s="107"/>
      <c r="D55" s="107"/>
      <c r="E55" s="107"/>
    </row>
    <row r="56" spans="2:5">
      <c r="B56" s="107"/>
      <c r="C56" s="107"/>
      <c r="D56" s="107"/>
      <c r="E56" s="107"/>
    </row>
    <row r="57" spans="2:5">
      <c r="B57" s="107"/>
      <c r="C57" s="107"/>
      <c r="D57" s="107"/>
      <c r="E57" s="107"/>
    </row>
    <row r="58" spans="2:5">
      <c r="B58" s="107"/>
      <c r="C58" s="107"/>
      <c r="D58" s="107"/>
      <c r="E58" s="107"/>
    </row>
    <row r="59" spans="2:5">
      <c r="B59" s="107"/>
      <c r="C59" s="107"/>
      <c r="D59" s="107"/>
      <c r="E59" s="107"/>
    </row>
    <row r="60" spans="2:5">
      <c r="B60" s="107"/>
      <c r="C60" s="107"/>
      <c r="D60" s="107"/>
      <c r="E60" s="107"/>
    </row>
    <row r="61" spans="2:5">
      <c r="B61" s="107"/>
      <c r="C61" s="107"/>
      <c r="D61" s="107"/>
      <c r="E61" s="107"/>
    </row>
    <row r="62" spans="2:5">
      <c r="B62" s="107"/>
      <c r="C62" s="107"/>
      <c r="D62" s="107"/>
      <c r="E62" s="107"/>
    </row>
    <row r="63" spans="2:5">
      <c r="B63" s="107"/>
      <c r="C63" s="107"/>
      <c r="D63" s="107"/>
      <c r="E63" s="107"/>
    </row>
    <row r="64" spans="2:5">
      <c r="B64" s="107"/>
      <c r="C64" s="107"/>
      <c r="D64" s="107"/>
      <c r="E64" s="107"/>
    </row>
    <row r="65" spans="2:5">
      <c r="B65" s="107"/>
      <c r="C65" s="107"/>
      <c r="D65" s="107"/>
      <c r="E65" s="107"/>
    </row>
    <row r="66" spans="2:5">
      <c r="B66" s="107"/>
      <c r="C66" s="107"/>
      <c r="D66" s="107"/>
      <c r="E66" s="107"/>
    </row>
    <row r="67" spans="2:5">
      <c r="B67" s="107"/>
      <c r="C67" s="107"/>
      <c r="D67" s="107"/>
      <c r="E67" s="107"/>
    </row>
    <row r="68" spans="2:5">
      <c r="B68" s="107"/>
      <c r="C68" s="107"/>
      <c r="D68" s="107"/>
      <c r="E68" s="107"/>
    </row>
    <row r="69" spans="2:5">
      <c r="B69" s="107"/>
      <c r="C69" s="107"/>
      <c r="D69" s="107"/>
      <c r="E69" s="107"/>
    </row>
    <row r="70" spans="2:5">
      <c r="B70" s="107"/>
      <c r="C70" s="107"/>
      <c r="D70" s="107"/>
      <c r="E70" s="107"/>
    </row>
    <row r="71" spans="2:5">
      <c r="B71" s="107"/>
      <c r="C71" s="107"/>
      <c r="D71" s="107"/>
      <c r="E71" s="107"/>
    </row>
    <row r="72" spans="2:5">
      <c r="B72" s="107"/>
      <c r="C72" s="107"/>
      <c r="D72" s="107"/>
      <c r="E72" s="107"/>
    </row>
    <row r="73" spans="2:5">
      <c r="B73" s="107"/>
      <c r="C73" s="107"/>
      <c r="D73" s="107"/>
      <c r="E73" s="107"/>
    </row>
    <row r="74" spans="2:5">
      <c r="B74" s="107"/>
      <c r="C74" s="107"/>
      <c r="D74" s="107"/>
      <c r="E74" s="107"/>
    </row>
    <row r="75" spans="2:5">
      <c r="B75" s="107"/>
      <c r="C75" s="107"/>
      <c r="D75" s="107"/>
      <c r="E75" s="107"/>
    </row>
    <row r="76" spans="2:5">
      <c r="B76" s="107"/>
      <c r="C76" s="107"/>
      <c r="D76" s="107"/>
      <c r="E76" s="107"/>
    </row>
    <row r="77" spans="2:5">
      <c r="B77" s="107"/>
      <c r="C77" s="107"/>
      <c r="D77" s="107"/>
      <c r="E77" s="107"/>
    </row>
    <row r="78" spans="2:5">
      <c r="B78" s="107"/>
      <c r="C78" s="107"/>
      <c r="D78" s="107"/>
      <c r="E78" s="107"/>
    </row>
    <row r="79" spans="2:5">
      <c r="B79" s="107"/>
      <c r="C79" s="107"/>
      <c r="D79" s="107"/>
      <c r="E79" s="107"/>
    </row>
    <row r="80" spans="2:5">
      <c r="B80" s="107"/>
      <c r="C80" s="107"/>
      <c r="D80" s="107"/>
      <c r="E80" s="107"/>
    </row>
    <row r="81" spans="2:5">
      <c r="B81" s="107"/>
      <c r="C81" s="107"/>
      <c r="D81" s="107"/>
      <c r="E81" s="107"/>
    </row>
    <row r="82" spans="2:5">
      <c r="B82" s="107"/>
      <c r="C82" s="107"/>
      <c r="D82" s="107"/>
      <c r="E82" s="107"/>
    </row>
    <row r="83" spans="2:5">
      <c r="B83" s="107"/>
      <c r="C83" s="107"/>
      <c r="D83" s="107"/>
      <c r="E83" s="107"/>
    </row>
    <row r="84" spans="2:5">
      <c r="B84" s="107"/>
      <c r="C84" s="107"/>
      <c r="D84" s="107"/>
      <c r="E84" s="107"/>
    </row>
    <row r="85" spans="2:5">
      <c r="B85" s="107"/>
      <c r="C85" s="107"/>
      <c r="D85" s="107"/>
      <c r="E85" s="107"/>
    </row>
    <row r="86" spans="2:5">
      <c r="B86" s="107"/>
      <c r="C86" s="107"/>
      <c r="D86" s="107"/>
      <c r="E86" s="107"/>
    </row>
    <row r="87" spans="2:5">
      <c r="B87" s="107"/>
      <c r="C87" s="107"/>
      <c r="D87" s="107"/>
      <c r="E87" s="107"/>
    </row>
    <row r="88" spans="2:5">
      <c r="B88" s="107"/>
      <c r="C88" s="107"/>
      <c r="D88" s="107"/>
      <c r="E88" s="107"/>
    </row>
    <row r="89" spans="2:5">
      <c r="B89" s="107"/>
      <c r="C89" s="107"/>
      <c r="D89" s="107"/>
      <c r="E89" s="107"/>
    </row>
    <row r="90" spans="2:5">
      <c r="B90" s="107"/>
      <c r="C90" s="107"/>
      <c r="D90" s="107"/>
      <c r="E90" s="107"/>
    </row>
    <row r="91" spans="2:5">
      <c r="B91" s="107"/>
      <c r="C91" s="107"/>
      <c r="D91" s="107"/>
      <c r="E91" s="107"/>
    </row>
    <row r="92" spans="2:5">
      <c r="B92" s="107"/>
      <c r="C92" s="107"/>
      <c r="D92" s="107"/>
      <c r="E92" s="107"/>
    </row>
    <row r="93" spans="2:5">
      <c r="B93" s="107"/>
      <c r="C93" s="107"/>
      <c r="D93" s="107"/>
      <c r="E93" s="107"/>
    </row>
    <row r="94" spans="2:5">
      <c r="B94" s="107"/>
      <c r="C94" s="107"/>
      <c r="D94" s="107"/>
      <c r="E94" s="107"/>
    </row>
    <row r="95" spans="2:5">
      <c r="B95" s="107"/>
      <c r="C95" s="107"/>
      <c r="D95" s="107"/>
      <c r="E95" s="107"/>
    </row>
    <row r="96" spans="2:5">
      <c r="B96" s="107"/>
      <c r="C96" s="107"/>
      <c r="D96" s="107"/>
      <c r="E96" s="107"/>
    </row>
    <row r="97" spans="2:5">
      <c r="B97" s="107"/>
      <c r="C97" s="107"/>
      <c r="D97" s="107"/>
      <c r="E97" s="107"/>
    </row>
    <row r="98" spans="2:5">
      <c r="B98" s="107"/>
      <c r="C98" s="107"/>
      <c r="D98" s="107"/>
      <c r="E98" s="107"/>
    </row>
    <row r="99" spans="2:5">
      <c r="B99" s="107"/>
      <c r="C99" s="107"/>
      <c r="D99" s="107"/>
      <c r="E99" s="107"/>
    </row>
    <row r="100" spans="2:5">
      <c r="B100" s="107"/>
      <c r="C100" s="107"/>
      <c r="D100" s="107"/>
      <c r="E100" s="107"/>
    </row>
    <row r="101" spans="2:5">
      <c r="B101" s="107"/>
      <c r="C101" s="107"/>
      <c r="D101" s="107"/>
      <c r="E101" s="107"/>
    </row>
    <row r="102" spans="2:5">
      <c r="B102" s="107"/>
      <c r="C102" s="107"/>
      <c r="D102" s="107"/>
      <c r="E102" s="107"/>
    </row>
    <row r="103" spans="2:5">
      <c r="B103" s="107"/>
      <c r="C103" s="107"/>
      <c r="D103" s="107"/>
      <c r="E103" s="107"/>
    </row>
    <row r="104" spans="2:5">
      <c r="B104" s="107"/>
      <c r="C104" s="107"/>
      <c r="D104" s="107"/>
      <c r="E104" s="107"/>
    </row>
    <row r="105" spans="2:5">
      <c r="B105" s="107"/>
      <c r="C105" s="107"/>
      <c r="D105" s="107"/>
      <c r="E105" s="107"/>
    </row>
    <row r="106" spans="2:5">
      <c r="B106" s="107"/>
      <c r="C106" s="107"/>
      <c r="D106" s="107"/>
      <c r="E106" s="107"/>
    </row>
    <row r="107" spans="2:5">
      <c r="B107" s="107"/>
      <c r="C107" s="107"/>
      <c r="D107" s="107"/>
      <c r="E107" s="107"/>
    </row>
    <row r="108" spans="2:5">
      <c r="B108" s="107"/>
      <c r="C108" s="107"/>
      <c r="D108" s="107"/>
      <c r="E108" s="107"/>
    </row>
    <row r="109" spans="2:5">
      <c r="B109" s="107"/>
      <c r="C109" s="107"/>
      <c r="D109" s="107"/>
      <c r="E109" s="107"/>
    </row>
    <row r="110" spans="2:5">
      <c r="B110" s="107"/>
      <c r="C110" s="107"/>
      <c r="D110" s="107"/>
      <c r="E110" s="107"/>
    </row>
    <row r="111" spans="2:5">
      <c r="B111" s="107"/>
      <c r="C111" s="107"/>
      <c r="D111" s="107"/>
      <c r="E111" s="107"/>
    </row>
    <row r="112" spans="2:5">
      <c r="B112" s="107"/>
      <c r="C112" s="107"/>
      <c r="D112" s="107"/>
      <c r="E112" s="107"/>
    </row>
    <row r="113" spans="2:5">
      <c r="B113" s="107"/>
      <c r="C113" s="107"/>
      <c r="D113" s="107"/>
      <c r="E113" s="107"/>
    </row>
    <row r="114" spans="2:5">
      <c r="B114" s="107"/>
      <c r="C114" s="107"/>
      <c r="D114" s="107"/>
      <c r="E114" s="107"/>
    </row>
    <row r="115" spans="2:5">
      <c r="B115" s="107"/>
      <c r="C115" s="107"/>
      <c r="D115" s="107"/>
      <c r="E115" s="107"/>
    </row>
    <row r="116" spans="2:5">
      <c r="B116" s="107"/>
      <c r="C116" s="107"/>
      <c r="D116" s="107"/>
      <c r="E116" s="107"/>
    </row>
    <row r="117" spans="2:5">
      <c r="B117" s="107"/>
      <c r="C117" s="107"/>
      <c r="D117" s="107"/>
      <c r="E117" s="107"/>
    </row>
    <row r="118" spans="2:5">
      <c r="B118" s="107"/>
      <c r="C118" s="107"/>
      <c r="D118" s="107"/>
      <c r="E118" s="107"/>
    </row>
    <row r="119" spans="2:5">
      <c r="B119" s="107"/>
      <c r="C119" s="107"/>
      <c r="D119" s="107"/>
      <c r="E119" s="107"/>
    </row>
    <row r="120" spans="2:5">
      <c r="B120" s="107"/>
      <c r="C120" s="107"/>
      <c r="D120" s="107"/>
      <c r="E120" s="107"/>
    </row>
    <row r="121" spans="2:5">
      <c r="B121" s="107"/>
      <c r="C121" s="107"/>
      <c r="D121" s="107"/>
      <c r="E121" s="107"/>
    </row>
    <row r="122" spans="2:5">
      <c r="B122" s="107"/>
      <c r="C122" s="107"/>
      <c r="D122" s="107"/>
      <c r="E122" s="107"/>
    </row>
    <row r="123" spans="2:5">
      <c r="B123" s="107"/>
      <c r="C123" s="107"/>
      <c r="D123" s="107"/>
      <c r="E123" s="107"/>
    </row>
    <row r="124" spans="2:5">
      <c r="B124" s="107"/>
      <c r="C124" s="107"/>
      <c r="D124" s="107"/>
      <c r="E124" s="107"/>
    </row>
    <row r="125" spans="2:5">
      <c r="B125" s="107"/>
      <c r="C125" s="107"/>
      <c r="D125" s="107"/>
      <c r="E125" s="107"/>
    </row>
    <row r="126" spans="2:5">
      <c r="B126" s="107"/>
      <c r="C126" s="107"/>
      <c r="D126" s="107"/>
      <c r="E126" s="107"/>
    </row>
    <row r="127" spans="2:5">
      <c r="B127" s="107"/>
      <c r="C127" s="107"/>
      <c r="D127" s="107"/>
      <c r="E127" s="107"/>
    </row>
    <row r="128" spans="2:5">
      <c r="B128" s="107"/>
      <c r="C128" s="107"/>
      <c r="D128" s="107"/>
      <c r="E128" s="107"/>
    </row>
    <row r="129" spans="2:5">
      <c r="B129" s="107"/>
      <c r="C129" s="107"/>
      <c r="D129" s="107"/>
      <c r="E129" s="107"/>
    </row>
    <row r="130" spans="2:5">
      <c r="B130" s="107"/>
      <c r="C130" s="107"/>
      <c r="D130" s="107"/>
      <c r="E130" s="107"/>
    </row>
    <row r="131" spans="2:5">
      <c r="B131" s="107"/>
      <c r="C131" s="107"/>
      <c r="D131" s="107"/>
      <c r="E131" s="107"/>
    </row>
    <row r="132" spans="2:5">
      <c r="B132" s="107"/>
      <c r="C132" s="107"/>
      <c r="D132" s="107"/>
      <c r="E132" s="107"/>
    </row>
    <row r="133" spans="2:5">
      <c r="B133" s="107"/>
      <c r="C133" s="107"/>
      <c r="D133" s="107"/>
      <c r="E133" s="107"/>
    </row>
    <row r="134" spans="2:5">
      <c r="B134" s="107"/>
      <c r="C134" s="107"/>
      <c r="D134" s="107"/>
      <c r="E134" s="107"/>
    </row>
    <row r="135" spans="2:5">
      <c r="B135" s="107"/>
      <c r="C135" s="107"/>
      <c r="D135" s="107"/>
      <c r="E135" s="107"/>
    </row>
    <row r="136" spans="2:5">
      <c r="B136" s="107"/>
      <c r="C136" s="107"/>
      <c r="D136" s="107"/>
      <c r="E136" s="107"/>
    </row>
    <row r="137" spans="2:5">
      <c r="B137" s="107"/>
      <c r="C137" s="107"/>
      <c r="D137" s="107"/>
      <c r="E137" s="107"/>
    </row>
    <row r="138" spans="2:5">
      <c r="B138" s="107"/>
      <c r="C138" s="107"/>
      <c r="D138" s="107"/>
      <c r="E138" s="107"/>
    </row>
    <row r="139" spans="2:5">
      <c r="B139" s="107"/>
      <c r="C139" s="107"/>
      <c r="D139" s="107"/>
      <c r="E139" s="107"/>
    </row>
    <row r="140" spans="2:5">
      <c r="B140" s="107"/>
      <c r="C140" s="107"/>
      <c r="D140" s="107"/>
      <c r="E140" s="107"/>
    </row>
    <row r="141" spans="2:5">
      <c r="B141" s="107"/>
      <c r="C141" s="107"/>
      <c r="D141" s="107"/>
      <c r="E141" s="107"/>
    </row>
    <row r="142" spans="2:5">
      <c r="B142" s="107"/>
      <c r="C142" s="107"/>
      <c r="D142" s="107"/>
      <c r="E142" s="107"/>
    </row>
    <row r="143" spans="2:5">
      <c r="B143" s="107"/>
      <c r="C143" s="107"/>
      <c r="D143" s="107"/>
      <c r="E143" s="107"/>
    </row>
    <row r="144" spans="2:5">
      <c r="B144" s="107"/>
      <c r="C144" s="107"/>
      <c r="D144" s="107"/>
      <c r="E144" s="107"/>
    </row>
    <row r="145" spans="2:5">
      <c r="B145" s="107"/>
      <c r="C145" s="107"/>
      <c r="D145" s="107"/>
      <c r="E145" s="107"/>
    </row>
    <row r="146" spans="2:5">
      <c r="B146" s="107"/>
      <c r="C146" s="107"/>
      <c r="D146" s="107"/>
      <c r="E146" s="107"/>
    </row>
    <row r="147" spans="2:5">
      <c r="B147" s="107"/>
      <c r="C147" s="107"/>
      <c r="D147" s="107"/>
      <c r="E147" s="107"/>
    </row>
    <row r="148" spans="2:5">
      <c r="B148" s="107"/>
      <c r="C148" s="107"/>
      <c r="D148" s="107"/>
      <c r="E148" s="107"/>
    </row>
    <row r="149" spans="2:5">
      <c r="B149" s="107"/>
      <c r="C149" s="107"/>
      <c r="D149" s="107"/>
      <c r="E149" s="107"/>
    </row>
    <row r="150" spans="2:5">
      <c r="B150" s="107"/>
      <c r="C150" s="107"/>
      <c r="D150" s="107"/>
      <c r="E150" s="107"/>
    </row>
    <row r="151" spans="2:5">
      <c r="B151" s="107"/>
      <c r="C151" s="107"/>
      <c r="D151" s="107"/>
      <c r="E151" s="107"/>
    </row>
    <row r="152" spans="2:5">
      <c r="B152" s="107"/>
      <c r="C152" s="107"/>
      <c r="D152" s="107"/>
      <c r="E152" s="107"/>
    </row>
    <row r="153" spans="2:5">
      <c r="B153" s="107"/>
      <c r="C153" s="107"/>
      <c r="D153" s="107"/>
      <c r="E153" s="107"/>
    </row>
    <row r="154" spans="2:5">
      <c r="B154" s="107"/>
      <c r="C154" s="107"/>
      <c r="D154" s="107"/>
      <c r="E154" s="107"/>
    </row>
    <row r="155" spans="2:5">
      <c r="B155" s="107"/>
      <c r="C155" s="107"/>
      <c r="D155" s="107"/>
      <c r="E155" s="107"/>
    </row>
    <row r="156" spans="2:5">
      <c r="B156" s="107"/>
      <c r="C156" s="107"/>
      <c r="D156" s="107"/>
      <c r="E156" s="107"/>
    </row>
    <row r="157" spans="2:5">
      <c r="B157" s="107"/>
      <c r="C157" s="107"/>
      <c r="D157" s="107"/>
      <c r="E157" s="107"/>
    </row>
    <row r="158" spans="2:5">
      <c r="B158" s="107"/>
      <c r="C158" s="107"/>
      <c r="D158" s="107"/>
      <c r="E158" s="107"/>
    </row>
    <row r="159" spans="2:5">
      <c r="B159" s="107"/>
      <c r="C159" s="107"/>
      <c r="D159" s="107"/>
      <c r="E159" s="107"/>
    </row>
    <row r="160" spans="2:5">
      <c r="B160" s="107"/>
      <c r="C160" s="107"/>
      <c r="D160" s="107"/>
      <c r="E160" s="107"/>
    </row>
    <row r="161" spans="2:5">
      <c r="B161" s="107"/>
      <c r="C161" s="107"/>
      <c r="D161" s="107"/>
      <c r="E161" s="107"/>
    </row>
    <row r="162" spans="2:5">
      <c r="B162" s="107"/>
      <c r="C162" s="107"/>
      <c r="D162" s="107"/>
      <c r="E162" s="107"/>
    </row>
    <row r="163" spans="2:5">
      <c r="B163" s="107"/>
      <c r="C163" s="107"/>
      <c r="D163" s="107"/>
      <c r="E163" s="107"/>
    </row>
    <row r="164" spans="2:5">
      <c r="B164" s="107"/>
      <c r="C164" s="107"/>
      <c r="D164" s="107"/>
      <c r="E164" s="107"/>
    </row>
    <row r="165" spans="2:5">
      <c r="B165" s="107"/>
      <c r="C165" s="107"/>
      <c r="D165" s="107"/>
      <c r="E165" s="107"/>
    </row>
    <row r="166" spans="2:5">
      <c r="B166" s="107"/>
      <c r="C166" s="107"/>
      <c r="D166" s="107"/>
      <c r="E166" s="107"/>
    </row>
    <row r="167" spans="2:5">
      <c r="B167" s="107"/>
      <c r="C167" s="107"/>
      <c r="D167" s="107"/>
      <c r="E167" s="107"/>
    </row>
    <row r="168" spans="2:5">
      <c r="B168" s="107"/>
      <c r="C168" s="107"/>
      <c r="D168" s="107"/>
      <c r="E168" s="107"/>
    </row>
    <row r="169" spans="2:5">
      <c r="B169" s="107"/>
      <c r="C169" s="107"/>
      <c r="D169" s="107"/>
      <c r="E169" s="107"/>
    </row>
    <row r="170" spans="2:5">
      <c r="B170" s="107"/>
      <c r="C170" s="107"/>
      <c r="D170" s="107"/>
      <c r="E170" s="107"/>
    </row>
    <row r="171" spans="2:5">
      <c r="B171" s="107"/>
      <c r="C171" s="107"/>
      <c r="D171" s="107"/>
      <c r="E171" s="107"/>
    </row>
    <row r="172" spans="2:5">
      <c r="B172" s="107"/>
      <c r="C172" s="107"/>
      <c r="D172" s="107"/>
      <c r="E172" s="107"/>
    </row>
    <row r="173" spans="2:5">
      <c r="B173" s="107"/>
      <c r="C173" s="107"/>
      <c r="D173" s="107"/>
      <c r="E173" s="107"/>
    </row>
    <row r="174" spans="2:5">
      <c r="B174" s="107"/>
      <c r="C174" s="107"/>
      <c r="D174" s="107"/>
      <c r="E174" s="107"/>
    </row>
    <row r="175" spans="2:5">
      <c r="B175" s="107"/>
      <c r="C175" s="107"/>
      <c r="D175" s="107"/>
      <c r="E175" s="107"/>
    </row>
    <row r="176" spans="2:5">
      <c r="B176" s="107"/>
      <c r="C176" s="107"/>
      <c r="D176" s="107"/>
      <c r="E176" s="107"/>
    </row>
    <row r="177" spans="2:5">
      <c r="B177" s="107"/>
      <c r="C177" s="107"/>
      <c r="D177" s="107"/>
      <c r="E177" s="107"/>
    </row>
    <row r="178" spans="2:5">
      <c r="B178" s="107"/>
      <c r="C178" s="107"/>
      <c r="D178" s="107"/>
      <c r="E178" s="107"/>
    </row>
    <row r="179" spans="2:5">
      <c r="B179" s="107"/>
      <c r="C179" s="107"/>
      <c r="D179" s="107"/>
      <c r="E179" s="107"/>
    </row>
    <row r="180" spans="2:5">
      <c r="B180" s="107"/>
      <c r="C180" s="107"/>
      <c r="D180" s="107"/>
      <c r="E180" s="107"/>
    </row>
    <row r="181" spans="2:5">
      <c r="B181" s="107"/>
      <c r="C181" s="107"/>
      <c r="D181" s="107"/>
      <c r="E181" s="107"/>
    </row>
    <row r="182" spans="2:5">
      <c r="B182" s="107"/>
      <c r="C182" s="107"/>
      <c r="D182" s="107"/>
      <c r="E182" s="107"/>
    </row>
    <row r="183" spans="2:5">
      <c r="B183" s="107"/>
      <c r="C183" s="107"/>
      <c r="D183" s="107"/>
      <c r="E183" s="107"/>
    </row>
    <row r="184" spans="2:5">
      <c r="B184" s="107"/>
      <c r="C184" s="107"/>
      <c r="D184" s="107"/>
      <c r="E184" s="107"/>
    </row>
    <row r="185" spans="2:5">
      <c r="B185" s="107"/>
      <c r="C185" s="107"/>
      <c r="D185" s="107"/>
      <c r="E185" s="107"/>
    </row>
    <row r="186" spans="2:5">
      <c r="B186" s="107"/>
      <c r="C186" s="107"/>
      <c r="D186" s="107"/>
      <c r="E186" s="107"/>
    </row>
    <row r="187" spans="2:5">
      <c r="B187" s="107"/>
      <c r="C187" s="107"/>
      <c r="D187" s="107"/>
      <c r="E187" s="107"/>
    </row>
    <row r="188" spans="2:5">
      <c r="B188" s="107"/>
      <c r="C188" s="107"/>
      <c r="D188" s="107"/>
      <c r="E188" s="107"/>
    </row>
    <row r="189" spans="2:5">
      <c r="B189" s="107"/>
      <c r="C189" s="107"/>
      <c r="D189" s="107"/>
      <c r="E189" s="107"/>
    </row>
    <row r="190" spans="2:5">
      <c r="B190" s="107"/>
      <c r="C190" s="107"/>
      <c r="D190" s="107"/>
      <c r="E190" s="107"/>
    </row>
    <row r="191" spans="2:5">
      <c r="B191" s="107"/>
      <c r="C191" s="107"/>
      <c r="D191" s="107"/>
      <c r="E191" s="107"/>
    </row>
    <row r="192" spans="2:5">
      <c r="B192" s="107"/>
      <c r="C192" s="107"/>
      <c r="D192" s="107"/>
      <c r="E192" s="107"/>
    </row>
    <row r="193" spans="2:5">
      <c r="B193" s="107"/>
      <c r="C193" s="107"/>
      <c r="D193" s="107"/>
      <c r="E193" s="107"/>
    </row>
    <row r="194" spans="2:5">
      <c r="B194" s="107"/>
      <c r="C194" s="107"/>
      <c r="D194" s="107"/>
      <c r="E194" s="107"/>
    </row>
    <row r="195" spans="2:5">
      <c r="B195" s="107"/>
      <c r="C195" s="107"/>
      <c r="D195" s="107"/>
      <c r="E195" s="107"/>
    </row>
    <row r="196" spans="2:5">
      <c r="B196" s="107"/>
      <c r="C196" s="107"/>
      <c r="D196" s="107"/>
      <c r="E196" s="107"/>
    </row>
    <row r="197" spans="2:5">
      <c r="B197" s="107"/>
      <c r="C197" s="107"/>
      <c r="D197" s="107"/>
      <c r="E197" s="107"/>
    </row>
    <row r="198" spans="2:5">
      <c r="B198" s="107"/>
      <c r="C198" s="107"/>
      <c r="D198" s="107"/>
      <c r="E198" s="107"/>
    </row>
    <row r="199" spans="2:5">
      <c r="B199" s="107"/>
      <c r="C199" s="107"/>
      <c r="D199" s="107"/>
      <c r="E199" s="107"/>
    </row>
    <row r="200" spans="2:5">
      <c r="B200" s="107"/>
      <c r="C200" s="107"/>
      <c r="D200" s="107"/>
      <c r="E200" s="107"/>
    </row>
    <row r="201" spans="2:5">
      <c r="B201" s="107"/>
      <c r="C201" s="107"/>
      <c r="D201" s="107"/>
      <c r="E201" s="107"/>
    </row>
    <row r="202" spans="2:5">
      <c r="B202" s="107"/>
      <c r="C202" s="107"/>
      <c r="D202" s="107"/>
      <c r="E202" s="107"/>
    </row>
    <row r="203" spans="2:5">
      <c r="B203" s="107"/>
      <c r="C203" s="107"/>
      <c r="D203" s="107"/>
      <c r="E203" s="107"/>
    </row>
    <row r="204" spans="2:5">
      <c r="B204" s="107"/>
      <c r="C204" s="107"/>
      <c r="D204" s="107"/>
      <c r="E204" s="107"/>
    </row>
    <row r="205" spans="2:5">
      <c r="B205" s="107"/>
      <c r="C205" s="107"/>
      <c r="D205" s="107"/>
      <c r="E205" s="107"/>
    </row>
    <row r="206" spans="2:5">
      <c r="B206" s="107"/>
      <c r="C206" s="107"/>
      <c r="D206" s="107"/>
      <c r="E206" s="107"/>
    </row>
    <row r="207" spans="2:5">
      <c r="B207" s="107"/>
      <c r="C207" s="107"/>
      <c r="D207" s="107"/>
      <c r="E207" s="107"/>
    </row>
    <row r="208" spans="2:5">
      <c r="B208" s="107"/>
      <c r="C208" s="107"/>
      <c r="D208" s="107"/>
      <c r="E208" s="107"/>
    </row>
    <row r="209" spans="2:5">
      <c r="B209" s="107"/>
      <c r="C209" s="107"/>
      <c r="D209" s="107"/>
      <c r="E209" s="107"/>
    </row>
    <row r="210" spans="2:5">
      <c r="B210" s="107"/>
      <c r="C210" s="107"/>
      <c r="D210" s="107"/>
      <c r="E210" s="107"/>
    </row>
    <row r="211" spans="2:5">
      <c r="B211" s="107"/>
      <c r="C211" s="107"/>
      <c r="D211" s="107"/>
      <c r="E211" s="107"/>
    </row>
    <row r="212" spans="2:5">
      <c r="B212" s="107"/>
      <c r="C212" s="107"/>
      <c r="D212" s="107"/>
      <c r="E212" s="107"/>
    </row>
    <row r="213" spans="2:5">
      <c r="B213" s="107"/>
      <c r="C213" s="107"/>
      <c r="D213" s="107"/>
      <c r="E213" s="107"/>
    </row>
    <row r="214" spans="2:5">
      <c r="B214" s="107"/>
      <c r="C214" s="107"/>
      <c r="D214" s="107"/>
      <c r="E214" s="107"/>
    </row>
    <row r="215" spans="2:5">
      <c r="B215" s="107"/>
      <c r="C215" s="107"/>
      <c r="D215" s="107"/>
      <c r="E215" s="107"/>
    </row>
    <row r="216" spans="2:5">
      <c r="B216" s="107"/>
      <c r="C216" s="107"/>
      <c r="D216" s="107"/>
      <c r="E216" s="107"/>
    </row>
    <row r="217" spans="2:5">
      <c r="B217" s="107"/>
      <c r="C217" s="107"/>
      <c r="D217" s="107"/>
      <c r="E217" s="107"/>
    </row>
    <row r="218" spans="2:5">
      <c r="B218" s="107"/>
      <c r="C218" s="107"/>
      <c r="D218" s="107"/>
      <c r="E218" s="107"/>
    </row>
    <row r="219" spans="2:5">
      <c r="B219" s="107"/>
      <c r="C219" s="107"/>
      <c r="D219" s="107"/>
      <c r="E219" s="107"/>
    </row>
    <row r="220" spans="2:5">
      <c r="B220" s="107"/>
      <c r="C220" s="107"/>
      <c r="D220" s="107"/>
      <c r="E220" s="107"/>
    </row>
    <row r="221" spans="2:5">
      <c r="B221" s="107"/>
      <c r="C221" s="107"/>
      <c r="D221" s="107"/>
      <c r="E221" s="107"/>
    </row>
    <row r="222" spans="2:5">
      <c r="B222" s="107"/>
      <c r="C222" s="107"/>
      <c r="D222" s="107"/>
      <c r="E222" s="107"/>
    </row>
    <row r="223" spans="2:5">
      <c r="B223" s="107"/>
      <c r="C223" s="107"/>
      <c r="D223" s="107"/>
      <c r="E223" s="107"/>
    </row>
    <row r="224" spans="2:5">
      <c r="B224" s="107"/>
      <c r="C224" s="107"/>
      <c r="D224" s="107"/>
      <c r="E224" s="107"/>
    </row>
    <row r="225" spans="2:5">
      <c r="B225" s="107"/>
      <c r="C225" s="107"/>
      <c r="D225" s="107"/>
      <c r="E225" s="107"/>
    </row>
    <row r="226" spans="2:5">
      <c r="B226" s="107"/>
      <c r="C226" s="107"/>
      <c r="D226" s="107"/>
      <c r="E226" s="107"/>
    </row>
    <row r="227" spans="2:5">
      <c r="B227" s="107"/>
      <c r="C227" s="107"/>
      <c r="D227" s="107"/>
      <c r="E227" s="107"/>
    </row>
    <row r="228" spans="2:5">
      <c r="B228" s="107"/>
      <c r="C228" s="107"/>
      <c r="D228" s="107"/>
      <c r="E228" s="107"/>
    </row>
    <row r="229" spans="2:5">
      <c r="B229" s="107"/>
      <c r="C229" s="107"/>
      <c r="D229" s="107"/>
      <c r="E229" s="107"/>
    </row>
    <row r="230" spans="2:5">
      <c r="B230" s="107"/>
      <c r="C230" s="107"/>
      <c r="D230" s="107"/>
      <c r="E230" s="107"/>
    </row>
    <row r="231" spans="2:5">
      <c r="B231" s="107"/>
      <c r="C231" s="107"/>
      <c r="D231" s="107"/>
      <c r="E231" s="107"/>
    </row>
    <row r="232" spans="2:5">
      <c r="B232" s="107"/>
      <c r="C232" s="107"/>
      <c r="D232" s="107"/>
      <c r="E232" s="107"/>
    </row>
    <row r="233" spans="2:5">
      <c r="B233" s="107"/>
      <c r="C233" s="107"/>
      <c r="D233" s="107"/>
      <c r="E233" s="107"/>
    </row>
    <row r="234" spans="2:5">
      <c r="B234" s="107"/>
      <c r="C234" s="107"/>
      <c r="D234" s="107"/>
      <c r="E234" s="107"/>
    </row>
    <row r="235" spans="2:5">
      <c r="B235" s="107"/>
      <c r="C235" s="107"/>
      <c r="D235" s="107"/>
      <c r="E235" s="107"/>
    </row>
    <row r="236" spans="2:5">
      <c r="B236" s="107"/>
      <c r="C236" s="107"/>
      <c r="D236" s="107"/>
      <c r="E236" s="107"/>
    </row>
    <row r="237" spans="2:5">
      <c r="B237" s="107"/>
      <c r="C237" s="107"/>
      <c r="D237" s="107"/>
      <c r="E237" s="107"/>
    </row>
    <row r="238" spans="2:5">
      <c r="B238" s="107"/>
      <c r="C238" s="107"/>
      <c r="D238" s="107"/>
      <c r="E238" s="107"/>
    </row>
    <row r="239" spans="2:5">
      <c r="B239" s="107"/>
      <c r="C239" s="107"/>
      <c r="D239" s="107"/>
      <c r="E239" s="107"/>
    </row>
    <row r="240" spans="2:5">
      <c r="B240" s="107"/>
      <c r="C240" s="107"/>
      <c r="D240" s="107"/>
      <c r="E240" s="107"/>
    </row>
    <row r="241" spans="2:5">
      <c r="B241" s="107"/>
      <c r="C241" s="107"/>
      <c r="D241" s="107"/>
      <c r="E241" s="107"/>
    </row>
    <row r="242" spans="2:5">
      <c r="B242" s="107"/>
      <c r="C242" s="107"/>
      <c r="D242" s="107"/>
      <c r="E242" s="107"/>
    </row>
    <row r="243" spans="2:5">
      <c r="B243" s="107"/>
      <c r="C243" s="107"/>
      <c r="D243" s="107"/>
      <c r="E243" s="107"/>
    </row>
    <row r="244" spans="2:5">
      <c r="B244" s="107"/>
      <c r="C244" s="107"/>
      <c r="D244" s="107"/>
      <c r="E244" s="107"/>
    </row>
    <row r="245" spans="2:5">
      <c r="B245" s="107"/>
      <c r="C245" s="107"/>
      <c r="D245" s="107"/>
      <c r="E245" s="107"/>
    </row>
    <row r="246" spans="2:5">
      <c r="B246" s="107"/>
      <c r="C246" s="107"/>
      <c r="D246" s="107"/>
      <c r="E246" s="107"/>
    </row>
    <row r="247" spans="2:5">
      <c r="B247" s="107"/>
      <c r="C247" s="107"/>
      <c r="D247" s="107"/>
      <c r="E247" s="107"/>
    </row>
    <row r="248" spans="2:5">
      <c r="B248" s="107"/>
      <c r="C248" s="107"/>
      <c r="D248" s="107"/>
      <c r="E248" s="107"/>
    </row>
    <row r="249" spans="2:5">
      <c r="B249" s="107"/>
      <c r="C249" s="107"/>
      <c r="D249" s="107"/>
      <c r="E249" s="107"/>
    </row>
    <row r="250" spans="2:5">
      <c r="B250" s="107"/>
      <c r="C250" s="107"/>
      <c r="D250" s="107"/>
      <c r="E250" s="107"/>
    </row>
    <row r="251" spans="2:5">
      <c r="B251" s="107"/>
      <c r="C251" s="107"/>
      <c r="D251" s="107"/>
      <c r="E251" s="107"/>
    </row>
    <row r="252" spans="2:5">
      <c r="B252" s="107"/>
      <c r="C252" s="107"/>
      <c r="D252" s="107"/>
      <c r="E252" s="107"/>
    </row>
    <row r="253" spans="2:5">
      <c r="B253" s="107"/>
      <c r="C253" s="107"/>
      <c r="D253" s="107"/>
      <c r="E253" s="107"/>
    </row>
    <row r="254" spans="2:5">
      <c r="B254" s="107"/>
      <c r="C254" s="107"/>
      <c r="D254" s="107"/>
      <c r="E254" s="107"/>
    </row>
    <row r="255" spans="2:5">
      <c r="B255" s="107"/>
      <c r="C255" s="107"/>
      <c r="D255" s="107"/>
      <c r="E255" s="107"/>
    </row>
    <row r="256" spans="2:5">
      <c r="B256" s="107"/>
      <c r="C256" s="107"/>
      <c r="D256" s="107"/>
      <c r="E256" s="107"/>
    </row>
    <row r="257" spans="2:5">
      <c r="B257" s="107"/>
      <c r="C257" s="107"/>
      <c r="D257" s="107"/>
      <c r="E257" s="107"/>
    </row>
    <row r="258" spans="2:5">
      <c r="B258" s="107"/>
      <c r="C258" s="107"/>
      <c r="D258" s="107"/>
      <c r="E258" s="107"/>
    </row>
    <row r="259" spans="2:5">
      <c r="B259" s="107"/>
      <c r="C259" s="107"/>
      <c r="D259" s="107"/>
      <c r="E259" s="107"/>
    </row>
    <row r="260" spans="2:5">
      <c r="B260" s="107"/>
      <c r="C260" s="107"/>
      <c r="D260" s="107"/>
      <c r="E260" s="107"/>
    </row>
    <row r="261" spans="2:5">
      <c r="B261" s="107"/>
      <c r="C261" s="107"/>
      <c r="D261" s="107"/>
      <c r="E261" s="107"/>
    </row>
    <row r="262" spans="2:5">
      <c r="B262" s="107"/>
      <c r="C262" s="107"/>
      <c r="D262" s="107"/>
      <c r="E262" s="107"/>
    </row>
    <row r="263" spans="2:5">
      <c r="B263" s="107"/>
      <c r="C263" s="107"/>
      <c r="D263" s="107"/>
      <c r="E263" s="107"/>
    </row>
    <row r="264" spans="2:5">
      <c r="B264" s="107"/>
      <c r="C264" s="107"/>
      <c r="D264" s="107"/>
      <c r="E264" s="107"/>
    </row>
    <row r="265" spans="2:5">
      <c r="B265" s="107"/>
      <c r="C265" s="107"/>
      <c r="D265" s="107"/>
      <c r="E265" s="107"/>
    </row>
    <row r="266" spans="2:5">
      <c r="B266" s="107"/>
      <c r="C266" s="107"/>
      <c r="D266" s="107"/>
      <c r="E266" s="107"/>
    </row>
    <row r="267" spans="2:5">
      <c r="B267" s="107"/>
      <c r="C267" s="107"/>
      <c r="D267" s="107"/>
      <c r="E267" s="107"/>
    </row>
    <row r="268" spans="2:5">
      <c r="B268" s="107"/>
      <c r="C268" s="107"/>
      <c r="D268" s="107"/>
      <c r="E268" s="107"/>
    </row>
    <row r="269" spans="2:5">
      <c r="B269" s="107"/>
      <c r="C269" s="107"/>
      <c r="D269" s="107"/>
      <c r="E269" s="107"/>
    </row>
    <row r="270" spans="2:5">
      <c r="B270" s="107"/>
      <c r="C270" s="107"/>
      <c r="D270" s="107"/>
      <c r="E270" s="107"/>
    </row>
    <row r="271" spans="2:5">
      <c r="B271" s="107"/>
      <c r="C271" s="107"/>
      <c r="D271" s="107"/>
      <c r="E271" s="107"/>
    </row>
    <row r="272" spans="2:5">
      <c r="B272" s="107"/>
      <c r="C272" s="107"/>
      <c r="D272" s="107"/>
      <c r="E272" s="107"/>
    </row>
    <row r="273" spans="2:5">
      <c r="B273" s="107"/>
      <c r="C273" s="107"/>
      <c r="D273" s="107"/>
      <c r="E273" s="107"/>
    </row>
    <row r="274" spans="2:5">
      <c r="B274" s="107"/>
      <c r="C274" s="107"/>
      <c r="D274" s="107"/>
      <c r="E274" s="107"/>
    </row>
    <row r="275" spans="2:5">
      <c r="B275" s="107"/>
      <c r="C275" s="107"/>
      <c r="D275" s="107"/>
      <c r="E275" s="107"/>
    </row>
    <row r="276" spans="2:5">
      <c r="B276" s="107"/>
      <c r="C276" s="107"/>
      <c r="D276" s="107"/>
      <c r="E276" s="107"/>
    </row>
    <row r="277" spans="2:5">
      <c r="B277" s="107"/>
      <c r="C277" s="107"/>
      <c r="D277" s="107"/>
      <c r="E277" s="107"/>
    </row>
    <row r="278" spans="2:5">
      <c r="B278" s="107"/>
      <c r="C278" s="107"/>
      <c r="D278" s="107"/>
      <c r="E278" s="107"/>
    </row>
    <row r="279" spans="2:5">
      <c r="B279" s="107"/>
      <c r="C279" s="107"/>
      <c r="D279" s="107"/>
      <c r="E279" s="107"/>
    </row>
    <row r="280" spans="2:5">
      <c r="B280" s="107"/>
      <c r="C280" s="107"/>
      <c r="D280" s="107"/>
      <c r="E280" s="107"/>
    </row>
    <row r="281" spans="2:5">
      <c r="B281" s="107"/>
      <c r="C281" s="107"/>
      <c r="D281" s="107"/>
      <c r="E281" s="107"/>
    </row>
    <row r="282" spans="2:5">
      <c r="B282" s="107"/>
      <c r="C282" s="107"/>
      <c r="D282" s="107"/>
      <c r="E282" s="107"/>
    </row>
    <row r="283" spans="2:5">
      <c r="B283" s="107"/>
      <c r="C283" s="107"/>
      <c r="D283" s="107"/>
      <c r="E283" s="107"/>
    </row>
    <row r="284" spans="2:5">
      <c r="B284" s="107"/>
      <c r="C284" s="107"/>
      <c r="D284" s="107"/>
      <c r="E284" s="107"/>
    </row>
    <row r="285" spans="2:5">
      <c r="B285" s="107"/>
      <c r="C285" s="107"/>
      <c r="D285" s="107"/>
      <c r="E285" s="107"/>
    </row>
    <row r="286" spans="2:5">
      <c r="B286" s="107"/>
      <c r="C286" s="107"/>
      <c r="D286" s="107"/>
      <c r="E286" s="107"/>
    </row>
    <row r="287" spans="2:5">
      <c r="B287" s="107"/>
      <c r="C287" s="107"/>
      <c r="D287" s="107"/>
      <c r="E287" s="107"/>
    </row>
    <row r="288" spans="2:5">
      <c r="B288" s="107"/>
      <c r="C288" s="107"/>
      <c r="D288" s="107"/>
      <c r="E288" s="107"/>
    </row>
    <row r="289" spans="2:5">
      <c r="B289" s="107"/>
      <c r="C289" s="107"/>
      <c r="D289" s="107"/>
      <c r="E289" s="107"/>
    </row>
    <row r="290" spans="2:5">
      <c r="B290" s="107"/>
      <c r="C290" s="107"/>
      <c r="D290" s="107"/>
      <c r="E290" s="107"/>
    </row>
    <row r="291" spans="2:5">
      <c r="B291" s="107"/>
      <c r="C291" s="107"/>
      <c r="D291" s="107"/>
      <c r="E291" s="107"/>
    </row>
    <row r="292" spans="2:5">
      <c r="B292" s="107"/>
      <c r="C292" s="107"/>
      <c r="D292" s="107"/>
      <c r="E292" s="107"/>
    </row>
    <row r="293" spans="2:5">
      <c r="B293" s="107"/>
      <c r="C293" s="107"/>
      <c r="D293" s="107"/>
      <c r="E293" s="107"/>
    </row>
    <row r="294" spans="2:5">
      <c r="B294" s="107"/>
      <c r="C294" s="107"/>
      <c r="D294" s="107"/>
      <c r="E294" s="107"/>
    </row>
    <row r="295" spans="2:5">
      <c r="B295" s="107"/>
      <c r="C295" s="107"/>
      <c r="D295" s="107"/>
      <c r="E295" s="107"/>
    </row>
    <row r="296" spans="2:5">
      <c r="B296" s="107"/>
      <c r="C296" s="107"/>
      <c r="D296" s="107"/>
      <c r="E296" s="107"/>
    </row>
    <row r="297" spans="2:5">
      <c r="B297" s="107"/>
      <c r="C297" s="107"/>
      <c r="D297" s="107"/>
      <c r="E297" s="107"/>
    </row>
    <row r="298" spans="2:5">
      <c r="B298" s="107"/>
      <c r="C298" s="107"/>
      <c r="D298" s="107"/>
      <c r="E298" s="107"/>
    </row>
    <row r="299" spans="2:5">
      <c r="B299" s="107"/>
      <c r="C299" s="107"/>
      <c r="D299" s="107"/>
      <c r="E299" s="107"/>
    </row>
    <row r="300" spans="2:5">
      <c r="B300" s="107"/>
      <c r="C300" s="107"/>
      <c r="D300" s="107"/>
      <c r="E300" s="107"/>
    </row>
    <row r="301" spans="2:5">
      <c r="B301" s="107"/>
      <c r="C301" s="107"/>
      <c r="D301" s="107"/>
      <c r="E301" s="107"/>
    </row>
    <row r="302" spans="2:5">
      <c r="B302" s="107"/>
      <c r="C302" s="107"/>
      <c r="D302" s="107"/>
      <c r="E302" s="107"/>
    </row>
    <row r="303" spans="2:5">
      <c r="B303" s="107"/>
      <c r="C303" s="107"/>
      <c r="D303" s="107"/>
      <c r="E303" s="107"/>
    </row>
    <row r="304" spans="2:5">
      <c r="B304" s="107"/>
      <c r="C304" s="107"/>
      <c r="D304" s="107"/>
      <c r="E304" s="107"/>
    </row>
    <row r="305" spans="2:5">
      <c r="B305" s="107"/>
      <c r="C305" s="107"/>
      <c r="D305" s="107"/>
      <c r="E305" s="107"/>
    </row>
    <row r="306" spans="2:5">
      <c r="B306" s="107"/>
      <c r="C306" s="107"/>
      <c r="D306" s="107"/>
      <c r="E306" s="107"/>
    </row>
    <row r="307" spans="2:5">
      <c r="B307" s="107"/>
      <c r="C307" s="107"/>
      <c r="D307" s="107"/>
      <c r="E307" s="107"/>
    </row>
    <row r="308" spans="2:5">
      <c r="B308" s="107"/>
      <c r="C308" s="107"/>
      <c r="D308" s="107"/>
      <c r="E308" s="107"/>
    </row>
    <row r="309" spans="2:5">
      <c r="B309" s="107"/>
      <c r="C309" s="107"/>
      <c r="D309" s="107"/>
      <c r="E309" s="107"/>
    </row>
    <row r="310" spans="2:5">
      <c r="B310" s="107"/>
      <c r="C310" s="107"/>
      <c r="D310" s="107"/>
      <c r="E310" s="107"/>
    </row>
    <row r="311" spans="2:5">
      <c r="B311" s="107"/>
      <c r="C311" s="107"/>
      <c r="D311" s="107"/>
      <c r="E311" s="107"/>
    </row>
    <row r="312" spans="2:5">
      <c r="B312" s="107"/>
      <c r="C312" s="107"/>
      <c r="D312" s="107"/>
      <c r="E312" s="107"/>
    </row>
    <row r="313" spans="2:5">
      <c r="B313" s="107"/>
      <c r="C313" s="107"/>
      <c r="D313" s="107"/>
      <c r="E313" s="107"/>
    </row>
    <row r="314" spans="2:5">
      <c r="B314" s="107"/>
      <c r="C314" s="107"/>
      <c r="D314" s="107"/>
      <c r="E314" s="107"/>
    </row>
    <row r="315" spans="2:5">
      <c r="B315" s="107"/>
      <c r="C315" s="107"/>
      <c r="D315" s="107"/>
      <c r="E315" s="107"/>
    </row>
    <row r="316" spans="2:5">
      <c r="B316" s="107"/>
      <c r="C316" s="107"/>
      <c r="D316" s="107"/>
      <c r="E316" s="107"/>
    </row>
    <row r="317" spans="2:5">
      <c r="B317" s="107"/>
      <c r="C317" s="107"/>
      <c r="D317" s="107"/>
      <c r="E317" s="107"/>
    </row>
    <row r="318" spans="2:5">
      <c r="B318" s="107"/>
      <c r="C318" s="107"/>
      <c r="D318" s="107"/>
      <c r="E318" s="107"/>
    </row>
    <row r="319" spans="2:5">
      <c r="B319" s="107"/>
      <c r="C319" s="107"/>
      <c r="D319" s="107"/>
      <c r="E319" s="107"/>
    </row>
    <row r="320" spans="2:5">
      <c r="B320" s="107"/>
      <c r="C320" s="107"/>
      <c r="D320" s="107"/>
      <c r="E320" s="107"/>
    </row>
    <row r="321" spans="2:5">
      <c r="B321" s="107"/>
      <c r="C321" s="107"/>
      <c r="D321" s="107"/>
      <c r="E321" s="107"/>
    </row>
    <row r="322" spans="2:5">
      <c r="B322" s="107"/>
      <c r="C322" s="107"/>
      <c r="D322" s="107"/>
      <c r="E322" s="107"/>
    </row>
    <row r="323" spans="2:5">
      <c r="B323" s="107"/>
      <c r="C323" s="107"/>
      <c r="D323" s="107"/>
      <c r="E323" s="107"/>
    </row>
    <row r="324" spans="2:5">
      <c r="B324" s="107"/>
      <c r="C324" s="107"/>
      <c r="D324" s="107"/>
      <c r="E324" s="107"/>
    </row>
    <row r="325" spans="2:5">
      <c r="B325" s="107"/>
      <c r="C325" s="107"/>
      <c r="D325" s="107"/>
      <c r="E325" s="107"/>
    </row>
    <row r="326" spans="2:5">
      <c r="B326" s="107"/>
      <c r="C326" s="107"/>
      <c r="D326" s="107"/>
      <c r="E326" s="107"/>
    </row>
    <row r="327" spans="2:5">
      <c r="B327" s="107"/>
      <c r="C327" s="107"/>
      <c r="D327" s="107"/>
      <c r="E327" s="107"/>
    </row>
    <row r="328" spans="2:5">
      <c r="B328" s="107"/>
      <c r="C328" s="107"/>
      <c r="D328" s="107"/>
      <c r="E328" s="107"/>
    </row>
    <row r="329" spans="2:5">
      <c r="B329" s="107"/>
      <c r="C329" s="107"/>
      <c r="D329" s="107"/>
      <c r="E329" s="107"/>
    </row>
    <row r="330" spans="2:5">
      <c r="B330" s="107"/>
      <c r="C330" s="107"/>
      <c r="D330" s="107"/>
      <c r="E330" s="107"/>
    </row>
    <row r="331" spans="2:5">
      <c r="B331" s="107"/>
      <c r="C331" s="107"/>
      <c r="D331" s="107"/>
      <c r="E331" s="107"/>
    </row>
    <row r="332" spans="2:5">
      <c r="B332" s="107"/>
      <c r="C332" s="107"/>
      <c r="D332" s="107"/>
      <c r="E332" s="107"/>
    </row>
    <row r="333" spans="2:5">
      <c r="B333" s="107"/>
      <c r="C333" s="107"/>
      <c r="D333" s="107"/>
      <c r="E333" s="107"/>
    </row>
    <row r="334" spans="2:5">
      <c r="B334" s="107"/>
      <c r="C334" s="107"/>
      <c r="D334" s="107"/>
      <c r="E334" s="107"/>
    </row>
    <row r="335" spans="2:5">
      <c r="B335" s="107"/>
      <c r="C335" s="107"/>
      <c r="D335" s="107"/>
      <c r="E335" s="107"/>
    </row>
    <row r="336" spans="2:5">
      <c r="B336" s="107"/>
      <c r="C336" s="107"/>
      <c r="D336" s="107"/>
      <c r="E336" s="107"/>
    </row>
    <row r="337" spans="2:5">
      <c r="B337" s="107"/>
      <c r="C337" s="107"/>
      <c r="D337" s="107"/>
      <c r="E337" s="107"/>
    </row>
    <row r="338" spans="2:5">
      <c r="B338" s="107"/>
      <c r="C338" s="107"/>
      <c r="D338" s="107"/>
      <c r="E338" s="107"/>
    </row>
    <row r="339" spans="2:5">
      <c r="B339" s="107"/>
      <c r="C339" s="107"/>
      <c r="D339" s="107"/>
      <c r="E339" s="107"/>
    </row>
    <row r="340" spans="2:5">
      <c r="B340" s="107"/>
      <c r="C340" s="107"/>
      <c r="D340" s="107"/>
      <c r="E340" s="107"/>
    </row>
    <row r="341" spans="2:5">
      <c r="B341" s="107"/>
      <c r="C341" s="107"/>
      <c r="D341" s="107"/>
      <c r="E341" s="107"/>
    </row>
    <row r="342" spans="2:5">
      <c r="B342" s="107"/>
      <c r="C342" s="107"/>
      <c r="D342" s="107"/>
      <c r="E342" s="107"/>
    </row>
    <row r="343" spans="2:5">
      <c r="B343" s="107"/>
      <c r="C343" s="107"/>
      <c r="D343" s="107"/>
      <c r="E343" s="107"/>
    </row>
    <row r="344" spans="2:5">
      <c r="B344" s="107"/>
      <c r="C344" s="107"/>
      <c r="D344" s="107"/>
      <c r="E344" s="107"/>
    </row>
    <row r="345" spans="2:5">
      <c r="B345" s="107"/>
      <c r="C345" s="107"/>
      <c r="D345" s="107"/>
      <c r="E345" s="107"/>
    </row>
    <row r="346" spans="2:5">
      <c r="B346" s="107"/>
      <c r="C346" s="107"/>
      <c r="D346" s="107"/>
      <c r="E346" s="107"/>
    </row>
    <row r="347" spans="2:5">
      <c r="B347" s="107"/>
      <c r="C347" s="107"/>
      <c r="D347" s="107"/>
      <c r="E347" s="107"/>
    </row>
    <row r="348" spans="2:5">
      <c r="B348" s="107"/>
      <c r="C348" s="107"/>
      <c r="D348" s="107"/>
      <c r="E348" s="107"/>
    </row>
    <row r="349" spans="2:5">
      <c r="B349" s="107"/>
      <c r="C349" s="107"/>
      <c r="D349" s="107"/>
      <c r="E349" s="107"/>
    </row>
    <row r="350" spans="2:5">
      <c r="B350" s="107"/>
      <c r="C350" s="107"/>
      <c r="D350" s="107"/>
      <c r="E350" s="107"/>
    </row>
    <row r="351" spans="2:5">
      <c r="B351" s="107"/>
      <c r="C351" s="107"/>
      <c r="D351" s="107"/>
      <c r="E351" s="107"/>
    </row>
    <row r="352" spans="2:5">
      <c r="B352" s="107"/>
      <c r="C352" s="107"/>
      <c r="D352" s="107"/>
      <c r="E352" s="107"/>
    </row>
    <row r="353" spans="2:5">
      <c r="B353" s="107"/>
      <c r="C353" s="107"/>
      <c r="D353" s="107"/>
      <c r="E353" s="107"/>
    </row>
    <row r="354" spans="2:5">
      <c r="B354" s="107"/>
      <c r="C354" s="107"/>
      <c r="D354" s="107"/>
      <c r="E354" s="107"/>
    </row>
    <row r="355" spans="2:5">
      <c r="B355" s="107"/>
      <c r="C355" s="107"/>
      <c r="D355" s="107"/>
      <c r="E355" s="107"/>
    </row>
    <row r="356" spans="2:5">
      <c r="B356" s="107"/>
      <c r="C356" s="107"/>
      <c r="D356" s="107"/>
      <c r="E356" s="107"/>
    </row>
  </sheetData>
  <mergeCells count="1">
    <mergeCell ref="C7:C8"/>
  </mergeCells>
  <hyperlinks>
    <hyperlink ref="C4" location="Indice!A1" display="Indice!A1" xr:uid="{00000000-0004-0000-0F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2"/>
  <dimension ref="A1:E29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18.570312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5" hidden="1"/>
    <row r="2" spans="2:5" s="185" customFormat="1" ht="21" customHeight="1">
      <c r="E2" s="163" t="s">
        <v>86</v>
      </c>
    </row>
    <row r="3" spans="2:5" s="185" customFormat="1" ht="15" customHeight="1">
      <c r="E3" s="362" t="s">
        <v>348</v>
      </c>
    </row>
    <row r="4" spans="2:5" s="185" customFormat="1" ht="20.100000000000001" customHeight="1">
      <c r="C4" s="6" t="s">
        <v>47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34" t="s">
        <v>357</v>
      </c>
      <c r="D7" s="190"/>
      <c r="E7" s="190"/>
    </row>
    <row r="8" spans="2:5" s="187" customFormat="1" ht="12.75" customHeight="1">
      <c r="B8" s="186"/>
      <c r="C8" s="534"/>
      <c r="D8" s="190"/>
      <c r="E8" s="191"/>
    </row>
    <row r="9" spans="2:5" s="187" customFormat="1" ht="12.75" customHeight="1">
      <c r="B9" s="186"/>
      <c r="C9" s="534"/>
      <c r="D9" s="190"/>
      <c r="E9" s="191"/>
    </row>
    <row r="10" spans="2:5" s="187" customFormat="1" ht="12.75" customHeight="1">
      <c r="B10" s="186"/>
      <c r="C10" s="534"/>
      <c r="D10" s="190"/>
      <c r="E10" s="191"/>
    </row>
    <row r="11" spans="2:5" s="187" customFormat="1" ht="12.75" customHeight="1">
      <c r="B11" s="186"/>
      <c r="C11" s="214" t="str">
        <f>TEXT('Data 1'!E252,"#.##0")&amp;" MW"</f>
        <v>105.224 MW</v>
      </c>
      <c r="D11" s="190"/>
      <c r="E11" s="191"/>
    </row>
    <row r="12" spans="2:5" s="187" customFormat="1" ht="12.75" customHeight="1">
      <c r="B12" s="186"/>
      <c r="C12" s="192" t="s">
        <v>115</v>
      </c>
      <c r="D12" s="190"/>
      <c r="E12" s="190"/>
    </row>
    <row r="13" spans="2:5" s="187" customFormat="1" ht="12.75" customHeight="1">
      <c r="B13" s="186"/>
      <c r="D13" s="190"/>
      <c r="E13" s="190"/>
    </row>
    <row r="14" spans="2:5" s="187" customFormat="1" ht="12.75" customHeight="1">
      <c r="B14" s="186"/>
      <c r="C14" s="193"/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5" s="187" customFormat="1" ht="12.75" customHeight="1">
      <c r="B17" s="186"/>
      <c r="C17" s="189"/>
      <c r="D17" s="190"/>
      <c r="E17" s="190"/>
    </row>
    <row r="18" spans="2:5" s="187" customFormat="1" ht="12.75" customHeight="1">
      <c r="B18" s="186"/>
      <c r="C18" s="189"/>
      <c r="D18" s="190"/>
      <c r="E18" s="190"/>
    </row>
    <row r="19" spans="2:5" s="187" customFormat="1" ht="12.75" customHeight="1">
      <c r="B19" s="186"/>
      <c r="C19" s="189"/>
      <c r="D19" s="190"/>
      <c r="E19" s="190"/>
    </row>
    <row r="20" spans="2:5" s="187" customFormat="1" ht="12.75" customHeight="1">
      <c r="B20" s="186"/>
      <c r="C20" s="189"/>
      <c r="D20" s="190"/>
      <c r="E20" s="190"/>
    </row>
    <row r="21" spans="2:5" s="187" customFormat="1" ht="12.75" customHeight="1">
      <c r="B21" s="186"/>
      <c r="C21" s="189"/>
      <c r="D21" s="190"/>
      <c r="E21" s="190"/>
    </row>
    <row r="22" spans="2:5" s="187" customFormat="1" ht="12.75" customHeight="1">
      <c r="B22" s="186"/>
      <c r="C22" s="189"/>
      <c r="D22" s="190"/>
      <c r="E22" s="190"/>
    </row>
    <row r="23" spans="2:5">
      <c r="E23" s="196"/>
    </row>
    <row r="24" spans="2:5">
      <c r="C24" s="195"/>
      <c r="E24" s="196"/>
    </row>
    <row r="25" spans="2:5">
      <c r="C25" s="195"/>
    </row>
    <row r="26" spans="2:5">
      <c r="C26" s="195"/>
    </row>
    <row r="29" spans="2:5" ht="12.75" customHeight="1"/>
  </sheetData>
  <mergeCells count="1">
    <mergeCell ref="C7:C10"/>
  </mergeCells>
  <hyperlinks>
    <hyperlink ref="C4" location="Indice!A1" display="Sistema peninsular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3"/>
  <dimension ref="A1:E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18.570312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5" hidden="1"/>
    <row r="2" spans="2:5" s="185" customFormat="1" ht="21" customHeight="1">
      <c r="B2" s="185" t="s">
        <v>35</v>
      </c>
      <c r="E2" s="163" t="s">
        <v>86</v>
      </c>
    </row>
    <row r="3" spans="2:5" s="185" customFormat="1" ht="15" customHeight="1">
      <c r="E3" s="362" t="s">
        <v>348</v>
      </c>
    </row>
    <row r="4" spans="2:5" s="185" customFormat="1" ht="20.100000000000001" customHeight="1">
      <c r="C4" s="108" t="s">
        <v>47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34" t="s">
        <v>358</v>
      </c>
      <c r="D7" s="190"/>
      <c r="E7" s="190"/>
    </row>
    <row r="8" spans="2:5" s="187" customFormat="1" ht="12.75" customHeight="1">
      <c r="B8" s="186"/>
      <c r="C8" s="534"/>
      <c r="D8" s="190"/>
      <c r="E8" s="191"/>
    </row>
    <row r="9" spans="2:5" s="187" customFormat="1" ht="12.75" customHeight="1">
      <c r="B9" s="186"/>
      <c r="C9" s="534"/>
      <c r="D9" s="190"/>
      <c r="E9" s="191"/>
    </row>
    <row r="10" spans="2:5" s="187" customFormat="1" ht="12.75" customHeight="1">
      <c r="B10" s="186"/>
      <c r="C10" s="534"/>
      <c r="D10" s="190"/>
      <c r="E10" s="191"/>
    </row>
    <row r="11" spans="2:5" s="187" customFormat="1" ht="12.75" customHeight="1">
      <c r="B11" s="186"/>
      <c r="C11" s="192" t="s">
        <v>115</v>
      </c>
      <c r="D11" s="190"/>
      <c r="E11" s="191"/>
    </row>
    <row r="12" spans="2:5" s="187" customFormat="1" ht="12.75" customHeight="1">
      <c r="B12" s="186"/>
      <c r="D12" s="190"/>
      <c r="E12" s="190"/>
    </row>
    <row r="13" spans="2:5" s="187" customFormat="1" ht="12.75" customHeight="1">
      <c r="B13" s="186"/>
      <c r="D13" s="190"/>
      <c r="E13" s="190"/>
    </row>
    <row r="14" spans="2:5" s="187" customFormat="1" ht="12.75" customHeight="1">
      <c r="B14" s="186"/>
      <c r="C14" s="193"/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5" s="187" customFormat="1" ht="12.75" customHeight="1">
      <c r="B17" s="186"/>
      <c r="C17" s="189"/>
      <c r="D17" s="190"/>
      <c r="E17" s="190"/>
    </row>
    <row r="18" spans="2:5" s="187" customFormat="1" ht="12.75" customHeight="1">
      <c r="B18" s="186"/>
      <c r="C18" s="189"/>
      <c r="D18" s="190"/>
      <c r="E18" s="190"/>
    </row>
    <row r="19" spans="2:5" s="187" customFormat="1" ht="12.75" customHeight="1">
      <c r="B19" s="186"/>
      <c r="C19" s="189"/>
      <c r="D19" s="190"/>
      <c r="E19" s="190"/>
    </row>
    <row r="20" spans="2:5" s="187" customFormat="1" ht="12.75" customHeight="1">
      <c r="B20" s="186"/>
      <c r="C20" s="189"/>
      <c r="D20" s="190"/>
      <c r="E20" s="190"/>
    </row>
    <row r="21" spans="2:5" s="187" customFormat="1" ht="12.75" customHeight="1">
      <c r="B21" s="186"/>
      <c r="C21" s="189"/>
      <c r="D21" s="190"/>
      <c r="E21" s="190"/>
    </row>
    <row r="22" spans="2:5" s="187" customFormat="1" ht="12.75" customHeight="1">
      <c r="B22" s="186"/>
      <c r="C22" s="189"/>
      <c r="D22" s="190"/>
      <c r="E22" s="211" t="s">
        <v>141</v>
      </c>
    </row>
    <row r="23" spans="2:5">
      <c r="E23" s="196"/>
    </row>
    <row r="24" spans="2:5">
      <c r="C24" s="534" t="s">
        <v>309</v>
      </c>
      <c r="E24" s="196"/>
    </row>
    <row r="25" spans="2:5">
      <c r="C25" s="534"/>
    </row>
    <row r="26" spans="2:5">
      <c r="C26" s="534"/>
    </row>
    <row r="27" spans="2:5">
      <c r="C27" s="534"/>
    </row>
    <row r="28" spans="2:5">
      <c r="C28" s="192" t="s">
        <v>115</v>
      </c>
    </row>
    <row r="29" spans="2:5" ht="12.75" customHeight="1"/>
    <row r="39" spans="5:5">
      <c r="E39" s="211" t="s">
        <v>141</v>
      </c>
    </row>
  </sheetData>
  <mergeCells count="2">
    <mergeCell ref="C7:C10"/>
    <mergeCell ref="C24:C27"/>
  </mergeCells>
  <hyperlinks>
    <hyperlink ref="C4" location="Indice!A1" display="Indice!A1" xr:uid="{00000000-0004-0000-11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36"/>
  <dimension ref="A1:E2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18.570312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5" hidden="1"/>
    <row r="2" spans="2:5" s="185" customFormat="1" ht="21" customHeight="1">
      <c r="E2" s="163" t="s">
        <v>86</v>
      </c>
    </row>
    <row r="3" spans="2:5" s="185" customFormat="1" ht="15" customHeight="1">
      <c r="E3" s="362" t="s">
        <v>348</v>
      </c>
    </row>
    <row r="4" spans="2:5" s="185" customFormat="1" ht="20.100000000000001" customHeight="1">
      <c r="C4" s="108" t="s">
        <v>47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34" t="s">
        <v>359</v>
      </c>
      <c r="D7" s="190"/>
      <c r="E7" s="190"/>
    </row>
    <row r="8" spans="2:5" s="187" customFormat="1" ht="12.75" customHeight="1">
      <c r="B8" s="186"/>
      <c r="C8" s="534"/>
      <c r="D8" s="190"/>
      <c r="E8" s="191"/>
    </row>
    <row r="9" spans="2:5" s="187" customFormat="1" ht="12.75" customHeight="1">
      <c r="B9" s="186"/>
      <c r="C9" s="534"/>
      <c r="D9" s="190"/>
      <c r="E9" s="191"/>
    </row>
    <row r="10" spans="2:5" s="187" customFormat="1" ht="12.75" customHeight="1">
      <c r="B10" s="186"/>
      <c r="C10" s="534"/>
      <c r="D10" s="190"/>
      <c r="E10" s="191"/>
    </row>
    <row r="11" spans="2:5" s="187" customFormat="1" ht="12.75" customHeight="1">
      <c r="B11" s="186"/>
      <c r="C11" s="192" t="s">
        <v>385</v>
      </c>
      <c r="D11" s="190"/>
      <c r="E11" s="191"/>
    </row>
    <row r="12" spans="2:5" s="187" customFormat="1" ht="12.75" customHeight="1">
      <c r="B12" s="186"/>
      <c r="C12" s="501" t="s">
        <v>386</v>
      </c>
      <c r="D12" s="190"/>
      <c r="E12" s="190"/>
    </row>
    <row r="13" spans="2:5" s="187" customFormat="1" ht="12.75" customHeight="1">
      <c r="B13" s="186"/>
      <c r="C13" s="501" t="s">
        <v>279</v>
      </c>
      <c r="D13" s="190"/>
      <c r="E13" s="190"/>
    </row>
    <row r="14" spans="2:5" s="187" customFormat="1" ht="12.75" customHeight="1">
      <c r="B14" s="186"/>
      <c r="C14" s="192" t="s">
        <v>115</v>
      </c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5" s="187" customFormat="1" ht="12.75" customHeight="1">
      <c r="B17" s="186"/>
      <c r="C17" s="189"/>
      <c r="D17" s="190"/>
      <c r="E17" s="190"/>
    </row>
    <row r="18" spans="2:5" s="187" customFormat="1" ht="12.75" customHeight="1">
      <c r="B18" s="186"/>
      <c r="C18" s="189"/>
      <c r="D18" s="190"/>
      <c r="E18" s="190"/>
    </row>
    <row r="19" spans="2:5" s="187" customFormat="1" ht="12.75" customHeight="1">
      <c r="B19" s="186"/>
      <c r="C19" s="189"/>
      <c r="D19" s="190"/>
      <c r="E19" s="190"/>
    </row>
    <row r="20" spans="2:5" s="187" customFormat="1" ht="12.75" customHeight="1">
      <c r="B20" s="186"/>
      <c r="C20" s="189"/>
      <c r="D20" s="190"/>
      <c r="E20" s="190"/>
    </row>
    <row r="21" spans="2:5" s="187" customFormat="1" ht="12.75" customHeight="1">
      <c r="B21" s="186"/>
      <c r="C21" s="189"/>
      <c r="D21" s="190"/>
      <c r="E21" s="190"/>
    </row>
    <row r="22" spans="2:5" s="187" customFormat="1" ht="12.75" customHeight="1">
      <c r="B22" s="186"/>
      <c r="C22" s="189"/>
      <c r="D22" s="190"/>
      <c r="E22" s="211" t="s">
        <v>141</v>
      </c>
    </row>
    <row r="23" spans="2:5">
      <c r="E23" s="196"/>
    </row>
    <row r="24" spans="2:5">
      <c r="C24" s="195"/>
      <c r="E24" s="196"/>
    </row>
    <row r="25" spans="2:5">
      <c r="C25" s="195"/>
    </row>
    <row r="26" spans="2:5">
      <c r="C26" s="195"/>
    </row>
    <row r="29" spans="2:5" ht="12.75" customHeight="1"/>
  </sheetData>
  <mergeCells count="1">
    <mergeCell ref="C7:C10"/>
  </mergeCells>
  <hyperlinks>
    <hyperlink ref="C4" location="Indice!A1" display="Indice!A1" xr:uid="{00000000-0004-0000-1200-000000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35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145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1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8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387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532"/>
      <c r="E10" s="126"/>
    </row>
    <row r="11" spans="3:5" s="121" customFormat="1" ht="12.75" customHeight="1">
      <c r="C11" s="119" t="s">
        <v>388</v>
      </c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14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37">
    <pageSetUpPr autoPageBreaks="0"/>
  </sheetPr>
  <dimension ref="C1:G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155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119" t="s">
        <v>89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39"/>
      <c r="F25" s="240"/>
      <c r="G25" s="240"/>
    </row>
    <row r="26" spans="3:7">
      <c r="F26" s="239"/>
      <c r="G26" s="239"/>
    </row>
    <row r="31" spans="3:7" ht="15" customHeight="1"/>
    <row r="32" spans="3:7" ht="9.75" customHeight="1"/>
  </sheetData>
  <mergeCells count="1">
    <mergeCell ref="C7:C9"/>
  </mergeCells>
  <hyperlinks>
    <hyperlink ref="C4" location="Indice!A1" display="Indice!A1" xr:uid="{00000000-0004-0000-15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9">
    <pageSetUpPr autoPageBreaks="0"/>
  </sheetPr>
  <dimension ref="C1:G32"/>
  <sheetViews>
    <sheetView showGridLines="0" showRowColHeaders="0" topLeftCell="A2" workbookViewId="0">
      <selection activeCell="E3" sqref="E3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157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119" t="s">
        <v>89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40" t="s">
        <v>154</v>
      </c>
      <c r="F25" s="240"/>
      <c r="G25" s="240"/>
    </row>
    <row r="26" spans="3:7">
      <c r="E26" s="239"/>
      <c r="F26" s="239"/>
      <c r="G26" s="239"/>
    </row>
    <row r="31" spans="3:7" ht="15" customHeight="1"/>
    <row r="32" spans="3:7" ht="9.75" customHeight="1"/>
  </sheetData>
  <mergeCells count="1">
    <mergeCell ref="C7:C9"/>
  </mergeCells>
  <hyperlinks>
    <hyperlink ref="C4" location="Indice!A1" display="Indice!A1" xr:uid="{00000000-0004-0000-16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0"/>
  <dimension ref="C1:H1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11.42578125" style="107" customWidth="1"/>
    <col min="6" max="7" width="11.42578125" style="107"/>
    <col min="8" max="8" width="14.5703125" style="107" customWidth="1"/>
    <col min="9" max="16384" width="11.42578125" style="107"/>
  </cols>
  <sheetData>
    <row r="1" spans="3:8" ht="0.6" customHeight="1"/>
    <row r="2" spans="3:8" ht="21" customHeight="1">
      <c r="H2" s="163" t="s">
        <v>86</v>
      </c>
    </row>
    <row r="3" spans="3:8" ht="15" customHeight="1">
      <c r="H3" s="362" t="s">
        <v>348</v>
      </c>
    </row>
    <row r="4" spans="3:8" ht="19.899999999999999" customHeight="1">
      <c r="C4" s="6" t="s">
        <v>47</v>
      </c>
    </row>
    <row r="5" spans="3:8" ht="12.6" customHeight="1"/>
    <row r="7" spans="3:8" ht="12.75" customHeight="1">
      <c r="C7" s="532" t="s">
        <v>85</v>
      </c>
      <c r="E7" s="109"/>
      <c r="F7" s="164"/>
      <c r="G7" s="177"/>
      <c r="H7" s="535" t="s">
        <v>158</v>
      </c>
    </row>
    <row r="8" spans="3:8">
      <c r="C8" s="532"/>
      <c r="E8" s="110"/>
      <c r="F8" s="111" t="s">
        <v>1</v>
      </c>
      <c r="G8" s="111" t="s">
        <v>69</v>
      </c>
      <c r="H8" s="536"/>
    </row>
    <row r="9" spans="3:8">
      <c r="E9" s="10">
        <v>2016</v>
      </c>
      <c r="F9" s="275">
        <v>34666.883405772001</v>
      </c>
      <c r="G9" s="277">
        <v>1.1243663743130567</v>
      </c>
      <c r="H9" s="277">
        <v>37.337980074161706</v>
      </c>
    </row>
    <row r="10" spans="3:8">
      <c r="E10" s="10">
        <v>2017</v>
      </c>
      <c r="F10" s="275">
        <v>15972.007925036</v>
      </c>
      <c r="G10" s="277">
        <v>0.52691726423567176</v>
      </c>
      <c r="H10" s="277">
        <v>99.282426066621127</v>
      </c>
    </row>
    <row r="11" spans="3:8">
      <c r="E11" s="10">
        <v>2018</v>
      </c>
      <c r="F11" s="275">
        <v>37402.772072769498</v>
      </c>
      <c r="G11" s="277">
        <v>1.2821831304208802</v>
      </c>
      <c r="H11" s="277">
        <v>17.172139764732719</v>
      </c>
    </row>
    <row r="12" spans="3:8">
      <c r="E12" s="10">
        <v>2019</v>
      </c>
      <c r="F12" s="275">
        <v>25995.219359015598</v>
      </c>
      <c r="G12" s="277">
        <v>0.88034840036383855</v>
      </c>
      <c r="H12" s="277">
        <v>63.664155556421811</v>
      </c>
    </row>
    <row r="13" spans="3:8">
      <c r="E13" s="278">
        <v>2020</v>
      </c>
      <c r="F13" s="279">
        <v>30512.179243147999</v>
      </c>
      <c r="G13" s="451">
        <v>1.0259073074806695</v>
      </c>
      <c r="H13" s="451">
        <v>44.168507603425468</v>
      </c>
    </row>
    <row r="14" spans="3:8">
      <c r="E14" s="116"/>
      <c r="F14" s="117"/>
      <c r="G14" s="117"/>
      <c r="H14" s="117"/>
    </row>
  </sheetData>
  <mergeCells count="2">
    <mergeCell ref="C7:C8"/>
    <mergeCell ref="H7:H8"/>
  </mergeCells>
  <hyperlinks>
    <hyperlink ref="C4" location="Indice!A1" display="Sistema peninsular" xr:uid="{00000000-0004-0000-17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40">
    <pageSetUpPr autoPageBreaks="0"/>
  </sheetPr>
  <dimension ref="C1:G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360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532"/>
      <c r="E10" s="126"/>
    </row>
    <row r="11" spans="3:5" s="121" customFormat="1" ht="12.75" customHeight="1">
      <c r="C11" s="119" t="s">
        <v>89</v>
      </c>
      <c r="E11" s="126"/>
    </row>
    <row r="12" spans="3:5" s="121" customFormat="1" ht="12.75" customHeight="1"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40"/>
      <c r="F25" s="240"/>
      <c r="G25" s="240"/>
    </row>
    <row r="26" spans="3:7">
      <c r="E26" s="239"/>
      <c r="F26" s="239"/>
      <c r="G26" s="239"/>
    </row>
    <row r="31" spans="3:7" ht="15" customHeight="1"/>
    <row r="32" spans="3:7" ht="9.75" customHeight="1"/>
  </sheetData>
  <mergeCells count="1">
    <mergeCell ref="C7:C10"/>
  </mergeCells>
  <hyperlinks>
    <hyperlink ref="C4" location="Indice!A1" display="Indice!A1" xr:uid="{00000000-0004-0000-18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1"/>
  <dimension ref="C1:J12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14.42578125" style="107" bestFit="1" customWidth="1"/>
    <col min="6" max="16384" width="11.42578125" style="107"/>
  </cols>
  <sheetData>
    <row r="1" spans="3:10" ht="0.6" customHeight="1"/>
    <row r="2" spans="3:10" ht="21" customHeight="1">
      <c r="J2" s="163" t="s">
        <v>86</v>
      </c>
    </row>
    <row r="3" spans="3:10" ht="15" customHeight="1">
      <c r="J3" s="362" t="s">
        <v>348</v>
      </c>
    </row>
    <row r="4" spans="3:10" ht="19.899999999999999" customHeight="1">
      <c r="C4" s="6" t="s">
        <v>47</v>
      </c>
    </row>
    <row r="5" spans="3:10" ht="12.6" customHeight="1"/>
    <row r="7" spans="3:10" ht="12.75" customHeight="1">
      <c r="C7" s="532" t="s">
        <v>361</v>
      </c>
      <c r="E7" s="109"/>
      <c r="F7" s="177"/>
      <c r="G7" s="537">
        <v>2019</v>
      </c>
      <c r="H7" s="537"/>
      <c r="I7" s="537">
        <v>2020</v>
      </c>
      <c r="J7" s="537"/>
    </row>
    <row r="8" spans="3:10">
      <c r="C8" s="532"/>
      <c r="E8" s="110"/>
      <c r="F8" s="111" t="s">
        <v>30</v>
      </c>
      <c r="G8" s="111" t="s">
        <v>1</v>
      </c>
      <c r="H8" s="111" t="s">
        <v>162</v>
      </c>
      <c r="I8" s="111" t="s">
        <v>1</v>
      </c>
      <c r="J8" s="111" t="s">
        <v>162</v>
      </c>
    </row>
    <row r="9" spans="3:10">
      <c r="C9" s="532"/>
      <c r="E9" s="10" t="s">
        <v>207</v>
      </c>
      <c r="F9" s="275">
        <v>8966.8790000000008</v>
      </c>
      <c r="G9" s="275">
        <v>5895.3238307659303</v>
      </c>
      <c r="H9" s="113">
        <f>(G9/F9)*100</f>
        <v>65.745549045168673</v>
      </c>
      <c r="I9" s="275">
        <v>5563.5562531958503</v>
      </c>
      <c r="J9" s="277">
        <f>(I9/F9)*100</f>
        <v>62.04562650166072</v>
      </c>
    </row>
    <row r="10" spans="3:10">
      <c r="E10" s="10" t="s">
        <v>208</v>
      </c>
      <c r="F10" s="275">
        <v>9571.1919999999991</v>
      </c>
      <c r="G10" s="275">
        <v>3556.6090954012102</v>
      </c>
      <c r="H10" s="113">
        <f>(G10/F10)*100</f>
        <v>37.159520939515275</v>
      </c>
      <c r="I10" s="275">
        <v>3855.3741636732402</v>
      </c>
      <c r="J10" s="277">
        <f t="shared" ref="J10:J11" si="0">(I10/F10)*100</f>
        <v>40.281024178318027</v>
      </c>
    </row>
    <row r="11" spans="3:10">
      <c r="E11" s="278" t="s">
        <v>209</v>
      </c>
      <c r="F11" s="279">
        <f>SUM(F9:F10)</f>
        <v>18538.071</v>
      </c>
      <c r="G11" s="279">
        <f>SUM(G9:G10)</f>
        <v>9451.932926167141</v>
      </c>
      <c r="H11" s="280">
        <f>(G11/F11)*100</f>
        <v>50.986604410821066</v>
      </c>
      <c r="I11" s="279">
        <f>SUM(I9:I10)</f>
        <v>9418.9304168690905</v>
      </c>
      <c r="J11" s="281">
        <f t="shared" si="0"/>
        <v>50.808578826076833</v>
      </c>
    </row>
    <row r="12" spans="3:10">
      <c r="E12" s="116"/>
      <c r="F12" s="117"/>
      <c r="G12" s="117"/>
      <c r="H12" s="117"/>
      <c r="I12" s="117"/>
      <c r="J12" s="117"/>
    </row>
  </sheetData>
  <mergeCells count="3">
    <mergeCell ref="G7:H7"/>
    <mergeCell ref="I7:J7"/>
    <mergeCell ref="C7:C9"/>
  </mergeCells>
  <hyperlinks>
    <hyperlink ref="C4" location="Indice!A1" display="Sistema peninsular" xr:uid="{00000000-0004-0000-1900-000000000000}"/>
  </hyperlinks>
  <pageMargins left="0.7" right="0.7" top="0.75" bottom="0.75" header="0.3" footer="0.3"/>
  <pageSetup paperSize="9" orientation="portrait" r:id="rId1"/>
  <ignoredErrors>
    <ignoredError sqref="H1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/>
  </sheetPr>
  <dimension ref="C1:E3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76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210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119" t="s">
        <v>89</v>
      </c>
      <c r="E9" s="126"/>
    </row>
    <row r="10" spans="3:5" s="121" customFormat="1" ht="12.75" customHeight="1"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25" spans="3:5">
      <c r="E25" s="283" t="s">
        <v>211</v>
      </c>
    </row>
    <row r="31" spans="3:5" ht="15" customHeight="1"/>
    <row r="32" spans="3:5" ht="9.75" customHeight="1"/>
  </sheetData>
  <mergeCells count="1">
    <mergeCell ref="C7:C8"/>
  </mergeCells>
  <hyperlinks>
    <hyperlink ref="C4" location="Indice!A1" display="Indice!A1" xr:uid="{00000000-0004-0000-1A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autoPageBreaks="0"/>
  </sheetPr>
  <dimension ref="C1:G3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270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212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119" t="s">
        <v>110</v>
      </c>
      <c r="E9" s="126"/>
    </row>
    <row r="10" spans="3:5" s="121" customFormat="1" ht="12.75" customHeight="1"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71" t="s">
        <v>213</v>
      </c>
      <c r="F25" s="240"/>
      <c r="G25" s="240"/>
    </row>
    <row r="26" spans="3:7">
      <c r="E26" s="285" t="s">
        <v>307</v>
      </c>
      <c r="F26" s="239"/>
      <c r="G26" s="239"/>
    </row>
    <row r="31" spans="3:7" ht="15" customHeight="1"/>
    <row r="32" spans="3:7" ht="9.75" customHeight="1"/>
  </sheetData>
  <mergeCells count="1">
    <mergeCell ref="C7:C8"/>
  </mergeCells>
  <hyperlinks>
    <hyperlink ref="C4" location="Indice!A1" display="Indice!A1" xr:uid="{00000000-0004-0000-1B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C1:J1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26.7109375" style="107" bestFit="1" customWidth="1"/>
    <col min="6" max="8" width="11.42578125" style="107" customWidth="1"/>
    <col min="9" max="16384" width="11.42578125" style="107"/>
  </cols>
  <sheetData>
    <row r="1" spans="3:10" ht="0.6" customHeight="1"/>
    <row r="2" spans="3:10" ht="21" customHeight="1">
      <c r="J2" s="270" t="s">
        <v>86</v>
      </c>
    </row>
    <row r="3" spans="3:10" ht="15" customHeight="1">
      <c r="J3" s="362" t="s">
        <v>348</v>
      </c>
    </row>
    <row r="4" spans="3:10" ht="19.899999999999999" customHeight="1">
      <c r="C4" s="6" t="s">
        <v>47</v>
      </c>
    </row>
    <row r="5" spans="3:10" ht="12.6" customHeight="1"/>
    <row r="7" spans="3:10" ht="12.75" customHeight="1">
      <c r="C7" s="532" t="s">
        <v>214</v>
      </c>
      <c r="E7" s="109"/>
      <c r="F7" s="273"/>
      <c r="G7" s="177"/>
      <c r="H7" s="289"/>
      <c r="I7" s="289"/>
      <c r="J7" s="289"/>
    </row>
    <row r="8" spans="3:10">
      <c r="C8" s="532"/>
      <c r="E8" s="110"/>
      <c r="F8" s="290">
        <v>2016</v>
      </c>
      <c r="G8" s="290">
        <v>2017</v>
      </c>
      <c r="H8" s="291">
        <v>2018</v>
      </c>
      <c r="I8" s="291">
        <v>2019</v>
      </c>
      <c r="J8" s="291" t="s">
        <v>350</v>
      </c>
    </row>
    <row r="9" spans="3:10">
      <c r="C9" s="532"/>
      <c r="E9" s="10" t="s">
        <v>33</v>
      </c>
      <c r="F9" s="275">
        <f>'Data 3'!F29</f>
        <v>21615.888999999999</v>
      </c>
      <c r="G9" s="275">
        <f>'Data 3'!G29</f>
        <v>21724.85</v>
      </c>
      <c r="H9" s="275">
        <f>'Data 3'!H29</f>
        <v>21726.609999999997</v>
      </c>
      <c r="I9" s="275">
        <f>'Data 3'!I29</f>
        <v>21738.015999999996</v>
      </c>
      <c r="J9" s="336">
        <f>'Data 3'!J29</f>
        <v>21753.143999999997</v>
      </c>
    </row>
    <row r="10" spans="3:10">
      <c r="E10" s="10" t="s">
        <v>216</v>
      </c>
      <c r="F10" s="275">
        <f>'Data 3'!F32</f>
        <v>19091.544500000007</v>
      </c>
      <c r="G10" s="275">
        <f>'Data 3'!G32</f>
        <v>19116.907210000008</v>
      </c>
      <c r="H10" s="275">
        <f>'Data 3'!H32</f>
        <v>19192.410210000005</v>
      </c>
      <c r="I10" s="275">
        <f>'Data 3'!I32</f>
        <v>19276.545210000011</v>
      </c>
      <c r="J10" s="336">
        <f>'Data 3'!J32</f>
        <v>19310.05621000001</v>
      </c>
    </row>
    <row r="11" spans="3:10">
      <c r="E11" s="114" t="s">
        <v>215</v>
      </c>
      <c r="F11" s="276">
        <f>'Data 3'!F34</f>
        <v>81525</v>
      </c>
      <c r="G11" s="276">
        <f>'Data 3'!G34</f>
        <v>82075</v>
      </c>
      <c r="H11" s="276">
        <f>'Data 3'!H34</f>
        <v>84357</v>
      </c>
      <c r="I11" s="276">
        <f>'Data 3'!I34</f>
        <v>85157</v>
      </c>
      <c r="J11" s="279">
        <f>'Data 3'!J34</f>
        <v>86077</v>
      </c>
    </row>
    <row r="12" spans="3:10">
      <c r="E12" s="538" t="s">
        <v>213</v>
      </c>
      <c r="F12" s="538"/>
      <c r="G12" s="538"/>
      <c r="H12" s="538"/>
      <c r="I12" s="538"/>
      <c r="J12" s="538"/>
    </row>
    <row r="13" spans="3:10" ht="24" customHeight="1">
      <c r="E13" s="530" t="s">
        <v>308</v>
      </c>
      <c r="F13" s="530"/>
      <c r="G13" s="530"/>
      <c r="H13" s="530"/>
      <c r="I13" s="530"/>
      <c r="J13" s="530"/>
    </row>
    <row r="17" spans="6:10">
      <c r="F17" s="454"/>
      <c r="G17" s="454"/>
      <c r="H17" s="454"/>
      <c r="I17" s="454"/>
      <c r="J17" s="454"/>
    </row>
    <row r="18" spans="6:10">
      <c r="F18" s="454"/>
      <c r="G18" s="454"/>
      <c r="H18" s="454"/>
      <c r="I18" s="454"/>
      <c r="J18" s="454"/>
    </row>
    <row r="19" spans="6:10">
      <c r="F19" s="454"/>
      <c r="G19" s="454"/>
      <c r="H19" s="454"/>
      <c r="I19" s="454"/>
      <c r="J19" s="454"/>
    </row>
  </sheetData>
  <mergeCells count="3">
    <mergeCell ref="C7:C9"/>
    <mergeCell ref="E12:J12"/>
    <mergeCell ref="E13:J13"/>
  </mergeCells>
  <phoneticPr fontId="62" type="noConversion"/>
  <hyperlinks>
    <hyperlink ref="C4" location="Indice!A1" display="Sistema peninsular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C1:J1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7" width="11.42578125" style="107" customWidth="1"/>
    <col min="8" max="9" width="11.42578125" style="107"/>
    <col min="10" max="10" width="11.42578125" style="107" customWidth="1"/>
    <col min="11" max="16384" width="11.42578125" style="107"/>
  </cols>
  <sheetData>
    <row r="1" spans="3:10" ht="0.6" customHeight="1"/>
    <row r="2" spans="3:10" ht="21" customHeight="1">
      <c r="J2" s="270" t="s">
        <v>86</v>
      </c>
    </row>
    <row r="3" spans="3:10" ht="15" customHeight="1">
      <c r="J3" s="362" t="s">
        <v>348</v>
      </c>
    </row>
    <row r="4" spans="3:10" ht="19.899999999999999" customHeight="1">
      <c r="C4" s="6" t="s">
        <v>47</v>
      </c>
    </row>
    <row r="5" spans="3:10" ht="12.6" customHeight="1"/>
    <row r="7" spans="3:10" ht="12.75" customHeight="1">
      <c r="C7" s="532" t="s">
        <v>221</v>
      </c>
      <c r="E7" s="109"/>
      <c r="F7" s="109"/>
      <c r="G7" s="109"/>
      <c r="H7" s="273"/>
      <c r="I7" s="177"/>
      <c r="J7" s="289"/>
    </row>
    <row r="8" spans="3:10">
      <c r="C8" s="532"/>
      <c r="E8" s="110"/>
      <c r="F8" s="292" t="s">
        <v>217</v>
      </c>
      <c r="G8" s="292" t="s">
        <v>218</v>
      </c>
      <c r="H8" s="111" t="s">
        <v>219</v>
      </c>
      <c r="I8" s="111" t="s">
        <v>220</v>
      </c>
      <c r="J8" s="274" t="s">
        <v>32</v>
      </c>
    </row>
    <row r="9" spans="3:10">
      <c r="C9" s="532"/>
      <c r="E9" s="10">
        <v>2016</v>
      </c>
      <c r="F9" s="275">
        <v>7801.5093989999996</v>
      </c>
      <c r="G9" s="275">
        <v>5086.0934020000004</v>
      </c>
      <c r="H9" s="275">
        <v>-278.28113999999999</v>
      </c>
      <c r="I9" s="275">
        <v>-4951.2779700000001</v>
      </c>
      <c r="J9" s="275">
        <f>SUM(F9:I9)</f>
        <v>7658.0436910000017</v>
      </c>
    </row>
    <row r="10" spans="3:10">
      <c r="C10" s="119" t="s">
        <v>89</v>
      </c>
      <c r="E10" s="10">
        <v>2017</v>
      </c>
      <c r="F10" s="275">
        <v>12465.120182000002</v>
      </c>
      <c r="G10" s="275">
        <v>2685.075261</v>
      </c>
      <c r="H10" s="275">
        <v>-233.11395999999999</v>
      </c>
      <c r="I10" s="275">
        <v>-5748.0879599999998</v>
      </c>
      <c r="J10" s="275">
        <f t="shared" ref="J10:J13" si="0">SUM(F10:I10)</f>
        <v>9168.993523000001</v>
      </c>
    </row>
    <row r="11" spans="3:10">
      <c r="E11" s="10">
        <v>2018</v>
      </c>
      <c r="F11" s="275">
        <v>12046.637757999997</v>
      </c>
      <c r="G11" s="275">
        <v>2655.128717999999</v>
      </c>
      <c r="H11" s="275">
        <v>-210.43215000000001</v>
      </c>
      <c r="I11" s="275">
        <v>-3389.0231800000001</v>
      </c>
      <c r="J11" s="275">
        <f t="shared" si="0"/>
        <v>11102.311145999996</v>
      </c>
    </row>
    <row r="12" spans="3:10">
      <c r="E12" s="10">
        <v>2019</v>
      </c>
      <c r="F12" s="275">
        <v>9696.8629279999986</v>
      </c>
      <c r="G12" s="275">
        <v>-3399.073609</v>
      </c>
      <c r="H12" s="275">
        <v>-208.24746999999999</v>
      </c>
      <c r="I12" s="275">
        <v>772.78319999999985</v>
      </c>
      <c r="J12" s="275">
        <f t="shared" si="0"/>
        <v>6862.3250489999982</v>
      </c>
    </row>
    <row r="13" spans="3:10">
      <c r="E13" s="278">
        <v>2020</v>
      </c>
      <c r="F13" s="279">
        <v>5229.2523929999998</v>
      </c>
      <c r="G13" s="279">
        <v>-1456.6833059999999</v>
      </c>
      <c r="H13" s="279">
        <v>-196.12959999999998</v>
      </c>
      <c r="I13" s="279">
        <v>-296.85459999999995</v>
      </c>
      <c r="J13" s="279">
        <f t="shared" si="0"/>
        <v>3279.5848869999995</v>
      </c>
    </row>
    <row r="14" spans="3:10">
      <c r="E14" s="116" t="s">
        <v>222</v>
      </c>
      <c r="F14" s="116"/>
      <c r="G14" s="116"/>
      <c r="H14" s="117"/>
      <c r="I14" s="117"/>
      <c r="J14" s="117"/>
    </row>
  </sheetData>
  <mergeCells count="1">
    <mergeCell ref="C7:C9"/>
  </mergeCells>
  <hyperlinks>
    <hyperlink ref="C4" location="Indice!A1" display="Sistema peninsular" xr:uid="{00000000-0004-0000-1D00-000000000000}"/>
  </hyperlinks>
  <pageMargins left="0.7" right="0.7" top="0.75" bottom="0.75" header="0.3" footer="0.3"/>
  <pageSetup paperSize="9" orientation="portrait" r:id="rId1"/>
  <ignoredErrors>
    <ignoredError sqref="J9:J13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autoPageBreaks="0"/>
  </sheetPr>
  <dimension ref="A1:N44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293" customWidth="1"/>
    <col min="2" max="2" width="2.7109375" style="293" customWidth="1"/>
    <col min="3" max="3" width="23.7109375" style="293" customWidth="1"/>
    <col min="4" max="4" width="1.28515625" style="293" customWidth="1"/>
    <col min="5" max="5" width="80.7109375" style="293" customWidth="1"/>
    <col min="6" max="15" width="11.42578125" style="311"/>
    <col min="16" max="16" width="17.28515625" style="311" customWidth="1"/>
    <col min="17" max="19" width="13.42578125" style="311" customWidth="1"/>
    <col min="20" max="16384" width="11.42578125" style="311"/>
  </cols>
  <sheetData>
    <row r="1" spans="2:14" s="293" customFormat="1" ht="0.75" customHeight="1"/>
    <row r="2" spans="2:14" s="293" customFormat="1" ht="21" customHeight="1">
      <c r="E2" s="270" t="s">
        <v>86</v>
      </c>
    </row>
    <row r="3" spans="2:14" s="293" customFormat="1" ht="15" customHeight="1">
      <c r="E3" s="362" t="s">
        <v>348</v>
      </c>
    </row>
    <row r="4" spans="2:14" s="295" customFormat="1" ht="20.25" customHeight="1">
      <c r="B4" s="294"/>
      <c r="C4" s="108" t="s">
        <v>47</v>
      </c>
    </row>
    <row r="5" spans="2:14" s="295" customFormat="1" ht="12.75" customHeight="1">
      <c r="B5" s="294"/>
      <c r="C5" s="296"/>
      <c r="F5" s="297"/>
      <c r="G5" s="297"/>
      <c r="H5" s="297"/>
      <c r="I5" s="297"/>
      <c r="J5" s="297"/>
      <c r="K5" s="297"/>
      <c r="L5" s="297"/>
      <c r="N5" s="297"/>
    </row>
    <row r="6" spans="2:14" s="295" customFormat="1" ht="13.5" customHeight="1">
      <c r="B6" s="294"/>
      <c r="C6" s="298"/>
      <c r="D6" s="299"/>
      <c r="E6" s="300"/>
      <c r="M6" s="297"/>
    </row>
    <row r="7" spans="2:14" s="295" customFormat="1" ht="13.15" customHeight="1">
      <c r="B7" s="294"/>
      <c r="C7" s="539" t="s">
        <v>362</v>
      </c>
      <c r="D7" s="299"/>
      <c r="E7" s="126"/>
      <c r="H7" s="385"/>
      <c r="I7" s="385"/>
    </row>
    <row r="8" spans="2:14" s="295" customFormat="1">
      <c r="B8" s="294"/>
      <c r="C8" s="539"/>
      <c r="D8" s="299"/>
      <c r="E8" s="126"/>
      <c r="F8" s="297"/>
      <c r="G8" s="297"/>
      <c r="H8" s="385"/>
      <c r="I8" s="385"/>
      <c r="J8" s="297"/>
      <c r="K8" s="297"/>
      <c r="L8" s="297"/>
      <c r="N8" s="297"/>
    </row>
    <row r="9" spans="2:14" s="295" customFormat="1">
      <c r="B9" s="294"/>
      <c r="C9" s="539"/>
      <c r="D9" s="299"/>
      <c r="E9" s="126"/>
      <c r="G9" s="297"/>
      <c r="H9" s="385"/>
      <c r="I9" s="385"/>
      <c r="J9" s="297"/>
    </row>
    <row r="10" spans="2:14" s="295" customFormat="1">
      <c r="B10" s="294"/>
      <c r="C10" s="539"/>
      <c r="D10" s="299"/>
      <c r="E10" s="126"/>
      <c r="G10" s="385"/>
      <c r="H10" s="385"/>
      <c r="I10" s="385"/>
      <c r="J10" s="297"/>
    </row>
    <row r="11" spans="2:14" s="295" customFormat="1">
      <c r="B11" s="294"/>
      <c r="C11" s="303" t="s">
        <v>89</v>
      </c>
      <c r="D11" s="299"/>
      <c r="E11" s="306"/>
      <c r="G11" s="385"/>
      <c r="H11" s="385"/>
      <c r="I11" s="385"/>
      <c r="J11" s="297"/>
    </row>
    <row r="12" spans="2:14" s="295" customFormat="1">
      <c r="B12" s="294"/>
      <c r="C12" s="298"/>
      <c r="D12" s="299"/>
      <c r="E12" s="306"/>
      <c r="G12" s="385"/>
      <c r="H12" s="385"/>
      <c r="I12" s="385"/>
      <c r="J12" s="385"/>
    </row>
    <row r="13" spans="2:14" s="295" customFormat="1">
      <c r="B13" s="294"/>
      <c r="C13" s="298"/>
      <c r="D13" s="299"/>
      <c r="E13" s="306"/>
    </row>
    <row r="14" spans="2:14" s="295" customFormat="1">
      <c r="B14" s="294"/>
      <c r="C14" s="298"/>
      <c r="D14" s="299"/>
      <c r="E14" s="306"/>
      <c r="M14" s="309"/>
    </row>
    <row r="15" spans="2:14" s="295" customFormat="1">
      <c r="B15" s="294"/>
      <c r="C15" s="298"/>
      <c r="D15" s="299"/>
      <c r="E15" s="306"/>
    </row>
    <row r="16" spans="2:14" s="295" customFormat="1">
      <c r="B16" s="294"/>
      <c r="C16" s="298"/>
      <c r="D16" s="299"/>
      <c r="E16" s="306"/>
    </row>
    <row r="17" spans="2:14" s="295" customFormat="1">
      <c r="B17" s="294"/>
      <c r="C17" s="298"/>
      <c r="D17" s="299"/>
      <c r="E17" s="306"/>
      <c r="F17" s="297"/>
      <c r="G17" s="297"/>
      <c r="H17" s="297"/>
      <c r="I17" s="297"/>
      <c r="J17" s="297"/>
      <c r="K17" s="297"/>
      <c r="L17" s="297"/>
      <c r="N17" s="297"/>
    </row>
    <row r="18" spans="2:14" s="295" customFormat="1">
      <c r="B18" s="294"/>
      <c r="C18" s="298"/>
      <c r="D18" s="299"/>
      <c r="E18" s="306"/>
    </row>
    <row r="19" spans="2:14" s="295" customFormat="1">
      <c r="B19" s="294"/>
      <c r="C19" s="298"/>
      <c r="D19" s="299"/>
      <c r="E19" s="306"/>
    </row>
    <row r="20" spans="2:14" s="295" customFormat="1">
      <c r="B20" s="294"/>
      <c r="C20" s="298"/>
      <c r="D20" s="299"/>
      <c r="E20" s="306"/>
    </row>
    <row r="21" spans="2:14" s="295" customFormat="1">
      <c r="B21" s="294"/>
      <c r="C21" s="298"/>
      <c r="D21" s="299"/>
      <c r="E21" s="306"/>
    </row>
    <row r="22" spans="2:14">
      <c r="E22" s="310"/>
      <c r="F22" s="295"/>
      <c r="G22" s="295"/>
      <c r="H22" s="295"/>
      <c r="I22" s="295"/>
      <c r="J22" s="295"/>
      <c r="K22" s="295"/>
      <c r="L22" s="295"/>
      <c r="M22" s="295"/>
      <c r="N22" s="295"/>
    </row>
    <row r="23" spans="2:14">
      <c r="E23" s="310"/>
    </row>
    <row r="24" spans="2:14">
      <c r="E24" s="310"/>
    </row>
    <row r="25" spans="2:14">
      <c r="E25" s="310"/>
    </row>
    <row r="26" spans="2:14">
      <c r="E26" s="310"/>
    </row>
    <row r="27" spans="2:14">
      <c r="E27" s="310"/>
    </row>
    <row r="28" spans="2:14">
      <c r="E28" s="310"/>
      <c r="M28" s="309"/>
    </row>
    <row r="29" spans="2:14">
      <c r="E29" s="310"/>
    </row>
    <row r="30" spans="2:14">
      <c r="E30" s="310"/>
    </row>
    <row r="31" spans="2:14">
      <c r="E31" s="310"/>
    </row>
    <row r="32" spans="2:14">
      <c r="E32" s="310"/>
    </row>
    <row r="33" spans="5:13" ht="16.149999999999999" customHeight="1">
      <c r="E33" s="312"/>
    </row>
    <row r="35" spans="5:13">
      <c r="E35" s="315"/>
    </row>
    <row r="36" spans="5:13" ht="21" customHeight="1"/>
    <row r="37" spans="5:13" ht="12.75" customHeight="1"/>
    <row r="38" spans="5:13">
      <c r="E38" s="316"/>
    </row>
    <row r="39" spans="5:13">
      <c r="M39" s="293"/>
    </row>
    <row r="40" spans="5:13">
      <c r="M40" s="293"/>
    </row>
    <row r="41" spans="5:13">
      <c r="M41" s="293"/>
    </row>
    <row r="42" spans="5:13">
      <c r="M42" s="293"/>
    </row>
    <row r="43" spans="5:13">
      <c r="M43" s="293"/>
    </row>
    <row r="44" spans="5:13">
      <c r="M44" s="293"/>
    </row>
  </sheetData>
  <mergeCells count="1">
    <mergeCell ref="C7:C10"/>
  </mergeCells>
  <hyperlinks>
    <hyperlink ref="C4" location="Indice!A1" display="Intercambios internacionales" xr:uid="{00000000-0004-0000-1E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C1:M17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10" width="11.42578125" style="107" customWidth="1"/>
    <col min="11" max="12" width="11.42578125" style="107"/>
    <col min="13" max="13" width="11.42578125" style="107" customWidth="1"/>
    <col min="14" max="16384" width="11.42578125" style="107"/>
  </cols>
  <sheetData>
    <row r="1" spans="3:13" ht="0.6" customHeight="1"/>
    <row r="2" spans="3:13" ht="21" customHeight="1">
      <c r="M2" s="270" t="s">
        <v>86</v>
      </c>
    </row>
    <row r="3" spans="3:13" ht="15" customHeight="1">
      <c r="M3" s="362" t="s">
        <v>348</v>
      </c>
    </row>
    <row r="4" spans="3:13" ht="19.899999999999999" customHeight="1">
      <c r="C4" s="6" t="s">
        <v>248</v>
      </c>
    </row>
    <row r="5" spans="3:13" ht="12.6" customHeight="1"/>
    <row r="7" spans="3:13" ht="12.75" customHeight="1">
      <c r="C7" s="532" t="s">
        <v>284</v>
      </c>
      <c r="E7" s="109"/>
      <c r="F7" s="540" t="s">
        <v>247</v>
      </c>
      <c r="G7" s="540"/>
      <c r="H7" s="540" t="s">
        <v>36</v>
      </c>
      <c r="I7" s="540"/>
      <c r="J7" s="540" t="s">
        <v>42</v>
      </c>
      <c r="K7" s="540"/>
      <c r="L7" s="541" t="s">
        <v>39</v>
      </c>
      <c r="M7" s="541"/>
    </row>
    <row r="8" spans="3:13">
      <c r="C8" s="532"/>
      <c r="E8" s="110"/>
      <c r="F8" s="111" t="s">
        <v>1</v>
      </c>
      <c r="G8" s="111" t="s">
        <v>113</v>
      </c>
      <c r="H8" s="111" t="s">
        <v>1</v>
      </c>
      <c r="I8" s="111" t="s">
        <v>113</v>
      </c>
      <c r="J8" s="111" t="s">
        <v>1</v>
      </c>
      <c r="K8" s="111" t="s">
        <v>113</v>
      </c>
      <c r="L8" s="111" t="s">
        <v>1</v>
      </c>
      <c r="M8" s="111" t="s">
        <v>113</v>
      </c>
    </row>
    <row r="9" spans="3:13">
      <c r="C9" s="119"/>
      <c r="E9" s="10">
        <v>2016</v>
      </c>
      <c r="F9" s="275">
        <f>'Data 5'!D21</f>
        <v>5823.1906909999998</v>
      </c>
      <c r="G9" s="333">
        <v>0.60853033473056151</v>
      </c>
      <c r="H9" s="275">
        <f>'Data 5'!D38</f>
        <v>8744.1025090000003</v>
      </c>
      <c r="I9" s="333">
        <v>1.2844483930342099</v>
      </c>
      <c r="J9" s="275">
        <f>'Data 5'!D46</f>
        <v>210.68093599999997</v>
      </c>
      <c r="K9" s="333">
        <v>3.2632806414215176</v>
      </c>
      <c r="L9" s="275">
        <f>'Data 5'!D58</f>
        <v>208.28599</v>
      </c>
      <c r="M9" s="333">
        <v>-2.3055957434006791</v>
      </c>
    </row>
    <row r="10" spans="3:13">
      <c r="E10" s="10">
        <v>2017</v>
      </c>
      <c r="F10" s="275">
        <f>'Data 5'!E21</f>
        <v>6016.4160159999992</v>
      </c>
      <c r="G10" s="333">
        <f>((F10/F9)-1)*100</f>
        <v>3.3182036318789576</v>
      </c>
      <c r="H10" s="275">
        <f>'Data 5'!E38</f>
        <v>8931.0630249999995</v>
      </c>
      <c r="I10" s="333">
        <f>((H10/H9)-1)*100</f>
        <v>2.1381327106763326</v>
      </c>
      <c r="J10" s="275">
        <f>'Data 5'!E46</f>
        <v>202.86082999999999</v>
      </c>
      <c r="K10" s="333">
        <f>((J10/J9)-1)*100</f>
        <v>-3.711824215552173</v>
      </c>
      <c r="L10" s="275">
        <f>'Data 5'!E58</f>
        <v>210.42507800000001</v>
      </c>
      <c r="M10" s="333">
        <f>((L10/L9)-1)*100</f>
        <v>1.0269956227012766</v>
      </c>
    </row>
    <row r="11" spans="3:13">
      <c r="E11" s="10">
        <v>2018</v>
      </c>
      <c r="F11" s="275">
        <f>'Data 5'!F21</f>
        <v>6057.4082950000002</v>
      </c>
      <c r="G11" s="333">
        <f t="shared" ref="G11:I13" si="0">((F11/F10)-1)*100</f>
        <v>0.68134050057353512</v>
      </c>
      <c r="H11" s="275">
        <f>'Data 5'!F38</f>
        <v>8841.6471499999989</v>
      </c>
      <c r="I11" s="333">
        <f t="shared" si="0"/>
        <v>-1.0011784123536649</v>
      </c>
      <c r="J11" s="275">
        <f>'Data 5'!F46</f>
        <v>207.356224</v>
      </c>
      <c r="K11" s="333">
        <f t="shared" ref="K11" si="1">((J11/J10)-1)*100</f>
        <v>2.2159990176516597</v>
      </c>
      <c r="L11" s="275">
        <f>'Data 5'!F58</f>
        <v>212.94905599999998</v>
      </c>
      <c r="M11" s="333">
        <f t="shared" ref="M11" si="2">((L11/L10)-1)*100</f>
        <v>1.1994663487780555</v>
      </c>
    </row>
    <row r="12" spans="3:13">
      <c r="E12" s="10">
        <v>2019</v>
      </c>
      <c r="F12" s="275">
        <f>'Data 5'!G21</f>
        <v>6115.2257730000001</v>
      </c>
      <c r="G12" s="333">
        <f t="shared" si="0"/>
        <v>0.95449200688229041</v>
      </c>
      <c r="H12" s="275">
        <f>'Data 5'!G38</f>
        <v>8874.978133999999</v>
      </c>
      <c r="I12" s="333">
        <f t="shared" si="0"/>
        <v>0.37697708848287714</v>
      </c>
      <c r="J12" s="275">
        <f>'Data 5'!G46</f>
        <v>206.04823999999999</v>
      </c>
      <c r="K12" s="333">
        <f t="shared" ref="K12" si="3">((J12/J11)-1)*100</f>
        <v>-0.63079080761039297</v>
      </c>
      <c r="L12" s="275">
        <f>'Data 5'!G58</f>
        <v>210.90462499999998</v>
      </c>
      <c r="M12" s="333">
        <f t="shared" ref="M12" si="4">((L12/L11)-1)*100</f>
        <v>-0.96005638080874922</v>
      </c>
    </row>
    <row r="13" spans="3:13">
      <c r="E13" s="278">
        <v>2020</v>
      </c>
      <c r="F13" s="332">
        <f>'Data 5'!H21</f>
        <v>4941.4516050000002</v>
      </c>
      <c r="G13" s="334">
        <f t="shared" si="0"/>
        <v>-19.194289983248993</v>
      </c>
      <c r="H13" s="332">
        <f>'Data 5'!H38</f>
        <v>7945.4034210000009</v>
      </c>
      <c r="I13" s="334">
        <f t="shared" si="0"/>
        <v>-10.474107079078898</v>
      </c>
      <c r="J13" s="332">
        <f>'Data 5'!H46</f>
        <v>199.19810200000003</v>
      </c>
      <c r="K13" s="334">
        <f t="shared" ref="K13" si="5">((J13/J12)-1)*100</f>
        <v>-3.3245311874539496</v>
      </c>
      <c r="L13" s="332">
        <f>'Data 5'!H58</f>
        <v>208.01021299999999</v>
      </c>
      <c r="M13" s="334">
        <f t="shared" ref="M13" si="6">((L13/L12)-1)*100</f>
        <v>-1.3723795767873748</v>
      </c>
    </row>
    <row r="14" spans="3:13">
      <c r="E14" s="116"/>
      <c r="F14" s="116"/>
      <c r="G14" s="116"/>
      <c r="H14" s="116"/>
      <c r="I14" s="116"/>
      <c r="J14" s="116"/>
      <c r="K14" s="117"/>
      <c r="L14" s="117"/>
      <c r="M14" s="117"/>
    </row>
    <row r="17" spans="6:6">
      <c r="F17" s="360"/>
    </row>
  </sheetData>
  <mergeCells count="5">
    <mergeCell ref="F7:G7"/>
    <mergeCell ref="H7:I7"/>
    <mergeCell ref="J7:K7"/>
    <mergeCell ref="L7:M7"/>
    <mergeCell ref="C7:C8"/>
  </mergeCells>
  <hyperlinks>
    <hyperlink ref="C4" location="Indice!A1" display="Sistemas no peninsulares" xr:uid="{00000000-0004-0000-2100-000000000000}"/>
  </hyperlinks>
  <pageMargins left="0.7" right="0.7" top="0.75" bottom="0.75" header="0.3" footer="0.3"/>
  <pageSetup paperSize="9" orientation="portrait" r:id="rId1"/>
  <ignoredErrors>
    <ignoredError sqref="H10:H13 J10:J13 L10:L13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270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248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285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22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C1:E3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270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248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286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2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270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248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363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532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24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270" t="s">
        <v>86</v>
      </c>
    </row>
    <row r="3" spans="3:5" ht="15" customHeight="1">
      <c r="E3" s="362" t="s">
        <v>348</v>
      </c>
    </row>
    <row r="4" spans="3:5" s="121" customFormat="1" ht="19.899999999999999" customHeight="1">
      <c r="C4" s="108" t="s">
        <v>248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32" t="s">
        <v>364</v>
      </c>
      <c r="E7" s="126"/>
    </row>
    <row r="8" spans="3:5" s="121" customFormat="1" ht="12.75" customHeight="1">
      <c r="C8" s="532"/>
      <c r="E8" s="126"/>
    </row>
    <row r="9" spans="3:5" s="121" customFormat="1" ht="12.75" customHeight="1">
      <c r="C9" s="532"/>
      <c r="E9" s="126"/>
    </row>
    <row r="10" spans="3:5" s="121" customFormat="1" ht="12.75" customHeight="1">
      <c r="C10" s="532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25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C1:K2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11.42578125" style="107" customWidth="1"/>
    <col min="6" max="6" width="11.42578125" style="107"/>
    <col min="7" max="7" width="11.42578125" style="107" customWidth="1"/>
    <col min="8" max="8" width="11.42578125" style="107"/>
    <col min="9" max="9" width="12.7109375" style="107" customWidth="1"/>
    <col min="10" max="16384" width="11.42578125" style="107"/>
  </cols>
  <sheetData>
    <row r="1" spans="3:11" ht="0.6" customHeight="1"/>
    <row r="2" spans="3:11" ht="21" customHeight="1">
      <c r="I2" s="282" t="s">
        <v>86</v>
      </c>
    </row>
    <row r="3" spans="3:11" ht="15" customHeight="1">
      <c r="I3" s="362" t="s">
        <v>348</v>
      </c>
    </row>
    <row r="4" spans="3:11" ht="19.899999999999999" customHeight="1">
      <c r="C4" s="108" t="s">
        <v>248</v>
      </c>
    </row>
    <row r="5" spans="3:11" ht="12.6" customHeight="1"/>
    <row r="7" spans="3:11" ht="12.75" customHeight="1">
      <c r="C7" s="532" t="s">
        <v>365</v>
      </c>
      <c r="E7" s="109"/>
      <c r="F7" s="535" t="s">
        <v>247</v>
      </c>
      <c r="G7" s="535" t="s">
        <v>36</v>
      </c>
      <c r="H7" s="177"/>
      <c r="I7" s="177"/>
    </row>
    <row r="8" spans="3:11" ht="12.75" customHeight="1">
      <c r="C8" s="532"/>
      <c r="E8" s="110"/>
      <c r="F8" s="536"/>
      <c r="G8" s="536"/>
      <c r="H8" s="111" t="s">
        <v>42</v>
      </c>
      <c r="I8" s="111" t="s">
        <v>39</v>
      </c>
    </row>
    <row r="9" spans="3:11">
      <c r="C9" s="532"/>
      <c r="E9" s="10" t="s">
        <v>2</v>
      </c>
      <c r="F9" s="333">
        <f>'Data 5'!L358</f>
        <v>-4.4645970790574534</v>
      </c>
      <c r="G9" s="333">
        <f>'Data 5'!M358</f>
        <v>0.21236796096297805</v>
      </c>
      <c r="H9" s="333">
        <f>'Data 5'!N358</f>
        <v>2.7335584228560528E-2</v>
      </c>
      <c r="I9" s="333">
        <f>'Data 5'!O358</f>
        <v>-3.8719093267601368</v>
      </c>
      <c r="J9" s="360"/>
      <c r="K9" s="393"/>
    </row>
    <row r="10" spans="3:11">
      <c r="C10" s="532"/>
      <c r="E10" s="10" t="s">
        <v>3</v>
      </c>
      <c r="F10" s="333">
        <f>'Data 5'!L359</f>
        <v>-2.867149747049802</v>
      </c>
      <c r="G10" s="333">
        <f>'Data 5'!M359</f>
        <v>4.0214914369911314</v>
      </c>
      <c r="H10" s="333">
        <f>'Data 5'!N359</f>
        <v>-1.5575740781859526</v>
      </c>
      <c r="I10" s="333">
        <f>'Data 5'!O359</f>
        <v>-0.91385300422597293</v>
      </c>
      <c r="J10" s="360"/>
      <c r="K10" s="393"/>
    </row>
    <row r="11" spans="3:11">
      <c r="C11" s="8" t="s">
        <v>115</v>
      </c>
      <c r="E11" s="10" t="s">
        <v>4</v>
      </c>
      <c r="F11" s="333">
        <f>'Data 5'!L360</f>
        <v>-7.5550308181913106</v>
      </c>
      <c r="G11" s="333">
        <f>'Data 5'!M360</f>
        <v>-7.6386342986458526</v>
      </c>
      <c r="H11" s="333">
        <f>'Data 5'!N360</f>
        <v>6.0012404933429409E-2</v>
      </c>
      <c r="I11" s="333">
        <f>'Data 5'!O360</f>
        <v>-5.332713997191318</v>
      </c>
      <c r="J11" s="360"/>
      <c r="K11" s="393"/>
    </row>
    <row r="12" spans="3:11">
      <c r="C12" s="8"/>
      <c r="E12" s="10" t="s">
        <v>5</v>
      </c>
      <c r="F12" s="333">
        <f>'Data 5'!L361</f>
        <v>-27.933095352635473</v>
      </c>
      <c r="G12" s="333">
        <f>'Data 5'!M361</f>
        <v>-21.773599789949159</v>
      </c>
      <c r="H12" s="333">
        <f>'Data 5'!N361</f>
        <v>2.0367589872318126</v>
      </c>
      <c r="I12" s="333">
        <f>'Data 5'!O361</f>
        <v>-4.2017599310978042</v>
      </c>
      <c r="J12" s="360"/>
      <c r="K12" s="393"/>
    </row>
    <row r="13" spans="3:11">
      <c r="C13" s="8"/>
      <c r="E13" s="10" t="s">
        <v>6</v>
      </c>
      <c r="F13" s="333">
        <f>'Data 5'!L362</f>
        <v>-31.412936314881911</v>
      </c>
      <c r="G13" s="333">
        <f>'Data 5'!M362</f>
        <v>-19.783630000234488</v>
      </c>
      <c r="H13" s="333">
        <f>'Data 5'!N362</f>
        <v>-5.5276019277120003</v>
      </c>
      <c r="I13" s="333">
        <f>'Data 5'!O362</f>
        <v>-8.1557093250112622</v>
      </c>
      <c r="J13" s="360"/>
      <c r="K13" s="393"/>
    </row>
    <row r="14" spans="3:11">
      <c r="C14" s="8"/>
      <c r="E14" s="10" t="s">
        <v>7</v>
      </c>
      <c r="F14" s="333">
        <f>'Data 5'!L363</f>
        <v>-33.141950519955479</v>
      </c>
      <c r="G14" s="333">
        <f>'Data 5'!M363</f>
        <v>-15.674393052408664</v>
      </c>
      <c r="H14" s="333">
        <f>'Data 5'!N363</f>
        <v>-4.8239723032459718</v>
      </c>
      <c r="I14" s="333">
        <f>'Data 5'!O363</f>
        <v>-2.1163432228650247</v>
      </c>
      <c r="J14" s="360"/>
      <c r="K14" s="393"/>
    </row>
    <row r="15" spans="3:11">
      <c r="C15" s="8"/>
      <c r="E15" s="10" t="s">
        <v>8</v>
      </c>
      <c r="F15" s="333">
        <f>'Data 5'!L364</f>
        <v>-26.485517096340484</v>
      </c>
      <c r="G15" s="333">
        <f>'Data 5'!M364</f>
        <v>-11.238827749262835</v>
      </c>
      <c r="H15" s="333">
        <f>'Data 5'!N364</f>
        <v>-1.4723799263271276</v>
      </c>
      <c r="I15" s="333">
        <f>'Data 5'!O364</f>
        <v>5.8012308747117824</v>
      </c>
      <c r="J15" s="360"/>
      <c r="K15" s="393"/>
    </row>
    <row r="16" spans="3:11">
      <c r="C16" s="8"/>
      <c r="E16" s="10" t="s">
        <v>9</v>
      </c>
      <c r="F16" s="333">
        <f>'Data 5'!L365</f>
        <v>-19.683767191678037</v>
      </c>
      <c r="G16" s="333">
        <f>'Data 5'!M365</f>
        <v>-9.6580973846203122</v>
      </c>
      <c r="H16" s="333">
        <f>'Data 5'!N365</f>
        <v>-3.0002433465619704</v>
      </c>
      <c r="I16" s="333">
        <f>'Data 5'!O365</f>
        <v>4.9321664678883659</v>
      </c>
      <c r="J16" s="360"/>
      <c r="K16" s="393"/>
    </row>
    <row r="17" spans="3:11">
      <c r="C17" s="8"/>
      <c r="E17" s="10" t="s">
        <v>10</v>
      </c>
      <c r="F17" s="333">
        <f>'Data 5'!L366</f>
        <v>-29.542309831521919</v>
      </c>
      <c r="G17" s="333">
        <f>'Data 5'!M366</f>
        <v>-9.0137272663007533</v>
      </c>
      <c r="H17" s="333">
        <f>'Data 5'!N366</f>
        <v>-4.39583473927242</v>
      </c>
      <c r="I17" s="333">
        <f>'Data 5'!O366</f>
        <v>0.83631710783105273</v>
      </c>
      <c r="J17" s="360"/>
      <c r="K17" s="393"/>
    </row>
    <row r="18" spans="3:11">
      <c r="C18" s="8"/>
      <c r="E18" s="10" t="s">
        <v>11</v>
      </c>
      <c r="F18" s="333">
        <f>'Data 5'!L367</f>
        <v>-24.970314236127411</v>
      </c>
      <c r="G18" s="333">
        <f>'Data 5'!M367</f>
        <v>-12.826479500788768</v>
      </c>
      <c r="H18" s="333">
        <f>'Data 5'!N367</f>
        <v>-8.9046944641146162</v>
      </c>
      <c r="I18" s="333">
        <f>'Data 5'!O367</f>
        <v>-5.4585461134775359</v>
      </c>
      <c r="J18" s="360"/>
      <c r="K18" s="393"/>
    </row>
    <row r="19" spans="3:11">
      <c r="C19" s="8"/>
      <c r="E19" s="10" t="s">
        <v>12</v>
      </c>
      <c r="F19" s="333">
        <f>'Data 5'!L368</f>
        <v>-11.697525468855829</v>
      </c>
      <c r="G19" s="333">
        <f>'Data 5'!M368</f>
        <v>-11.237706297221727</v>
      </c>
      <c r="H19" s="333">
        <f>'Data 5'!N368</f>
        <v>-7.9537079514290454</v>
      </c>
      <c r="I19" s="333">
        <f>'Data 5'!O368</f>
        <v>-3.7868525167073286</v>
      </c>
      <c r="J19" s="360"/>
      <c r="K19" s="393"/>
    </row>
    <row r="20" spans="3:11">
      <c r="E20" s="114" t="s">
        <v>13</v>
      </c>
      <c r="F20" s="342">
        <f>'Data 5'!L369</f>
        <v>3.586449360999544</v>
      </c>
      <c r="G20" s="342">
        <f>'Data 5'!M369</f>
        <v>-11.003710680973578</v>
      </c>
      <c r="H20" s="342">
        <f>'Data 5'!N369</f>
        <v>-3.7107835434703862</v>
      </c>
      <c r="I20" s="342">
        <f>'Data 5'!O369</f>
        <v>2.7045954970432495</v>
      </c>
      <c r="J20" s="360"/>
      <c r="K20" s="393"/>
    </row>
    <row r="21" spans="3:11">
      <c r="E21" s="116" t="s">
        <v>261</v>
      </c>
      <c r="F21" s="117"/>
      <c r="G21" s="117"/>
      <c r="H21" s="117"/>
      <c r="I21" s="117"/>
      <c r="K21" s="393"/>
    </row>
  </sheetData>
  <mergeCells count="3">
    <mergeCell ref="C7:C10"/>
    <mergeCell ref="F7:F8"/>
    <mergeCell ref="G7:G8"/>
  </mergeCells>
  <hyperlinks>
    <hyperlink ref="C4" location="Indice!A1" display="Sistemas no peninsulares" xr:uid="{00000000-0004-0000-26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X356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32" customWidth="1"/>
    <col min="2" max="2" width="2.7109375" style="120" customWidth="1"/>
    <col min="3" max="3" width="23.7109375" style="120" customWidth="1"/>
    <col min="4" max="4" width="1.28515625" style="120" customWidth="1"/>
    <col min="5" max="5" width="11.42578125" style="120" customWidth="1"/>
    <col min="6" max="6" width="12.7109375" style="120" customWidth="1"/>
    <col min="7" max="7" width="25.7109375" style="120" customWidth="1"/>
    <col min="8" max="8" width="11.42578125" style="120" customWidth="1"/>
    <col min="9" max="9" width="25.7109375" style="120" customWidth="1"/>
    <col min="10" max="10" width="12.7109375" style="120" customWidth="1"/>
    <col min="11" max="12" width="11.42578125" style="132"/>
    <col min="13" max="13" width="22.42578125" style="132" bestFit="1" customWidth="1"/>
    <col min="14" max="16384" width="11.42578125" style="132"/>
  </cols>
  <sheetData>
    <row r="1" spans="3:24" s="120" customFormat="1" ht="0.6" customHeight="1"/>
    <row r="2" spans="3:24" s="120" customFormat="1" ht="21" customHeight="1">
      <c r="K2" s="282" t="s">
        <v>86</v>
      </c>
    </row>
    <row r="3" spans="3:24" s="120" customFormat="1" ht="15" customHeight="1">
      <c r="K3" s="362" t="s">
        <v>348</v>
      </c>
    </row>
    <row r="4" spans="3:24" s="121" customFormat="1" ht="20.100000000000001" customHeight="1">
      <c r="C4" s="108" t="s">
        <v>248</v>
      </c>
      <c r="D4" s="108"/>
      <c r="E4" s="108"/>
      <c r="F4" s="108"/>
      <c r="G4" s="108"/>
      <c r="H4" s="108"/>
      <c r="I4" s="108"/>
    </row>
    <row r="5" spans="3:24" s="121" customFormat="1" ht="12.6" customHeight="1">
      <c r="C5" s="122"/>
      <c r="D5" s="123"/>
      <c r="E5" s="123"/>
      <c r="F5" s="123"/>
      <c r="G5" s="123"/>
      <c r="H5" s="123"/>
      <c r="I5" s="123"/>
    </row>
    <row r="6" spans="3:24" s="121" customFormat="1" ht="13.5" customHeight="1">
      <c r="C6" s="122"/>
      <c r="D6" s="124"/>
      <c r="E6" s="124"/>
      <c r="F6" s="124"/>
      <c r="G6" s="124"/>
      <c r="H6" s="124"/>
      <c r="I6" s="124"/>
      <c r="J6" s="125"/>
    </row>
    <row r="7" spans="3:24" s="121" customFormat="1" ht="12.75" customHeight="1">
      <c r="C7" s="532" t="s">
        <v>366</v>
      </c>
      <c r="E7" s="345"/>
      <c r="F7" s="126"/>
      <c r="G7" s="345"/>
      <c r="H7" s="345"/>
      <c r="I7" s="345"/>
      <c r="J7" s="126"/>
      <c r="K7" s="345"/>
      <c r="L7" s="184"/>
      <c r="M7" s="184"/>
      <c r="N7" s="184"/>
      <c r="O7" s="184"/>
      <c r="P7" s="184"/>
    </row>
    <row r="8" spans="3:24" s="121" customFormat="1" ht="12.75" customHeight="1">
      <c r="C8" s="532"/>
      <c r="E8" s="345"/>
      <c r="F8" s="126"/>
      <c r="G8" s="347" t="s">
        <v>265</v>
      </c>
      <c r="H8" s="126"/>
      <c r="I8" s="347" t="s">
        <v>266</v>
      </c>
      <c r="J8" s="126"/>
      <c r="K8" s="345"/>
      <c r="L8" s="184"/>
      <c r="M8" s="184"/>
      <c r="N8" s="184"/>
      <c r="O8" s="184"/>
      <c r="P8" s="184"/>
    </row>
    <row r="9" spans="3:24" s="121" customFormat="1" ht="12.75" customHeight="1">
      <c r="C9" s="532"/>
      <c r="E9" s="345"/>
      <c r="F9" s="126"/>
      <c r="G9" s="126"/>
      <c r="H9" s="126"/>
      <c r="I9" s="126"/>
      <c r="J9" s="126"/>
      <c r="K9" s="345"/>
      <c r="L9" s="184"/>
      <c r="M9" s="184"/>
      <c r="N9" s="184"/>
      <c r="O9" s="184"/>
      <c r="P9" s="184"/>
    </row>
    <row r="10" spans="3:24" s="121" customFormat="1" ht="12.75" customHeight="1">
      <c r="C10" s="8" t="s">
        <v>263</v>
      </c>
      <c r="E10" s="345"/>
      <c r="F10" s="126"/>
      <c r="G10" s="344" t="s">
        <v>64</v>
      </c>
      <c r="H10" s="126"/>
      <c r="I10" s="346" t="s">
        <v>264</v>
      </c>
      <c r="J10" s="126"/>
      <c r="K10" s="351"/>
      <c r="L10" s="184"/>
      <c r="M10" s="184"/>
      <c r="N10" s="184"/>
      <c r="O10" s="184"/>
      <c r="P10" s="184"/>
      <c r="Q10" s="128"/>
      <c r="T10" s="128"/>
      <c r="U10" s="128"/>
      <c r="V10" s="128"/>
      <c r="W10" s="128"/>
      <c r="X10" s="128"/>
    </row>
    <row r="11" spans="3:24" s="121" customFormat="1" ht="12.75" customHeight="1">
      <c r="C11" s="122"/>
      <c r="D11" s="127"/>
      <c r="E11" s="335"/>
      <c r="F11" s="345"/>
      <c r="G11" s="345"/>
      <c r="H11" s="343"/>
      <c r="I11" s="343"/>
      <c r="J11" s="126"/>
      <c r="K11" s="351"/>
      <c r="L11" s="184"/>
      <c r="M11" s="184"/>
      <c r="N11" s="184"/>
      <c r="O11" s="184"/>
      <c r="P11" s="184"/>
      <c r="Q11" s="128"/>
      <c r="T11" s="128"/>
      <c r="U11" s="128"/>
      <c r="V11" s="128"/>
      <c r="W11" s="128"/>
      <c r="X11" s="128"/>
    </row>
    <row r="12" spans="3:24" s="121" customFormat="1" ht="12.75" customHeight="1">
      <c r="C12" s="122"/>
      <c r="D12" s="129"/>
      <c r="E12" s="348"/>
      <c r="F12" s="472">
        <v>893.08199999999999</v>
      </c>
      <c r="G12" s="474" t="s">
        <v>412</v>
      </c>
      <c r="H12" s="542" t="s">
        <v>37</v>
      </c>
      <c r="I12" s="470" t="s">
        <v>418</v>
      </c>
      <c r="J12" s="468">
        <v>16011.306</v>
      </c>
      <c r="K12" s="351"/>
      <c r="L12" s="184"/>
      <c r="M12" s="184"/>
      <c r="N12" s="184"/>
      <c r="O12" s="184"/>
      <c r="P12" s="184"/>
      <c r="Q12" s="128"/>
      <c r="T12" s="128"/>
      <c r="U12" s="128"/>
      <c r="V12" s="128"/>
      <c r="W12" s="128"/>
      <c r="X12" s="128"/>
    </row>
    <row r="13" spans="3:24" s="121" customFormat="1" ht="12.75" customHeight="1">
      <c r="C13" s="122"/>
      <c r="D13" s="130"/>
      <c r="E13" s="349"/>
      <c r="F13" s="473">
        <v>1087.827</v>
      </c>
      <c r="G13" s="475" t="s">
        <v>413</v>
      </c>
      <c r="H13" s="542"/>
      <c r="I13" s="471" t="s">
        <v>419</v>
      </c>
      <c r="J13" s="469">
        <v>21277.375</v>
      </c>
      <c r="K13" s="351"/>
      <c r="L13" s="184"/>
      <c r="M13" s="184"/>
      <c r="N13" s="184"/>
      <c r="O13" s="184"/>
      <c r="P13" s="184"/>
      <c r="Q13" s="128"/>
      <c r="T13" s="128"/>
      <c r="U13" s="128"/>
      <c r="V13" s="128"/>
      <c r="W13" s="128"/>
      <c r="X13" s="128"/>
    </row>
    <row r="14" spans="3:24" s="121" customFormat="1" ht="12.75" customHeight="1">
      <c r="C14" s="122"/>
      <c r="D14" s="124"/>
      <c r="E14" s="350"/>
      <c r="F14" s="126"/>
      <c r="G14" s="389"/>
      <c r="H14" s="345"/>
      <c r="I14" s="390"/>
      <c r="J14" s="126"/>
      <c r="K14" s="351"/>
      <c r="L14" s="184"/>
      <c r="M14" s="184"/>
      <c r="N14" s="184"/>
      <c r="O14" s="184"/>
      <c r="P14" s="184"/>
      <c r="Q14" s="128"/>
      <c r="T14" s="128"/>
      <c r="U14" s="128"/>
      <c r="V14" s="128"/>
      <c r="W14" s="128"/>
      <c r="X14" s="128"/>
    </row>
    <row r="15" spans="3:24" s="121" customFormat="1" ht="12.75" customHeight="1">
      <c r="C15" s="122"/>
      <c r="D15" s="124"/>
      <c r="E15" s="350"/>
      <c r="F15" s="472">
        <v>1350.723</v>
      </c>
      <c r="G15" s="474" t="s">
        <v>337</v>
      </c>
      <c r="H15" s="542" t="s">
        <v>38</v>
      </c>
      <c r="I15" s="470" t="s">
        <v>420</v>
      </c>
      <c r="J15" s="468">
        <v>25412.02</v>
      </c>
      <c r="K15" s="351"/>
      <c r="L15" s="184"/>
      <c r="M15" s="184"/>
      <c r="N15" s="184"/>
      <c r="O15" s="184"/>
      <c r="P15" s="184"/>
      <c r="Q15" s="128"/>
      <c r="T15" s="128"/>
      <c r="U15" s="128"/>
      <c r="V15" s="128"/>
      <c r="W15" s="128"/>
      <c r="X15" s="128"/>
    </row>
    <row r="16" spans="3:24" s="121" customFormat="1" ht="12.75" customHeight="1">
      <c r="C16" s="122"/>
      <c r="D16" s="124"/>
      <c r="E16" s="350"/>
      <c r="F16" s="473">
        <v>1339.2139999999999</v>
      </c>
      <c r="G16" s="475" t="s">
        <v>414</v>
      </c>
      <c r="H16" s="542"/>
      <c r="I16" s="471" t="s">
        <v>421</v>
      </c>
      <c r="J16" s="469">
        <v>26244.187000000002</v>
      </c>
      <c r="K16" s="345"/>
      <c r="L16" s="184"/>
      <c r="M16" s="184"/>
      <c r="N16" s="184"/>
      <c r="O16" s="184"/>
      <c r="P16" s="184"/>
    </row>
    <row r="17" spans="2:24" s="121" customFormat="1" ht="12.75" customHeight="1">
      <c r="C17" s="122"/>
      <c r="D17" s="124"/>
      <c r="E17" s="350"/>
      <c r="F17" s="126"/>
      <c r="G17" s="389"/>
      <c r="H17" s="343"/>
      <c r="I17" s="364"/>
      <c r="J17" s="126"/>
      <c r="K17" s="345"/>
      <c r="L17" s="184"/>
      <c r="M17" s="184"/>
      <c r="N17" s="184"/>
      <c r="O17" s="184"/>
      <c r="P17" s="184"/>
    </row>
    <row r="18" spans="2:24" s="121" customFormat="1" ht="12.75" customHeight="1">
      <c r="C18" s="122"/>
      <c r="D18" s="124"/>
      <c r="E18" s="350"/>
      <c r="F18" s="472">
        <v>33.786999999999999</v>
      </c>
      <c r="G18" s="474" t="s">
        <v>415</v>
      </c>
      <c r="H18" s="542" t="s">
        <v>42</v>
      </c>
      <c r="I18" s="470" t="s">
        <v>334</v>
      </c>
      <c r="J18" s="468">
        <v>627.279</v>
      </c>
      <c r="K18" s="345"/>
      <c r="L18" s="184"/>
      <c r="M18" s="184"/>
      <c r="N18" s="184"/>
      <c r="O18" s="184"/>
      <c r="P18" s="184"/>
    </row>
    <row r="19" spans="2:24" s="121" customFormat="1" ht="12.75" customHeight="1">
      <c r="C19" s="122"/>
      <c r="D19" s="124"/>
      <c r="E19" s="350"/>
      <c r="F19" s="473">
        <v>33.149000000000001</v>
      </c>
      <c r="G19" s="475" t="s">
        <v>416</v>
      </c>
      <c r="H19" s="542"/>
      <c r="I19" s="471" t="s">
        <v>422</v>
      </c>
      <c r="J19" s="469">
        <v>634.476</v>
      </c>
      <c r="K19" s="345"/>
      <c r="L19" s="184"/>
      <c r="M19" s="184"/>
      <c r="N19" s="184"/>
      <c r="O19" s="184"/>
      <c r="P19" s="184"/>
    </row>
    <row r="20" spans="2:24" s="121" customFormat="1" ht="12.75" customHeight="1">
      <c r="C20" s="122"/>
      <c r="D20" s="124"/>
      <c r="E20" s="350"/>
      <c r="F20" s="126"/>
      <c r="G20" s="389"/>
      <c r="H20" s="343"/>
      <c r="I20" s="364"/>
      <c r="J20" s="126"/>
      <c r="K20" s="345"/>
      <c r="L20" s="184"/>
      <c r="M20" s="184"/>
      <c r="N20" s="184"/>
      <c r="O20" s="184"/>
      <c r="P20" s="184"/>
    </row>
    <row r="21" spans="2:24" s="121" customFormat="1" ht="12.75" customHeight="1">
      <c r="C21" s="122"/>
      <c r="D21" s="124"/>
      <c r="E21" s="350"/>
      <c r="F21" s="472">
        <v>34.840000000000003</v>
      </c>
      <c r="G21" s="474" t="s">
        <v>415</v>
      </c>
      <c r="H21" s="542" t="s">
        <v>39</v>
      </c>
      <c r="I21" s="470" t="s">
        <v>420</v>
      </c>
      <c r="J21" s="468">
        <v>625.87400000000002</v>
      </c>
      <c r="K21" s="345"/>
      <c r="L21" s="184"/>
      <c r="M21" s="184"/>
      <c r="N21" s="184"/>
      <c r="O21" s="184"/>
      <c r="P21" s="184"/>
    </row>
    <row r="22" spans="2:24" ht="12.75" customHeight="1">
      <c r="B22" s="121"/>
      <c r="C22" s="122"/>
      <c r="D22" s="127"/>
      <c r="E22" s="335"/>
      <c r="F22" s="473">
        <v>41.356000000000002</v>
      </c>
      <c r="G22" s="475" t="s">
        <v>417</v>
      </c>
      <c r="H22" s="542"/>
      <c r="I22" s="471" t="s">
        <v>423</v>
      </c>
      <c r="J22" s="469">
        <v>798.75300000000004</v>
      </c>
      <c r="K22" s="352"/>
    </row>
    <row r="23" spans="2:24" ht="12.75" customHeight="1">
      <c r="B23" s="121"/>
      <c r="C23" s="122"/>
      <c r="D23" s="127"/>
      <c r="E23" s="335"/>
      <c r="F23" s="131"/>
      <c r="G23" s="131"/>
      <c r="H23" s="131"/>
      <c r="I23" s="131"/>
      <c r="J23" s="131"/>
      <c r="K23" s="352"/>
    </row>
    <row r="24" spans="2:24" ht="12.75" customHeight="1">
      <c r="B24" s="107"/>
      <c r="C24" s="107"/>
      <c r="D24" s="107"/>
      <c r="E24" s="234"/>
      <c r="F24" s="234"/>
      <c r="G24" s="234"/>
      <c r="H24" s="234"/>
      <c r="I24" s="234"/>
      <c r="J24" s="234"/>
      <c r="K24" s="352"/>
    </row>
    <row r="25" spans="2:24" ht="12.75" customHeight="1">
      <c r="B25" s="107"/>
      <c r="C25" s="107"/>
      <c r="D25" s="107"/>
      <c r="E25" s="107"/>
      <c r="F25" s="107"/>
      <c r="G25" s="107"/>
      <c r="H25" s="107"/>
      <c r="I25" s="107"/>
      <c r="J25" s="107"/>
      <c r="O25" s="107"/>
      <c r="T25" s="107"/>
      <c r="U25" s="107"/>
      <c r="V25" s="107"/>
      <c r="W25" s="107"/>
      <c r="X25" s="107"/>
    </row>
    <row r="26" spans="2:24" ht="12.75" customHeight="1">
      <c r="B26" s="107"/>
      <c r="C26" s="107"/>
      <c r="D26" s="107"/>
      <c r="E26" s="107"/>
      <c r="F26" s="107"/>
      <c r="G26" s="107"/>
      <c r="H26" s="107"/>
      <c r="I26" s="107"/>
      <c r="J26" s="107"/>
      <c r="O26" s="133"/>
      <c r="T26" s="133"/>
      <c r="U26" s="133"/>
      <c r="V26" s="133"/>
      <c r="W26" s="133"/>
      <c r="X26" s="133"/>
    </row>
    <row r="27" spans="2:24">
      <c r="B27" s="107"/>
      <c r="C27" s="107"/>
      <c r="D27" s="107"/>
      <c r="E27" s="107"/>
      <c r="F27" s="107"/>
      <c r="G27" s="107"/>
      <c r="H27" s="107"/>
      <c r="I27" s="107"/>
      <c r="J27" s="107"/>
      <c r="O27" s="133"/>
      <c r="T27" s="133"/>
      <c r="U27" s="133"/>
      <c r="V27" s="133"/>
      <c r="W27" s="133"/>
      <c r="X27" s="133"/>
    </row>
    <row r="28" spans="2:24">
      <c r="B28" s="107"/>
      <c r="C28" s="107"/>
      <c r="D28" s="107"/>
      <c r="E28" s="107"/>
      <c r="F28" s="107"/>
      <c r="G28" s="107"/>
      <c r="H28" s="107"/>
      <c r="I28" s="107"/>
      <c r="J28" s="107"/>
      <c r="O28" s="133"/>
      <c r="T28" s="133"/>
      <c r="U28" s="133"/>
      <c r="V28" s="133"/>
      <c r="W28" s="133"/>
      <c r="X28" s="133"/>
    </row>
    <row r="29" spans="2:24">
      <c r="B29" s="107"/>
      <c r="C29" s="107"/>
      <c r="D29" s="107"/>
      <c r="E29" s="107"/>
      <c r="F29" s="107"/>
      <c r="G29" s="107"/>
      <c r="H29" s="107"/>
      <c r="I29" s="107"/>
      <c r="J29" s="107"/>
      <c r="O29" s="133"/>
      <c r="T29" s="133"/>
      <c r="U29" s="133"/>
      <c r="V29" s="133"/>
      <c r="W29" s="133"/>
      <c r="X29" s="133"/>
    </row>
    <row r="30" spans="2:24">
      <c r="B30" s="107"/>
      <c r="C30" s="107"/>
      <c r="D30" s="107"/>
      <c r="E30" s="107"/>
      <c r="F30" s="107"/>
      <c r="G30" s="107"/>
      <c r="H30" s="107"/>
      <c r="I30" s="107"/>
      <c r="J30" s="107"/>
      <c r="O30" s="133"/>
      <c r="T30" s="133"/>
      <c r="U30" s="133"/>
      <c r="V30" s="133"/>
      <c r="W30" s="133"/>
      <c r="X30" s="133"/>
    </row>
    <row r="31" spans="2:24">
      <c r="B31" s="107"/>
      <c r="C31" s="107"/>
      <c r="D31" s="107"/>
      <c r="E31" s="107"/>
      <c r="F31" s="107"/>
      <c r="G31" s="107"/>
      <c r="H31" s="107"/>
      <c r="I31" s="107"/>
      <c r="J31" s="107"/>
    </row>
    <row r="32" spans="2:24">
      <c r="B32" s="107"/>
      <c r="C32" s="107"/>
      <c r="D32" s="107"/>
      <c r="E32" s="107"/>
      <c r="F32" s="107"/>
      <c r="G32" s="107"/>
      <c r="H32" s="107"/>
      <c r="I32" s="107"/>
      <c r="J32" s="107"/>
    </row>
    <row r="33" spans="2:10">
      <c r="B33" s="107"/>
      <c r="C33" s="107"/>
      <c r="D33" s="107"/>
      <c r="E33" s="107"/>
      <c r="F33" s="107"/>
      <c r="G33" s="107"/>
      <c r="H33" s="107"/>
      <c r="I33" s="107"/>
      <c r="J33" s="107"/>
    </row>
    <row r="34" spans="2:10">
      <c r="B34" s="107"/>
      <c r="C34" s="107"/>
      <c r="D34" s="107"/>
      <c r="E34" s="107"/>
      <c r="F34" s="107"/>
      <c r="G34" s="107"/>
      <c r="H34" s="107"/>
      <c r="I34" s="107"/>
      <c r="J34" s="107"/>
    </row>
    <row r="35" spans="2:10">
      <c r="B35" s="107"/>
      <c r="C35" s="107"/>
      <c r="D35" s="107"/>
      <c r="E35" s="107"/>
      <c r="F35" s="107"/>
      <c r="G35" s="107"/>
      <c r="H35" s="107"/>
      <c r="I35" s="107"/>
      <c r="J35" s="107"/>
    </row>
    <row r="36" spans="2:10">
      <c r="B36" s="107"/>
      <c r="C36" s="107"/>
      <c r="D36" s="107"/>
      <c r="E36" s="107"/>
      <c r="F36" s="107"/>
      <c r="G36" s="107"/>
      <c r="H36" s="107"/>
      <c r="I36" s="107"/>
      <c r="J36" s="107"/>
    </row>
    <row r="37" spans="2:10">
      <c r="B37" s="107"/>
      <c r="C37" s="107"/>
      <c r="D37" s="107"/>
      <c r="E37" s="107"/>
      <c r="F37" s="107"/>
      <c r="G37" s="107"/>
      <c r="H37" s="107"/>
      <c r="I37" s="107"/>
      <c r="J37" s="107"/>
    </row>
    <row r="38" spans="2:10">
      <c r="B38" s="107"/>
      <c r="C38" s="107"/>
      <c r="D38" s="107"/>
      <c r="E38" s="107"/>
      <c r="F38" s="107"/>
      <c r="G38" s="107"/>
      <c r="H38" s="107"/>
      <c r="I38" s="107"/>
      <c r="J38" s="107"/>
    </row>
    <row r="39" spans="2:10">
      <c r="B39" s="107"/>
      <c r="C39" s="107"/>
      <c r="D39" s="107"/>
      <c r="E39" s="107"/>
      <c r="F39" s="107"/>
      <c r="G39" s="107"/>
      <c r="H39" s="107"/>
      <c r="I39" s="107"/>
      <c r="J39" s="107"/>
    </row>
    <row r="40" spans="2:10">
      <c r="B40" s="107"/>
      <c r="C40" s="107"/>
      <c r="D40" s="107"/>
      <c r="E40" s="107"/>
      <c r="F40" s="107"/>
      <c r="G40" s="107"/>
      <c r="H40" s="107"/>
      <c r="I40" s="107"/>
      <c r="J40" s="107"/>
    </row>
    <row r="41" spans="2:10">
      <c r="B41" s="107"/>
      <c r="C41" s="107"/>
      <c r="D41" s="107"/>
      <c r="E41" s="107"/>
      <c r="F41" s="107"/>
      <c r="G41" s="107"/>
      <c r="H41" s="107"/>
      <c r="I41" s="107"/>
      <c r="J41" s="107"/>
    </row>
    <row r="42" spans="2:10">
      <c r="B42" s="107"/>
      <c r="C42" s="107"/>
      <c r="D42" s="107"/>
      <c r="E42" s="107"/>
      <c r="F42" s="107"/>
      <c r="G42" s="107"/>
      <c r="H42" s="107"/>
      <c r="I42" s="107"/>
      <c r="J42" s="107"/>
    </row>
    <row r="43" spans="2:10">
      <c r="B43" s="107"/>
      <c r="C43" s="107"/>
      <c r="D43" s="107"/>
      <c r="E43" s="107"/>
      <c r="F43" s="107"/>
      <c r="G43" s="107"/>
      <c r="H43" s="107"/>
      <c r="I43" s="107"/>
      <c r="J43" s="107"/>
    </row>
    <row r="44" spans="2:10">
      <c r="B44" s="107"/>
      <c r="C44" s="107"/>
      <c r="D44" s="107"/>
      <c r="E44" s="107"/>
      <c r="F44" s="107"/>
      <c r="G44" s="107"/>
      <c r="H44" s="107"/>
      <c r="I44" s="107"/>
      <c r="J44" s="107"/>
    </row>
    <row r="45" spans="2:10">
      <c r="B45" s="107"/>
      <c r="C45" s="107"/>
      <c r="D45" s="107"/>
      <c r="E45" s="107"/>
      <c r="F45" s="107"/>
      <c r="G45" s="107"/>
      <c r="H45" s="107"/>
      <c r="I45" s="107"/>
      <c r="J45" s="107"/>
    </row>
    <row r="46" spans="2:10">
      <c r="B46" s="107"/>
      <c r="C46" s="107"/>
      <c r="D46" s="107"/>
      <c r="E46" s="107"/>
      <c r="F46" s="107"/>
      <c r="G46" s="107"/>
      <c r="H46" s="107"/>
      <c r="I46" s="107"/>
      <c r="J46" s="107"/>
    </row>
    <row r="47" spans="2:10">
      <c r="B47" s="107"/>
      <c r="C47" s="107"/>
      <c r="D47" s="107"/>
      <c r="E47" s="107"/>
      <c r="F47" s="107"/>
      <c r="G47" s="107"/>
      <c r="H47" s="107"/>
      <c r="I47" s="107"/>
      <c r="J47" s="107"/>
    </row>
    <row r="48" spans="2:10">
      <c r="B48" s="107"/>
      <c r="C48" s="107"/>
      <c r="D48" s="107"/>
      <c r="E48" s="107"/>
      <c r="F48" s="107"/>
      <c r="G48" s="107"/>
      <c r="H48" s="107"/>
      <c r="I48" s="107"/>
      <c r="J48" s="107"/>
    </row>
    <row r="49" spans="2:10">
      <c r="B49" s="107"/>
      <c r="C49" s="107"/>
      <c r="D49" s="107"/>
      <c r="E49" s="107"/>
      <c r="F49" s="107"/>
      <c r="G49" s="107"/>
      <c r="H49" s="107"/>
      <c r="I49" s="107"/>
      <c r="J49" s="107"/>
    </row>
    <row r="50" spans="2:10">
      <c r="B50" s="107"/>
      <c r="C50" s="107"/>
      <c r="D50" s="107"/>
      <c r="E50" s="107"/>
      <c r="F50" s="107"/>
      <c r="G50" s="107"/>
      <c r="H50" s="107"/>
      <c r="I50" s="107"/>
      <c r="J50" s="107"/>
    </row>
    <row r="51" spans="2:10">
      <c r="B51" s="107"/>
      <c r="C51" s="107"/>
      <c r="D51" s="107"/>
      <c r="E51" s="107"/>
      <c r="F51" s="107"/>
      <c r="G51" s="107"/>
      <c r="H51" s="107"/>
      <c r="I51" s="107"/>
      <c r="J51" s="107"/>
    </row>
    <row r="52" spans="2:10">
      <c r="B52" s="107"/>
      <c r="C52" s="107"/>
      <c r="D52" s="107"/>
      <c r="E52" s="107"/>
      <c r="F52" s="107"/>
      <c r="G52" s="107"/>
      <c r="H52" s="107"/>
      <c r="I52" s="107"/>
      <c r="J52" s="107"/>
    </row>
    <row r="53" spans="2:10">
      <c r="B53" s="107"/>
      <c r="C53" s="107"/>
      <c r="D53" s="107"/>
      <c r="E53" s="107"/>
      <c r="F53" s="107"/>
      <c r="G53" s="107"/>
      <c r="H53" s="107"/>
      <c r="I53" s="107"/>
      <c r="J53" s="107"/>
    </row>
    <row r="54" spans="2:10">
      <c r="B54" s="107"/>
      <c r="C54" s="107"/>
      <c r="D54" s="107"/>
      <c r="E54" s="107"/>
      <c r="F54" s="107"/>
      <c r="G54" s="107"/>
      <c r="H54" s="107"/>
      <c r="I54" s="107"/>
      <c r="J54" s="107"/>
    </row>
    <row r="55" spans="2:10">
      <c r="B55" s="107"/>
      <c r="C55" s="107"/>
      <c r="D55" s="107"/>
      <c r="E55" s="107"/>
      <c r="F55" s="107"/>
      <c r="G55" s="107"/>
      <c r="H55" s="107"/>
      <c r="I55" s="107"/>
      <c r="J55" s="107"/>
    </row>
    <row r="56" spans="2:10">
      <c r="B56" s="107"/>
      <c r="C56" s="107"/>
      <c r="D56" s="107"/>
      <c r="E56" s="107"/>
      <c r="F56" s="107"/>
      <c r="G56" s="107"/>
      <c r="H56" s="107"/>
      <c r="I56" s="107"/>
      <c r="J56" s="107"/>
    </row>
    <row r="57" spans="2:10">
      <c r="B57" s="107"/>
      <c r="C57" s="107"/>
      <c r="D57" s="107"/>
      <c r="E57" s="107"/>
      <c r="F57" s="107"/>
      <c r="G57" s="107"/>
      <c r="H57" s="107"/>
      <c r="I57" s="107"/>
      <c r="J57" s="107"/>
    </row>
    <row r="58" spans="2:10">
      <c r="B58" s="107"/>
      <c r="C58" s="107"/>
      <c r="D58" s="107"/>
      <c r="E58" s="107"/>
      <c r="F58" s="107"/>
      <c r="G58" s="107"/>
      <c r="H58" s="107"/>
      <c r="I58" s="107"/>
      <c r="J58" s="107"/>
    </row>
    <row r="59" spans="2:10">
      <c r="B59" s="107"/>
      <c r="C59" s="107"/>
      <c r="D59" s="107"/>
      <c r="E59" s="107"/>
      <c r="F59" s="107"/>
      <c r="G59" s="107"/>
      <c r="H59" s="107"/>
      <c r="I59" s="107"/>
      <c r="J59" s="107"/>
    </row>
    <row r="60" spans="2:10">
      <c r="B60" s="107"/>
      <c r="C60" s="107"/>
      <c r="D60" s="107"/>
      <c r="E60" s="107"/>
      <c r="F60" s="107"/>
      <c r="G60" s="107"/>
      <c r="H60" s="107"/>
      <c r="I60" s="107"/>
      <c r="J60" s="107"/>
    </row>
    <row r="61" spans="2:10">
      <c r="B61" s="107"/>
      <c r="C61" s="107"/>
      <c r="D61" s="107"/>
      <c r="E61" s="107"/>
      <c r="F61" s="107"/>
      <c r="G61" s="107"/>
      <c r="H61" s="107"/>
      <c r="I61" s="107"/>
      <c r="J61" s="107"/>
    </row>
    <row r="62" spans="2:10">
      <c r="B62" s="107"/>
      <c r="C62" s="107"/>
      <c r="D62" s="107"/>
      <c r="E62" s="107"/>
      <c r="F62" s="107"/>
      <c r="G62" s="107"/>
      <c r="H62" s="107"/>
      <c r="I62" s="107"/>
      <c r="J62" s="107"/>
    </row>
    <row r="63" spans="2:10">
      <c r="B63" s="107"/>
      <c r="C63" s="107"/>
      <c r="D63" s="107"/>
      <c r="E63" s="107"/>
      <c r="F63" s="107"/>
      <c r="G63" s="107"/>
      <c r="H63" s="107"/>
      <c r="I63" s="107"/>
      <c r="J63" s="107"/>
    </row>
    <row r="64" spans="2:10">
      <c r="B64" s="107"/>
      <c r="C64" s="107"/>
      <c r="D64" s="107"/>
      <c r="E64" s="107"/>
      <c r="F64" s="107"/>
      <c r="G64" s="107"/>
      <c r="H64" s="107"/>
      <c r="I64" s="107"/>
      <c r="J64" s="107"/>
    </row>
    <row r="65" spans="2:10">
      <c r="B65" s="107"/>
      <c r="C65" s="107"/>
      <c r="D65" s="107"/>
      <c r="E65" s="107"/>
      <c r="F65" s="107"/>
      <c r="G65" s="107"/>
      <c r="H65" s="107"/>
      <c r="I65" s="107"/>
      <c r="J65" s="107"/>
    </row>
    <row r="66" spans="2:10">
      <c r="B66" s="107"/>
      <c r="C66" s="107"/>
      <c r="D66" s="107"/>
      <c r="E66" s="107"/>
      <c r="F66" s="107"/>
      <c r="G66" s="107"/>
      <c r="H66" s="107"/>
      <c r="I66" s="107"/>
      <c r="J66" s="107"/>
    </row>
    <row r="67" spans="2:10">
      <c r="B67" s="107"/>
      <c r="C67" s="107"/>
      <c r="D67" s="107"/>
      <c r="E67" s="107"/>
      <c r="F67" s="107"/>
      <c r="G67" s="107"/>
      <c r="H67" s="107"/>
      <c r="I67" s="107"/>
      <c r="J67" s="107"/>
    </row>
    <row r="68" spans="2:10">
      <c r="B68" s="107"/>
      <c r="C68" s="107"/>
      <c r="D68" s="107"/>
      <c r="E68" s="107"/>
      <c r="F68" s="107"/>
      <c r="G68" s="107"/>
      <c r="H68" s="107"/>
      <c r="I68" s="107"/>
      <c r="J68" s="107"/>
    </row>
    <row r="69" spans="2:10">
      <c r="B69" s="107"/>
      <c r="C69" s="107"/>
      <c r="D69" s="107"/>
      <c r="E69" s="107"/>
      <c r="F69" s="107"/>
      <c r="G69" s="107"/>
      <c r="H69" s="107"/>
      <c r="I69" s="107"/>
      <c r="J69" s="107"/>
    </row>
    <row r="70" spans="2:10">
      <c r="B70" s="107"/>
      <c r="C70" s="107"/>
      <c r="D70" s="107"/>
      <c r="E70" s="107"/>
      <c r="F70" s="107"/>
      <c r="G70" s="107"/>
      <c r="H70" s="107"/>
      <c r="I70" s="107"/>
      <c r="J70" s="107"/>
    </row>
    <row r="71" spans="2:10">
      <c r="B71" s="107"/>
      <c r="C71" s="107"/>
      <c r="D71" s="107"/>
      <c r="E71" s="107"/>
      <c r="F71" s="107"/>
      <c r="G71" s="107"/>
      <c r="H71" s="107"/>
      <c r="I71" s="107"/>
      <c r="J71" s="107"/>
    </row>
    <row r="72" spans="2:10">
      <c r="B72" s="107"/>
      <c r="C72" s="107"/>
      <c r="D72" s="107"/>
      <c r="E72" s="107"/>
      <c r="F72" s="107"/>
      <c r="G72" s="107"/>
      <c r="H72" s="107"/>
      <c r="I72" s="107"/>
      <c r="J72" s="107"/>
    </row>
    <row r="73" spans="2:10">
      <c r="B73" s="107"/>
      <c r="C73" s="107"/>
      <c r="D73" s="107"/>
      <c r="E73" s="107"/>
      <c r="F73" s="107"/>
      <c r="G73" s="107"/>
      <c r="H73" s="107"/>
      <c r="I73" s="107"/>
      <c r="J73" s="107"/>
    </row>
    <row r="74" spans="2:10">
      <c r="B74" s="107"/>
      <c r="C74" s="107"/>
      <c r="D74" s="107"/>
      <c r="E74" s="107"/>
      <c r="F74" s="107"/>
      <c r="G74" s="107"/>
      <c r="H74" s="107"/>
      <c r="I74" s="107"/>
      <c r="J74" s="107"/>
    </row>
    <row r="75" spans="2:10">
      <c r="B75" s="107"/>
      <c r="C75" s="107"/>
      <c r="D75" s="107"/>
      <c r="E75" s="107"/>
      <c r="F75" s="107"/>
      <c r="G75" s="107"/>
      <c r="H75" s="107"/>
      <c r="I75" s="107"/>
      <c r="J75" s="107"/>
    </row>
    <row r="76" spans="2:10">
      <c r="B76" s="107"/>
      <c r="C76" s="107"/>
      <c r="D76" s="107"/>
      <c r="E76" s="107"/>
      <c r="F76" s="107"/>
      <c r="G76" s="107"/>
      <c r="H76" s="107"/>
      <c r="I76" s="107"/>
      <c r="J76" s="107"/>
    </row>
    <row r="77" spans="2:10">
      <c r="B77" s="107"/>
      <c r="C77" s="107"/>
      <c r="D77" s="107"/>
      <c r="E77" s="107"/>
      <c r="F77" s="107"/>
      <c r="G77" s="107"/>
      <c r="H77" s="107"/>
      <c r="I77" s="107"/>
      <c r="J77" s="107"/>
    </row>
    <row r="78" spans="2:10">
      <c r="B78" s="107"/>
      <c r="C78" s="107"/>
      <c r="D78" s="107"/>
      <c r="E78" s="107"/>
      <c r="F78" s="107"/>
      <c r="G78" s="107"/>
      <c r="H78" s="107"/>
      <c r="I78" s="107"/>
      <c r="J78" s="107"/>
    </row>
    <row r="79" spans="2:10">
      <c r="B79" s="107"/>
      <c r="C79" s="107"/>
      <c r="D79" s="107"/>
      <c r="E79" s="107"/>
      <c r="F79" s="107"/>
      <c r="G79" s="107"/>
      <c r="H79" s="107"/>
      <c r="I79" s="107"/>
      <c r="J79" s="107"/>
    </row>
    <row r="80" spans="2:10">
      <c r="B80" s="107"/>
      <c r="C80" s="107"/>
      <c r="D80" s="107"/>
      <c r="E80" s="107"/>
      <c r="F80" s="107"/>
      <c r="G80" s="107"/>
      <c r="H80" s="107"/>
      <c r="I80" s="107"/>
      <c r="J80" s="107"/>
    </row>
    <row r="81" spans="2:10">
      <c r="B81" s="107"/>
      <c r="C81" s="107"/>
      <c r="D81" s="107"/>
      <c r="E81" s="107"/>
      <c r="F81" s="107"/>
      <c r="G81" s="107"/>
      <c r="H81" s="107"/>
      <c r="I81" s="107"/>
      <c r="J81" s="107"/>
    </row>
    <row r="82" spans="2:10">
      <c r="B82" s="107"/>
      <c r="C82" s="107"/>
      <c r="D82" s="107"/>
      <c r="E82" s="107"/>
      <c r="F82" s="107"/>
      <c r="G82" s="107"/>
      <c r="H82" s="107"/>
      <c r="I82" s="107"/>
      <c r="J82" s="107"/>
    </row>
    <row r="83" spans="2:10">
      <c r="B83" s="107"/>
      <c r="C83" s="107"/>
      <c r="D83" s="107"/>
      <c r="E83" s="107"/>
      <c r="F83" s="107"/>
      <c r="G83" s="107"/>
      <c r="H83" s="107"/>
      <c r="I83" s="107"/>
      <c r="J83" s="107"/>
    </row>
    <row r="84" spans="2:10">
      <c r="B84" s="107"/>
      <c r="C84" s="107"/>
      <c r="D84" s="107"/>
      <c r="E84" s="107"/>
      <c r="F84" s="107"/>
      <c r="G84" s="107"/>
      <c r="H84" s="107"/>
      <c r="I84" s="107"/>
      <c r="J84" s="107"/>
    </row>
    <row r="85" spans="2:10">
      <c r="B85" s="107"/>
      <c r="C85" s="107"/>
      <c r="D85" s="107"/>
      <c r="E85" s="107"/>
      <c r="F85" s="107"/>
      <c r="G85" s="107"/>
      <c r="H85" s="107"/>
      <c r="I85" s="107"/>
      <c r="J85" s="107"/>
    </row>
    <row r="86" spans="2:10">
      <c r="B86" s="107"/>
      <c r="C86" s="107"/>
      <c r="D86" s="107"/>
      <c r="E86" s="107"/>
      <c r="F86" s="107"/>
      <c r="G86" s="107"/>
      <c r="H86" s="107"/>
      <c r="I86" s="107"/>
      <c r="J86" s="107"/>
    </row>
    <row r="87" spans="2:10">
      <c r="B87" s="107"/>
      <c r="C87" s="107"/>
      <c r="D87" s="107"/>
      <c r="E87" s="107"/>
      <c r="F87" s="107"/>
      <c r="G87" s="107"/>
      <c r="H87" s="107"/>
      <c r="I87" s="107"/>
      <c r="J87" s="107"/>
    </row>
    <row r="88" spans="2:10">
      <c r="B88" s="107"/>
      <c r="C88" s="107"/>
      <c r="D88" s="107"/>
      <c r="E88" s="107"/>
      <c r="F88" s="107"/>
      <c r="G88" s="107"/>
      <c r="H88" s="107"/>
      <c r="I88" s="107"/>
      <c r="J88" s="107"/>
    </row>
    <row r="89" spans="2:10">
      <c r="B89" s="107"/>
      <c r="C89" s="107"/>
      <c r="D89" s="107"/>
      <c r="E89" s="107"/>
      <c r="F89" s="107"/>
      <c r="G89" s="107"/>
      <c r="H89" s="107"/>
      <c r="I89" s="107"/>
      <c r="J89" s="107"/>
    </row>
    <row r="90" spans="2:10">
      <c r="B90" s="107"/>
      <c r="C90" s="107"/>
      <c r="D90" s="107"/>
      <c r="E90" s="107"/>
      <c r="F90" s="107"/>
      <c r="G90" s="107"/>
      <c r="H90" s="107"/>
      <c r="I90" s="107"/>
      <c r="J90" s="107"/>
    </row>
    <row r="91" spans="2:10">
      <c r="B91" s="107"/>
      <c r="C91" s="107"/>
      <c r="D91" s="107"/>
      <c r="E91" s="107"/>
      <c r="F91" s="107"/>
      <c r="G91" s="107"/>
      <c r="H91" s="107"/>
      <c r="I91" s="107"/>
      <c r="J91" s="107"/>
    </row>
    <row r="92" spans="2:10">
      <c r="B92" s="107"/>
      <c r="C92" s="107"/>
      <c r="D92" s="107"/>
      <c r="E92" s="107"/>
      <c r="F92" s="107"/>
      <c r="G92" s="107"/>
      <c r="H92" s="107"/>
      <c r="I92" s="107"/>
      <c r="J92" s="107"/>
    </row>
    <row r="93" spans="2:10">
      <c r="B93" s="107"/>
      <c r="C93" s="107"/>
      <c r="D93" s="107"/>
      <c r="E93" s="107"/>
      <c r="F93" s="107"/>
      <c r="G93" s="107"/>
      <c r="H93" s="107"/>
      <c r="I93" s="107"/>
      <c r="J93" s="107"/>
    </row>
    <row r="94" spans="2:10">
      <c r="B94" s="107"/>
      <c r="C94" s="107"/>
      <c r="D94" s="107"/>
      <c r="E94" s="107"/>
      <c r="F94" s="107"/>
      <c r="G94" s="107"/>
      <c r="H94" s="107"/>
      <c r="I94" s="107"/>
      <c r="J94" s="107"/>
    </row>
    <row r="95" spans="2:10">
      <c r="B95" s="107"/>
      <c r="C95" s="107"/>
      <c r="D95" s="107"/>
      <c r="E95" s="107"/>
      <c r="F95" s="107"/>
      <c r="G95" s="107"/>
      <c r="H95" s="107"/>
      <c r="I95" s="107"/>
      <c r="J95" s="107"/>
    </row>
    <row r="96" spans="2:10">
      <c r="B96" s="107"/>
      <c r="C96" s="107"/>
      <c r="D96" s="107"/>
      <c r="E96" s="107"/>
      <c r="F96" s="107"/>
      <c r="G96" s="107"/>
      <c r="H96" s="107"/>
      <c r="I96" s="107"/>
      <c r="J96" s="107"/>
    </row>
    <row r="97" spans="2:10">
      <c r="B97" s="107"/>
      <c r="C97" s="107"/>
      <c r="D97" s="107"/>
      <c r="E97" s="107"/>
      <c r="F97" s="107"/>
      <c r="G97" s="107"/>
      <c r="H97" s="107"/>
      <c r="I97" s="107"/>
      <c r="J97" s="107"/>
    </row>
    <row r="98" spans="2:10">
      <c r="B98" s="107"/>
      <c r="C98" s="107"/>
      <c r="D98" s="107"/>
      <c r="E98" s="107"/>
      <c r="F98" s="107"/>
      <c r="G98" s="107"/>
      <c r="H98" s="107"/>
      <c r="I98" s="107"/>
      <c r="J98" s="107"/>
    </row>
    <row r="99" spans="2:10">
      <c r="B99" s="107"/>
      <c r="C99" s="107"/>
      <c r="D99" s="107"/>
      <c r="E99" s="107"/>
      <c r="F99" s="107"/>
      <c r="G99" s="107"/>
      <c r="H99" s="107"/>
      <c r="I99" s="107"/>
      <c r="J99" s="107"/>
    </row>
    <row r="100" spans="2:10">
      <c r="B100" s="107"/>
      <c r="C100" s="107"/>
      <c r="D100" s="107"/>
      <c r="E100" s="107"/>
      <c r="F100" s="107"/>
      <c r="G100" s="107"/>
      <c r="H100" s="107"/>
      <c r="I100" s="107"/>
      <c r="J100" s="107"/>
    </row>
    <row r="101" spans="2:10">
      <c r="B101" s="107"/>
      <c r="C101" s="107"/>
      <c r="D101" s="107"/>
      <c r="E101" s="107"/>
      <c r="F101" s="107"/>
      <c r="G101" s="107"/>
      <c r="H101" s="107"/>
      <c r="I101" s="107"/>
      <c r="J101" s="107"/>
    </row>
    <row r="102" spans="2:10">
      <c r="B102" s="107"/>
      <c r="C102" s="107"/>
      <c r="D102" s="107"/>
      <c r="E102" s="107"/>
      <c r="F102" s="107"/>
      <c r="G102" s="107"/>
      <c r="H102" s="107"/>
      <c r="I102" s="107"/>
      <c r="J102" s="107"/>
    </row>
    <row r="103" spans="2:10">
      <c r="B103" s="107"/>
      <c r="C103" s="107"/>
      <c r="D103" s="107"/>
      <c r="E103" s="107"/>
      <c r="F103" s="107"/>
      <c r="G103" s="107"/>
      <c r="H103" s="107"/>
      <c r="I103" s="107"/>
      <c r="J103" s="107"/>
    </row>
    <row r="104" spans="2:10">
      <c r="B104" s="107"/>
      <c r="C104" s="107"/>
      <c r="D104" s="107"/>
      <c r="E104" s="107"/>
      <c r="F104" s="107"/>
      <c r="G104" s="107"/>
      <c r="H104" s="107"/>
      <c r="I104" s="107"/>
      <c r="J104" s="107"/>
    </row>
    <row r="105" spans="2:10">
      <c r="B105" s="107"/>
      <c r="C105" s="107"/>
      <c r="D105" s="107"/>
      <c r="E105" s="107"/>
      <c r="F105" s="107"/>
      <c r="G105" s="107"/>
      <c r="H105" s="107"/>
      <c r="I105" s="107"/>
      <c r="J105" s="107"/>
    </row>
    <row r="106" spans="2:10">
      <c r="B106" s="107"/>
      <c r="C106" s="107"/>
      <c r="D106" s="107"/>
      <c r="E106" s="107"/>
      <c r="F106" s="107"/>
      <c r="G106" s="107"/>
      <c r="H106" s="107"/>
      <c r="I106" s="107"/>
      <c r="J106" s="107"/>
    </row>
    <row r="107" spans="2:10">
      <c r="B107" s="107"/>
      <c r="C107" s="107"/>
      <c r="D107" s="107"/>
      <c r="E107" s="107"/>
      <c r="F107" s="107"/>
      <c r="G107" s="107"/>
      <c r="H107" s="107"/>
      <c r="I107" s="107"/>
      <c r="J107" s="107"/>
    </row>
    <row r="108" spans="2:10">
      <c r="B108" s="107"/>
      <c r="C108" s="107"/>
      <c r="D108" s="107"/>
      <c r="E108" s="107"/>
      <c r="F108" s="107"/>
      <c r="G108" s="107"/>
      <c r="H108" s="107"/>
      <c r="I108" s="107"/>
      <c r="J108" s="107"/>
    </row>
    <row r="109" spans="2:10">
      <c r="B109" s="107"/>
      <c r="C109" s="107"/>
      <c r="D109" s="107"/>
      <c r="E109" s="107"/>
      <c r="F109" s="107"/>
      <c r="G109" s="107"/>
      <c r="H109" s="107"/>
      <c r="I109" s="107"/>
      <c r="J109" s="107"/>
    </row>
    <row r="110" spans="2:10">
      <c r="B110" s="107"/>
      <c r="C110" s="107"/>
      <c r="D110" s="107"/>
      <c r="E110" s="107"/>
      <c r="F110" s="107"/>
      <c r="G110" s="107"/>
      <c r="H110" s="107"/>
      <c r="I110" s="107"/>
      <c r="J110" s="107"/>
    </row>
    <row r="111" spans="2:10">
      <c r="B111" s="107"/>
      <c r="C111" s="107"/>
      <c r="D111" s="107"/>
      <c r="E111" s="107"/>
      <c r="F111" s="107"/>
      <c r="G111" s="107"/>
      <c r="H111" s="107"/>
      <c r="I111" s="107"/>
      <c r="J111" s="107"/>
    </row>
    <row r="112" spans="2:10">
      <c r="B112" s="107"/>
      <c r="C112" s="107"/>
      <c r="D112" s="107"/>
      <c r="E112" s="107"/>
      <c r="F112" s="107"/>
      <c r="G112" s="107"/>
      <c r="H112" s="107"/>
      <c r="I112" s="107"/>
      <c r="J112" s="107"/>
    </row>
    <row r="113" spans="2:10">
      <c r="B113" s="107"/>
      <c r="C113" s="107"/>
      <c r="D113" s="107"/>
      <c r="E113" s="107"/>
      <c r="F113" s="107"/>
      <c r="G113" s="107"/>
      <c r="H113" s="107"/>
      <c r="I113" s="107"/>
      <c r="J113" s="107"/>
    </row>
    <row r="114" spans="2:10">
      <c r="B114" s="107"/>
      <c r="C114" s="107"/>
      <c r="D114" s="107"/>
      <c r="E114" s="107"/>
      <c r="F114" s="107"/>
      <c r="G114" s="107"/>
      <c r="H114" s="107"/>
      <c r="I114" s="107"/>
      <c r="J114" s="107"/>
    </row>
    <row r="115" spans="2:10">
      <c r="B115" s="107"/>
      <c r="C115" s="107"/>
      <c r="D115" s="107"/>
      <c r="E115" s="107"/>
      <c r="F115" s="107"/>
      <c r="G115" s="107"/>
      <c r="H115" s="107"/>
      <c r="I115" s="107"/>
      <c r="J115" s="107"/>
    </row>
    <row r="116" spans="2:10">
      <c r="B116" s="107"/>
      <c r="C116" s="107"/>
      <c r="D116" s="107"/>
      <c r="E116" s="107"/>
      <c r="F116" s="107"/>
      <c r="G116" s="107"/>
      <c r="H116" s="107"/>
      <c r="I116" s="107"/>
      <c r="J116" s="107"/>
    </row>
    <row r="117" spans="2:10">
      <c r="B117" s="107"/>
      <c r="C117" s="107"/>
      <c r="D117" s="107"/>
      <c r="E117" s="107"/>
      <c r="F117" s="107"/>
      <c r="G117" s="107"/>
      <c r="H117" s="107"/>
      <c r="I117" s="107"/>
      <c r="J117" s="107"/>
    </row>
    <row r="118" spans="2:10">
      <c r="B118" s="107"/>
      <c r="C118" s="107"/>
      <c r="D118" s="107"/>
      <c r="E118" s="107"/>
      <c r="F118" s="107"/>
      <c r="G118" s="107"/>
      <c r="H118" s="107"/>
      <c r="I118" s="107"/>
      <c r="J118" s="107"/>
    </row>
    <row r="119" spans="2:10">
      <c r="B119" s="107"/>
      <c r="C119" s="107"/>
      <c r="D119" s="107"/>
      <c r="E119" s="107"/>
      <c r="F119" s="107"/>
      <c r="G119" s="107"/>
      <c r="H119" s="107"/>
      <c r="I119" s="107"/>
      <c r="J119" s="107"/>
    </row>
    <row r="120" spans="2:10">
      <c r="B120" s="107"/>
      <c r="C120" s="107"/>
      <c r="D120" s="107"/>
      <c r="E120" s="107"/>
      <c r="F120" s="107"/>
      <c r="G120" s="107"/>
      <c r="H120" s="107"/>
      <c r="I120" s="107"/>
      <c r="J120" s="107"/>
    </row>
    <row r="121" spans="2:10">
      <c r="B121" s="107"/>
      <c r="C121" s="107"/>
      <c r="D121" s="107"/>
      <c r="E121" s="107"/>
      <c r="F121" s="107"/>
      <c r="G121" s="107"/>
      <c r="H121" s="107"/>
      <c r="I121" s="107"/>
      <c r="J121" s="107"/>
    </row>
    <row r="122" spans="2:10">
      <c r="B122" s="107"/>
      <c r="C122" s="107"/>
      <c r="D122" s="107"/>
      <c r="E122" s="107"/>
      <c r="F122" s="107"/>
      <c r="G122" s="107"/>
      <c r="H122" s="107"/>
      <c r="I122" s="107"/>
      <c r="J122" s="107"/>
    </row>
    <row r="123" spans="2:10">
      <c r="B123" s="107"/>
      <c r="C123" s="107"/>
      <c r="D123" s="107"/>
      <c r="E123" s="107"/>
      <c r="F123" s="107"/>
      <c r="G123" s="107"/>
      <c r="H123" s="107"/>
      <c r="I123" s="107"/>
      <c r="J123" s="107"/>
    </row>
    <row r="124" spans="2:10">
      <c r="B124" s="107"/>
      <c r="C124" s="107"/>
      <c r="D124" s="107"/>
      <c r="E124" s="107"/>
      <c r="F124" s="107"/>
      <c r="G124" s="107"/>
      <c r="H124" s="107"/>
      <c r="I124" s="107"/>
      <c r="J124" s="107"/>
    </row>
    <row r="125" spans="2:10">
      <c r="B125" s="107"/>
      <c r="C125" s="107"/>
      <c r="D125" s="107"/>
      <c r="E125" s="107"/>
      <c r="F125" s="107"/>
      <c r="G125" s="107"/>
      <c r="H125" s="107"/>
      <c r="I125" s="107"/>
      <c r="J125" s="107"/>
    </row>
    <row r="126" spans="2:10">
      <c r="B126" s="107"/>
      <c r="C126" s="107"/>
      <c r="D126" s="107"/>
      <c r="E126" s="107"/>
      <c r="F126" s="107"/>
      <c r="G126" s="107"/>
      <c r="H126" s="107"/>
      <c r="I126" s="107"/>
      <c r="J126" s="107"/>
    </row>
    <row r="127" spans="2:10">
      <c r="B127" s="107"/>
      <c r="C127" s="107"/>
      <c r="D127" s="107"/>
      <c r="E127" s="107"/>
      <c r="F127" s="107"/>
      <c r="G127" s="107"/>
      <c r="H127" s="107"/>
      <c r="I127" s="107"/>
      <c r="J127" s="107"/>
    </row>
    <row r="128" spans="2:10">
      <c r="B128" s="107"/>
      <c r="C128" s="107"/>
      <c r="D128" s="107"/>
      <c r="E128" s="107"/>
      <c r="F128" s="107"/>
      <c r="G128" s="107"/>
      <c r="H128" s="107"/>
      <c r="I128" s="107"/>
      <c r="J128" s="107"/>
    </row>
    <row r="129" spans="2:10">
      <c r="B129" s="107"/>
      <c r="C129" s="107"/>
      <c r="D129" s="107"/>
      <c r="E129" s="107"/>
      <c r="F129" s="107"/>
      <c r="G129" s="107"/>
      <c r="H129" s="107"/>
      <c r="I129" s="107"/>
      <c r="J129" s="107"/>
    </row>
    <row r="130" spans="2:10">
      <c r="B130" s="107"/>
      <c r="C130" s="107"/>
      <c r="D130" s="107"/>
      <c r="E130" s="107"/>
      <c r="F130" s="107"/>
      <c r="G130" s="107"/>
      <c r="H130" s="107"/>
      <c r="I130" s="107"/>
      <c r="J130" s="107"/>
    </row>
    <row r="131" spans="2:10">
      <c r="B131" s="107"/>
      <c r="C131" s="107"/>
      <c r="D131" s="107"/>
      <c r="E131" s="107"/>
      <c r="F131" s="107"/>
      <c r="G131" s="107"/>
      <c r="H131" s="107"/>
      <c r="I131" s="107"/>
      <c r="J131" s="107"/>
    </row>
    <row r="132" spans="2:10">
      <c r="B132" s="107"/>
      <c r="C132" s="107"/>
      <c r="D132" s="107"/>
      <c r="E132" s="107"/>
      <c r="F132" s="107"/>
      <c r="G132" s="107"/>
      <c r="H132" s="107"/>
      <c r="I132" s="107"/>
      <c r="J132" s="107"/>
    </row>
    <row r="133" spans="2:10">
      <c r="B133" s="107"/>
      <c r="C133" s="107"/>
      <c r="D133" s="107"/>
      <c r="E133" s="107"/>
      <c r="F133" s="107"/>
      <c r="G133" s="107"/>
      <c r="H133" s="107"/>
      <c r="I133" s="107"/>
      <c r="J133" s="107"/>
    </row>
    <row r="134" spans="2:10">
      <c r="B134" s="107"/>
      <c r="C134" s="107"/>
      <c r="D134" s="107"/>
      <c r="E134" s="107"/>
      <c r="F134" s="107"/>
      <c r="G134" s="107"/>
      <c r="H134" s="107"/>
      <c r="I134" s="107"/>
      <c r="J134" s="107"/>
    </row>
    <row r="135" spans="2:10">
      <c r="B135" s="107"/>
      <c r="C135" s="107"/>
      <c r="D135" s="107"/>
      <c r="E135" s="107"/>
      <c r="F135" s="107"/>
      <c r="G135" s="107"/>
      <c r="H135" s="107"/>
      <c r="I135" s="107"/>
      <c r="J135" s="107"/>
    </row>
    <row r="136" spans="2:10">
      <c r="B136" s="107"/>
      <c r="C136" s="107"/>
      <c r="D136" s="107"/>
      <c r="E136" s="107"/>
      <c r="F136" s="107"/>
      <c r="G136" s="107"/>
      <c r="H136" s="107"/>
      <c r="I136" s="107"/>
      <c r="J136" s="107"/>
    </row>
    <row r="137" spans="2:10">
      <c r="B137" s="107"/>
      <c r="C137" s="107"/>
      <c r="D137" s="107"/>
      <c r="E137" s="107"/>
      <c r="F137" s="107"/>
      <c r="G137" s="107"/>
      <c r="H137" s="107"/>
      <c r="I137" s="107"/>
      <c r="J137" s="107"/>
    </row>
    <row r="138" spans="2:10">
      <c r="B138" s="107"/>
      <c r="C138" s="107"/>
      <c r="D138" s="107"/>
      <c r="E138" s="107"/>
      <c r="F138" s="107"/>
      <c r="G138" s="107"/>
      <c r="H138" s="107"/>
      <c r="I138" s="107"/>
      <c r="J138" s="107"/>
    </row>
    <row r="139" spans="2:10">
      <c r="B139" s="107"/>
      <c r="C139" s="107"/>
      <c r="D139" s="107"/>
      <c r="E139" s="107"/>
      <c r="F139" s="107"/>
      <c r="G139" s="107"/>
      <c r="H139" s="107"/>
      <c r="I139" s="107"/>
      <c r="J139" s="107"/>
    </row>
    <row r="140" spans="2:10">
      <c r="B140" s="107"/>
      <c r="C140" s="107"/>
      <c r="D140" s="107"/>
      <c r="E140" s="107"/>
      <c r="F140" s="107"/>
      <c r="G140" s="107"/>
      <c r="H140" s="107"/>
      <c r="I140" s="107"/>
      <c r="J140" s="107"/>
    </row>
    <row r="141" spans="2:10">
      <c r="B141" s="107"/>
      <c r="C141" s="107"/>
      <c r="D141" s="107"/>
      <c r="E141" s="107"/>
      <c r="F141" s="107"/>
      <c r="G141" s="107"/>
      <c r="H141" s="107"/>
      <c r="I141" s="107"/>
      <c r="J141" s="107"/>
    </row>
    <row r="142" spans="2:10">
      <c r="B142" s="107"/>
      <c r="C142" s="107"/>
      <c r="D142" s="107"/>
      <c r="E142" s="107"/>
      <c r="F142" s="107"/>
      <c r="G142" s="107"/>
      <c r="H142" s="107"/>
      <c r="I142" s="107"/>
      <c r="J142" s="107"/>
    </row>
    <row r="143" spans="2:10">
      <c r="B143" s="107"/>
      <c r="C143" s="107"/>
      <c r="D143" s="107"/>
      <c r="E143" s="107"/>
      <c r="F143" s="107"/>
      <c r="G143" s="107"/>
      <c r="H143" s="107"/>
      <c r="I143" s="107"/>
      <c r="J143" s="107"/>
    </row>
    <row r="144" spans="2:10">
      <c r="B144" s="107"/>
      <c r="C144" s="107"/>
      <c r="D144" s="107"/>
      <c r="E144" s="107"/>
      <c r="F144" s="107"/>
      <c r="G144" s="107"/>
      <c r="H144" s="107"/>
      <c r="I144" s="107"/>
      <c r="J144" s="107"/>
    </row>
    <row r="145" spans="2:10">
      <c r="B145" s="107"/>
      <c r="C145" s="107"/>
      <c r="D145" s="107"/>
      <c r="E145" s="107"/>
      <c r="F145" s="107"/>
      <c r="G145" s="107"/>
      <c r="H145" s="107"/>
      <c r="I145" s="107"/>
      <c r="J145" s="107"/>
    </row>
    <row r="146" spans="2:10">
      <c r="B146" s="107"/>
      <c r="C146" s="107"/>
      <c r="D146" s="107"/>
      <c r="E146" s="107"/>
      <c r="F146" s="107"/>
      <c r="G146" s="107"/>
      <c r="H146" s="107"/>
      <c r="I146" s="107"/>
      <c r="J146" s="107"/>
    </row>
    <row r="147" spans="2:10">
      <c r="B147" s="107"/>
      <c r="C147" s="107"/>
      <c r="D147" s="107"/>
      <c r="E147" s="107"/>
      <c r="F147" s="107"/>
      <c r="G147" s="107"/>
      <c r="H147" s="107"/>
      <c r="I147" s="107"/>
      <c r="J147" s="107"/>
    </row>
    <row r="148" spans="2:10">
      <c r="B148" s="107"/>
      <c r="C148" s="107"/>
      <c r="D148" s="107"/>
      <c r="E148" s="107"/>
      <c r="F148" s="107"/>
      <c r="G148" s="107"/>
      <c r="H148" s="107"/>
      <c r="I148" s="107"/>
      <c r="J148" s="107"/>
    </row>
    <row r="149" spans="2:10">
      <c r="B149" s="107"/>
      <c r="C149" s="107"/>
      <c r="D149" s="107"/>
      <c r="E149" s="107"/>
      <c r="F149" s="107"/>
      <c r="G149" s="107"/>
      <c r="H149" s="107"/>
      <c r="I149" s="107"/>
      <c r="J149" s="107"/>
    </row>
    <row r="150" spans="2:10">
      <c r="B150" s="107"/>
      <c r="C150" s="107"/>
      <c r="D150" s="107"/>
      <c r="E150" s="107"/>
      <c r="F150" s="107"/>
      <c r="G150" s="107"/>
      <c r="H150" s="107"/>
      <c r="I150" s="107"/>
      <c r="J150" s="107"/>
    </row>
    <row r="151" spans="2:10">
      <c r="B151" s="107"/>
      <c r="C151" s="107"/>
      <c r="D151" s="107"/>
      <c r="E151" s="107"/>
      <c r="F151" s="107"/>
      <c r="G151" s="107"/>
      <c r="H151" s="107"/>
      <c r="I151" s="107"/>
      <c r="J151" s="107"/>
    </row>
    <row r="152" spans="2:10">
      <c r="B152" s="107"/>
      <c r="C152" s="107"/>
      <c r="D152" s="107"/>
      <c r="E152" s="107"/>
      <c r="F152" s="107"/>
      <c r="G152" s="107"/>
      <c r="H152" s="107"/>
      <c r="I152" s="107"/>
      <c r="J152" s="107"/>
    </row>
    <row r="153" spans="2:10">
      <c r="B153" s="107"/>
      <c r="C153" s="107"/>
      <c r="D153" s="107"/>
      <c r="E153" s="107"/>
      <c r="F153" s="107"/>
      <c r="G153" s="107"/>
      <c r="H153" s="107"/>
      <c r="I153" s="107"/>
      <c r="J153" s="107"/>
    </row>
    <row r="154" spans="2:10">
      <c r="B154" s="107"/>
      <c r="C154" s="107"/>
      <c r="D154" s="107"/>
      <c r="E154" s="107"/>
      <c r="F154" s="107"/>
      <c r="G154" s="107"/>
      <c r="H154" s="107"/>
      <c r="I154" s="107"/>
      <c r="J154" s="107"/>
    </row>
    <row r="155" spans="2:10">
      <c r="B155" s="107"/>
      <c r="C155" s="107"/>
      <c r="D155" s="107"/>
      <c r="E155" s="107"/>
      <c r="F155" s="107"/>
      <c r="G155" s="107"/>
      <c r="H155" s="107"/>
      <c r="I155" s="107"/>
      <c r="J155" s="107"/>
    </row>
    <row r="156" spans="2:10">
      <c r="B156" s="107"/>
      <c r="C156" s="107"/>
      <c r="D156" s="107"/>
      <c r="E156" s="107"/>
      <c r="F156" s="107"/>
      <c r="G156" s="107"/>
      <c r="H156" s="107"/>
      <c r="I156" s="107"/>
      <c r="J156" s="107"/>
    </row>
    <row r="157" spans="2:10">
      <c r="B157" s="107"/>
      <c r="C157" s="107"/>
      <c r="D157" s="107"/>
      <c r="E157" s="107"/>
      <c r="F157" s="107"/>
      <c r="G157" s="107"/>
      <c r="H157" s="107"/>
      <c r="I157" s="107"/>
      <c r="J157" s="107"/>
    </row>
    <row r="158" spans="2:10">
      <c r="B158" s="107"/>
      <c r="C158" s="107"/>
      <c r="D158" s="107"/>
      <c r="E158" s="107"/>
      <c r="F158" s="107"/>
      <c r="G158" s="107"/>
      <c r="H158" s="107"/>
      <c r="I158" s="107"/>
      <c r="J158" s="107"/>
    </row>
    <row r="159" spans="2:10">
      <c r="B159" s="107"/>
      <c r="C159" s="107"/>
      <c r="D159" s="107"/>
      <c r="E159" s="107"/>
      <c r="F159" s="107"/>
      <c r="G159" s="107"/>
      <c r="H159" s="107"/>
      <c r="I159" s="107"/>
      <c r="J159" s="107"/>
    </row>
    <row r="160" spans="2:10">
      <c r="B160" s="107"/>
      <c r="C160" s="107"/>
      <c r="D160" s="107"/>
      <c r="E160" s="107"/>
      <c r="F160" s="107"/>
      <c r="G160" s="107"/>
      <c r="H160" s="107"/>
      <c r="I160" s="107"/>
      <c r="J160" s="107"/>
    </row>
    <row r="161" spans="2:10">
      <c r="B161" s="107"/>
      <c r="C161" s="107"/>
      <c r="D161" s="107"/>
      <c r="E161" s="107"/>
      <c r="F161" s="107"/>
      <c r="G161" s="107"/>
      <c r="H161" s="107"/>
      <c r="I161" s="107"/>
      <c r="J161" s="107"/>
    </row>
    <row r="162" spans="2:10">
      <c r="B162" s="107"/>
      <c r="C162" s="107"/>
      <c r="D162" s="107"/>
      <c r="E162" s="107"/>
      <c r="F162" s="107"/>
      <c r="G162" s="107"/>
      <c r="H162" s="107"/>
      <c r="I162" s="107"/>
      <c r="J162" s="107"/>
    </row>
    <row r="163" spans="2:10">
      <c r="B163" s="107"/>
      <c r="C163" s="107"/>
      <c r="D163" s="107"/>
      <c r="E163" s="107"/>
      <c r="F163" s="107"/>
      <c r="G163" s="107"/>
      <c r="H163" s="107"/>
      <c r="I163" s="107"/>
      <c r="J163" s="107"/>
    </row>
    <row r="164" spans="2:10">
      <c r="B164" s="107"/>
      <c r="C164" s="107"/>
      <c r="D164" s="107"/>
      <c r="E164" s="107"/>
      <c r="F164" s="107"/>
      <c r="G164" s="107"/>
      <c r="H164" s="107"/>
      <c r="I164" s="107"/>
      <c r="J164" s="107"/>
    </row>
    <row r="165" spans="2:10">
      <c r="B165" s="107"/>
      <c r="C165" s="107"/>
      <c r="D165" s="107"/>
      <c r="E165" s="107"/>
      <c r="F165" s="107"/>
      <c r="G165" s="107"/>
      <c r="H165" s="107"/>
      <c r="I165" s="107"/>
      <c r="J165" s="107"/>
    </row>
    <row r="166" spans="2:10">
      <c r="B166" s="107"/>
      <c r="C166" s="107"/>
      <c r="D166" s="107"/>
      <c r="E166" s="107"/>
      <c r="F166" s="107"/>
      <c r="G166" s="107"/>
      <c r="H166" s="107"/>
      <c r="I166" s="107"/>
      <c r="J166" s="107"/>
    </row>
    <row r="167" spans="2:10">
      <c r="B167" s="107"/>
      <c r="C167" s="107"/>
      <c r="D167" s="107"/>
      <c r="E167" s="107"/>
      <c r="F167" s="107"/>
      <c r="G167" s="107"/>
      <c r="H167" s="107"/>
      <c r="I167" s="107"/>
      <c r="J167" s="107"/>
    </row>
    <row r="168" spans="2:10">
      <c r="B168" s="107"/>
      <c r="C168" s="107"/>
      <c r="D168" s="107"/>
      <c r="E168" s="107"/>
      <c r="F168" s="107"/>
      <c r="G168" s="107"/>
      <c r="H168" s="107"/>
      <c r="I168" s="107"/>
      <c r="J168" s="107"/>
    </row>
    <row r="169" spans="2:10">
      <c r="B169" s="107"/>
      <c r="C169" s="107"/>
      <c r="D169" s="107"/>
      <c r="E169" s="107"/>
      <c r="F169" s="107"/>
      <c r="G169" s="107"/>
      <c r="H169" s="107"/>
      <c r="I169" s="107"/>
      <c r="J169" s="107"/>
    </row>
    <row r="170" spans="2:10">
      <c r="B170" s="107"/>
      <c r="C170" s="107"/>
      <c r="D170" s="107"/>
      <c r="E170" s="107"/>
      <c r="F170" s="107"/>
      <c r="G170" s="107"/>
      <c r="H170" s="107"/>
      <c r="I170" s="107"/>
      <c r="J170" s="107"/>
    </row>
    <row r="171" spans="2:10">
      <c r="B171" s="107"/>
      <c r="C171" s="107"/>
      <c r="D171" s="107"/>
      <c r="E171" s="107"/>
      <c r="F171" s="107"/>
      <c r="G171" s="107"/>
      <c r="H171" s="107"/>
      <c r="I171" s="107"/>
      <c r="J171" s="107"/>
    </row>
    <row r="172" spans="2:10">
      <c r="B172" s="107"/>
      <c r="C172" s="107"/>
      <c r="D172" s="107"/>
      <c r="E172" s="107"/>
      <c r="F172" s="107"/>
      <c r="G172" s="107"/>
      <c r="H172" s="107"/>
      <c r="I172" s="107"/>
      <c r="J172" s="107"/>
    </row>
    <row r="173" spans="2:10">
      <c r="B173" s="107"/>
      <c r="C173" s="107"/>
      <c r="D173" s="107"/>
      <c r="E173" s="107"/>
      <c r="F173" s="107"/>
      <c r="G173" s="107"/>
      <c r="H173" s="107"/>
      <c r="I173" s="107"/>
      <c r="J173" s="107"/>
    </row>
    <row r="174" spans="2:10">
      <c r="B174" s="107"/>
      <c r="C174" s="107"/>
      <c r="D174" s="107"/>
      <c r="E174" s="107"/>
      <c r="F174" s="107"/>
      <c r="G174" s="107"/>
      <c r="H174" s="107"/>
      <c r="I174" s="107"/>
      <c r="J174" s="107"/>
    </row>
    <row r="175" spans="2:10">
      <c r="B175" s="107"/>
      <c r="C175" s="107"/>
      <c r="D175" s="107"/>
      <c r="E175" s="107"/>
      <c r="F175" s="107"/>
      <c r="G175" s="107"/>
      <c r="H175" s="107"/>
      <c r="I175" s="107"/>
      <c r="J175" s="107"/>
    </row>
    <row r="176" spans="2:10">
      <c r="B176" s="107"/>
      <c r="C176" s="107"/>
      <c r="D176" s="107"/>
      <c r="E176" s="107"/>
      <c r="F176" s="107"/>
      <c r="G176" s="107"/>
      <c r="H176" s="107"/>
      <c r="I176" s="107"/>
      <c r="J176" s="107"/>
    </row>
    <row r="177" spans="2:10">
      <c r="B177" s="107"/>
      <c r="C177" s="107"/>
      <c r="D177" s="107"/>
      <c r="E177" s="107"/>
      <c r="F177" s="107"/>
      <c r="G177" s="107"/>
      <c r="H177" s="107"/>
      <c r="I177" s="107"/>
      <c r="J177" s="107"/>
    </row>
    <row r="178" spans="2:10">
      <c r="B178" s="107"/>
      <c r="C178" s="107"/>
      <c r="D178" s="107"/>
      <c r="E178" s="107"/>
      <c r="F178" s="107"/>
      <c r="G178" s="107"/>
      <c r="H178" s="107"/>
      <c r="I178" s="107"/>
      <c r="J178" s="107"/>
    </row>
    <row r="179" spans="2:10">
      <c r="B179" s="107"/>
      <c r="C179" s="107"/>
      <c r="D179" s="107"/>
      <c r="E179" s="107"/>
      <c r="F179" s="107"/>
      <c r="G179" s="107"/>
      <c r="H179" s="107"/>
      <c r="I179" s="107"/>
      <c r="J179" s="107"/>
    </row>
    <row r="180" spans="2:10">
      <c r="B180" s="107"/>
      <c r="C180" s="107"/>
      <c r="D180" s="107"/>
      <c r="E180" s="107"/>
      <c r="F180" s="107"/>
      <c r="G180" s="107"/>
      <c r="H180" s="107"/>
      <c r="I180" s="107"/>
      <c r="J180" s="107"/>
    </row>
    <row r="181" spans="2:10">
      <c r="B181" s="107"/>
      <c r="C181" s="107"/>
      <c r="D181" s="107"/>
      <c r="E181" s="107"/>
      <c r="F181" s="107"/>
      <c r="G181" s="107"/>
      <c r="H181" s="107"/>
      <c r="I181" s="107"/>
      <c r="J181" s="107"/>
    </row>
    <row r="182" spans="2:10">
      <c r="B182" s="107"/>
      <c r="C182" s="107"/>
      <c r="D182" s="107"/>
      <c r="E182" s="107"/>
      <c r="F182" s="107"/>
      <c r="G182" s="107"/>
      <c r="H182" s="107"/>
      <c r="I182" s="107"/>
      <c r="J182" s="107"/>
    </row>
    <row r="183" spans="2:10">
      <c r="B183" s="107"/>
      <c r="C183" s="107"/>
      <c r="D183" s="107"/>
      <c r="E183" s="107"/>
      <c r="F183" s="107"/>
      <c r="G183" s="107"/>
      <c r="H183" s="107"/>
      <c r="I183" s="107"/>
      <c r="J183" s="107"/>
    </row>
    <row r="184" spans="2:10">
      <c r="B184" s="107"/>
      <c r="C184" s="107"/>
      <c r="D184" s="107"/>
      <c r="E184" s="107"/>
      <c r="F184" s="107"/>
      <c r="G184" s="107"/>
      <c r="H184" s="107"/>
      <c r="I184" s="107"/>
      <c r="J184" s="107"/>
    </row>
    <row r="185" spans="2:10">
      <c r="B185" s="107"/>
      <c r="C185" s="107"/>
      <c r="D185" s="107"/>
      <c r="E185" s="107"/>
      <c r="F185" s="107"/>
      <c r="G185" s="107"/>
      <c r="H185" s="107"/>
      <c r="I185" s="107"/>
      <c r="J185" s="107"/>
    </row>
    <row r="186" spans="2:10">
      <c r="B186" s="107"/>
      <c r="C186" s="107"/>
      <c r="D186" s="107"/>
      <c r="E186" s="107"/>
      <c r="F186" s="107"/>
      <c r="G186" s="107"/>
      <c r="H186" s="107"/>
      <c r="I186" s="107"/>
      <c r="J186" s="107"/>
    </row>
    <row r="187" spans="2:10">
      <c r="B187" s="107"/>
      <c r="C187" s="107"/>
      <c r="D187" s="107"/>
      <c r="E187" s="107"/>
      <c r="F187" s="107"/>
      <c r="G187" s="107"/>
      <c r="H187" s="107"/>
      <c r="I187" s="107"/>
      <c r="J187" s="107"/>
    </row>
    <row r="188" spans="2:10">
      <c r="B188" s="107"/>
      <c r="C188" s="107"/>
      <c r="D188" s="107"/>
      <c r="E188" s="107"/>
      <c r="F188" s="107"/>
      <c r="G188" s="107"/>
      <c r="H188" s="107"/>
      <c r="I188" s="107"/>
      <c r="J188" s="107"/>
    </row>
    <row r="189" spans="2:10">
      <c r="B189" s="107"/>
      <c r="C189" s="107"/>
      <c r="D189" s="107"/>
      <c r="E189" s="107"/>
      <c r="F189" s="107"/>
      <c r="G189" s="107"/>
      <c r="H189" s="107"/>
      <c r="I189" s="107"/>
      <c r="J189" s="107"/>
    </row>
    <row r="190" spans="2:10">
      <c r="B190" s="107"/>
      <c r="C190" s="107"/>
      <c r="D190" s="107"/>
      <c r="E190" s="107"/>
      <c r="F190" s="107"/>
      <c r="G190" s="107"/>
      <c r="H190" s="107"/>
      <c r="I190" s="107"/>
      <c r="J190" s="107"/>
    </row>
    <row r="191" spans="2:10">
      <c r="B191" s="107"/>
      <c r="C191" s="107"/>
      <c r="D191" s="107"/>
      <c r="E191" s="107"/>
      <c r="F191" s="107"/>
      <c r="G191" s="107"/>
      <c r="H191" s="107"/>
      <c r="I191" s="107"/>
      <c r="J191" s="107"/>
    </row>
    <row r="192" spans="2:10">
      <c r="B192" s="107"/>
      <c r="C192" s="107"/>
      <c r="D192" s="107"/>
      <c r="E192" s="107"/>
      <c r="F192" s="107"/>
      <c r="G192" s="107"/>
      <c r="H192" s="107"/>
      <c r="I192" s="107"/>
      <c r="J192" s="107"/>
    </row>
    <row r="193" spans="2:10">
      <c r="B193" s="107"/>
      <c r="C193" s="107"/>
      <c r="D193" s="107"/>
      <c r="E193" s="107"/>
      <c r="F193" s="107"/>
      <c r="G193" s="107"/>
      <c r="H193" s="107"/>
      <c r="I193" s="107"/>
      <c r="J193" s="107"/>
    </row>
    <row r="194" spans="2:10">
      <c r="B194" s="107"/>
      <c r="C194" s="107"/>
      <c r="D194" s="107"/>
      <c r="E194" s="107"/>
      <c r="F194" s="107"/>
      <c r="G194" s="107"/>
      <c r="H194" s="107"/>
      <c r="I194" s="107"/>
      <c r="J194" s="107"/>
    </row>
    <row r="195" spans="2:10">
      <c r="B195" s="107"/>
      <c r="C195" s="107"/>
      <c r="D195" s="107"/>
      <c r="E195" s="107"/>
      <c r="F195" s="107"/>
      <c r="G195" s="107"/>
      <c r="H195" s="107"/>
      <c r="I195" s="107"/>
      <c r="J195" s="107"/>
    </row>
    <row r="196" spans="2:10">
      <c r="B196" s="107"/>
      <c r="C196" s="107"/>
      <c r="D196" s="107"/>
      <c r="E196" s="107"/>
      <c r="F196" s="107"/>
      <c r="G196" s="107"/>
      <c r="H196" s="107"/>
      <c r="I196" s="107"/>
      <c r="J196" s="107"/>
    </row>
    <row r="197" spans="2:10">
      <c r="B197" s="107"/>
      <c r="C197" s="107"/>
      <c r="D197" s="107"/>
      <c r="E197" s="107"/>
      <c r="F197" s="107"/>
      <c r="G197" s="107"/>
      <c r="H197" s="107"/>
      <c r="I197" s="107"/>
      <c r="J197" s="107"/>
    </row>
    <row r="198" spans="2:10">
      <c r="B198" s="107"/>
      <c r="C198" s="107"/>
      <c r="D198" s="107"/>
      <c r="E198" s="107"/>
      <c r="F198" s="107"/>
      <c r="G198" s="107"/>
      <c r="H198" s="107"/>
      <c r="I198" s="107"/>
      <c r="J198" s="107"/>
    </row>
    <row r="199" spans="2:10">
      <c r="B199" s="107"/>
      <c r="C199" s="107"/>
      <c r="D199" s="107"/>
      <c r="E199" s="107"/>
      <c r="F199" s="107"/>
      <c r="G199" s="107"/>
      <c r="H199" s="107"/>
      <c r="I199" s="107"/>
      <c r="J199" s="107"/>
    </row>
    <row r="200" spans="2:10">
      <c r="B200" s="107"/>
      <c r="C200" s="107"/>
      <c r="D200" s="107"/>
      <c r="E200" s="107"/>
      <c r="F200" s="107"/>
      <c r="G200" s="107"/>
      <c r="H200" s="107"/>
      <c r="I200" s="107"/>
      <c r="J200" s="107"/>
    </row>
    <row r="201" spans="2:10">
      <c r="B201" s="107"/>
      <c r="C201" s="107"/>
      <c r="D201" s="107"/>
      <c r="E201" s="107"/>
      <c r="F201" s="107"/>
      <c r="G201" s="107"/>
      <c r="H201" s="107"/>
      <c r="I201" s="107"/>
      <c r="J201" s="107"/>
    </row>
    <row r="202" spans="2:10">
      <c r="B202" s="107"/>
      <c r="C202" s="107"/>
      <c r="D202" s="107"/>
      <c r="E202" s="107"/>
      <c r="F202" s="107"/>
      <c r="G202" s="107"/>
      <c r="H202" s="107"/>
      <c r="I202" s="107"/>
      <c r="J202" s="107"/>
    </row>
    <row r="203" spans="2:10">
      <c r="B203" s="107"/>
      <c r="C203" s="107"/>
      <c r="D203" s="107"/>
      <c r="E203" s="107"/>
      <c r="F203" s="107"/>
      <c r="G203" s="107"/>
      <c r="H203" s="107"/>
      <c r="I203" s="107"/>
      <c r="J203" s="107"/>
    </row>
    <row r="204" spans="2:10">
      <c r="B204" s="107"/>
      <c r="C204" s="107"/>
      <c r="D204" s="107"/>
      <c r="E204" s="107"/>
      <c r="F204" s="107"/>
      <c r="G204" s="107"/>
      <c r="H204" s="107"/>
      <c r="I204" s="107"/>
      <c r="J204" s="107"/>
    </row>
    <row r="205" spans="2:10">
      <c r="B205" s="107"/>
      <c r="C205" s="107"/>
      <c r="D205" s="107"/>
      <c r="E205" s="107"/>
      <c r="F205" s="107"/>
      <c r="G205" s="107"/>
      <c r="H205" s="107"/>
      <c r="I205" s="107"/>
      <c r="J205" s="107"/>
    </row>
    <row r="206" spans="2:10">
      <c r="B206" s="107"/>
      <c r="C206" s="107"/>
      <c r="D206" s="107"/>
      <c r="E206" s="107"/>
      <c r="F206" s="107"/>
      <c r="G206" s="107"/>
      <c r="H206" s="107"/>
      <c r="I206" s="107"/>
      <c r="J206" s="107"/>
    </row>
    <row r="207" spans="2:10">
      <c r="B207" s="107"/>
      <c r="C207" s="107"/>
      <c r="D207" s="107"/>
      <c r="E207" s="107"/>
      <c r="F207" s="107"/>
      <c r="G207" s="107"/>
      <c r="H207" s="107"/>
      <c r="I207" s="107"/>
      <c r="J207" s="107"/>
    </row>
    <row r="208" spans="2:10">
      <c r="B208" s="107"/>
      <c r="C208" s="107"/>
      <c r="D208" s="107"/>
      <c r="E208" s="107"/>
      <c r="F208" s="107"/>
      <c r="G208" s="107"/>
      <c r="H208" s="107"/>
      <c r="I208" s="107"/>
      <c r="J208" s="107"/>
    </row>
    <row r="209" spans="2:10">
      <c r="B209" s="107"/>
      <c r="C209" s="107"/>
      <c r="D209" s="107"/>
      <c r="E209" s="107"/>
      <c r="F209" s="107"/>
      <c r="G209" s="107"/>
      <c r="H209" s="107"/>
      <c r="I209" s="107"/>
      <c r="J209" s="107"/>
    </row>
    <row r="210" spans="2:10">
      <c r="B210" s="107"/>
      <c r="C210" s="107"/>
      <c r="D210" s="107"/>
      <c r="E210" s="107"/>
      <c r="F210" s="107"/>
      <c r="G210" s="107"/>
      <c r="H210" s="107"/>
      <c r="I210" s="107"/>
      <c r="J210" s="107"/>
    </row>
    <row r="211" spans="2:10">
      <c r="B211" s="107"/>
      <c r="C211" s="107"/>
      <c r="D211" s="107"/>
      <c r="E211" s="107"/>
      <c r="F211" s="107"/>
      <c r="G211" s="107"/>
      <c r="H211" s="107"/>
      <c r="I211" s="107"/>
      <c r="J211" s="107"/>
    </row>
    <row r="212" spans="2:10">
      <c r="B212" s="107"/>
      <c r="C212" s="107"/>
      <c r="D212" s="107"/>
      <c r="E212" s="107"/>
      <c r="F212" s="107"/>
      <c r="G212" s="107"/>
      <c r="H212" s="107"/>
      <c r="I212" s="107"/>
      <c r="J212" s="107"/>
    </row>
    <row r="213" spans="2:10">
      <c r="B213" s="107"/>
      <c r="C213" s="107"/>
      <c r="D213" s="107"/>
      <c r="E213" s="107"/>
      <c r="F213" s="107"/>
      <c r="G213" s="107"/>
      <c r="H213" s="107"/>
      <c r="I213" s="107"/>
      <c r="J213" s="107"/>
    </row>
    <row r="214" spans="2:10">
      <c r="B214" s="107"/>
      <c r="C214" s="107"/>
      <c r="D214" s="107"/>
      <c r="E214" s="107"/>
      <c r="F214" s="107"/>
      <c r="G214" s="107"/>
      <c r="H214" s="107"/>
      <c r="I214" s="107"/>
      <c r="J214" s="107"/>
    </row>
    <row r="215" spans="2:10">
      <c r="B215" s="107"/>
      <c r="C215" s="107"/>
      <c r="D215" s="107"/>
      <c r="E215" s="107"/>
      <c r="F215" s="107"/>
      <c r="G215" s="107"/>
      <c r="H215" s="107"/>
      <c r="I215" s="107"/>
      <c r="J215" s="107"/>
    </row>
    <row r="216" spans="2:10">
      <c r="B216" s="107"/>
      <c r="C216" s="107"/>
      <c r="D216" s="107"/>
      <c r="E216" s="107"/>
      <c r="F216" s="107"/>
      <c r="G216" s="107"/>
      <c r="H216" s="107"/>
      <c r="I216" s="107"/>
      <c r="J216" s="107"/>
    </row>
    <row r="217" spans="2:10">
      <c r="B217" s="107"/>
      <c r="C217" s="107"/>
      <c r="D217" s="107"/>
      <c r="E217" s="107"/>
      <c r="F217" s="107"/>
      <c r="G217" s="107"/>
      <c r="H217" s="107"/>
      <c r="I217" s="107"/>
      <c r="J217" s="107"/>
    </row>
    <row r="218" spans="2:10">
      <c r="B218" s="107"/>
      <c r="C218" s="107"/>
      <c r="D218" s="107"/>
      <c r="E218" s="107"/>
      <c r="F218" s="107"/>
      <c r="G218" s="107"/>
      <c r="H218" s="107"/>
      <c r="I218" s="107"/>
      <c r="J218" s="107"/>
    </row>
    <row r="219" spans="2:10">
      <c r="B219" s="107"/>
      <c r="C219" s="107"/>
      <c r="D219" s="107"/>
      <c r="E219" s="107"/>
      <c r="F219" s="107"/>
      <c r="G219" s="107"/>
      <c r="H219" s="107"/>
      <c r="I219" s="107"/>
      <c r="J219" s="107"/>
    </row>
    <row r="220" spans="2:10">
      <c r="B220" s="107"/>
      <c r="C220" s="107"/>
      <c r="D220" s="107"/>
      <c r="E220" s="107"/>
      <c r="F220" s="107"/>
      <c r="G220" s="107"/>
      <c r="H220" s="107"/>
      <c r="I220" s="107"/>
      <c r="J220" s="107"/>
    </row>
    <row r="221" spans="2:10">
      <c r="B221" s="107"/>
      <c r="C221" s="107"/>
      <c r="D221" s="107"/>
      <c r="E221" s="107"/>
      <c r="F221" s="107"/>
      <c r="G221" s="107"/>
      <c r="H221" s="107"/>
      <c r="I221" s="107"/>
      <c r="J221" s="107"/>
    </row>
    <row r="222" spans="2:10">
      <c r="B222" s="107"/>
      <c r="C222" s="107"/>
      <c r="D222" s="107"/>
      <c r="E222" s="107"/>
      <c r="F222" s="107"/>
      <c r="G222" s="107"/>
      <c r="H222" s="107"/>
      <c r="I222" s="107"/>
      <c r="J222" s="107"/>
    </row>
    <row r="223" spans="2:10">
      <c r="B223" s="107"/>
      <c r="C223" s="107"/>
      <c r="D223" s="107"/>
      <c r="E223" s="107"/>
      <c r="F223" s="107"/>
      <c r="G223" s="107"/>
      <c r="H223" s="107"/>
      <c r="I223" s="107"/>
      <c r="J223" s="107"/>
    </row>
    <row r="224" spans="2:10">
      <c r="B224" s="107"/>
      <c r="C224" s="107"/>
      <c r="D224" s="107"/>
      <c r="E224" s="107"/>
      <c r="F224" s="107"/>
      <c r="G224" s="107"/>
      <c r="H224" s="107"/>
      <c r="I224" s="107"/>
      <c r="J224" s="107"/>
    </row>
    <row r="225" spans="2:10">
      <c r="B225" s="107"/>
      <c r="C225" s="107"/>
      <c r="D225" s="107"/>
      <c r="E225" s="107"/>
      <c r="F225" s="107"/>
      <c r="G225" s="107"/>
      <c r="H225" s="107"/>
      <c r="I225" s="107"/>
      <c r="J225" s="107"/>
    </row>
    <row r="226" spans="2:10">
      <c r="B226" s="107"/>
      <c r="C226" s="107"/>
      <c r="D226" s="107"/>
      <c r="E226" s="107"/>
      <c r="F226" s="107"/>
      <c r="G226" s="107"/>
      <c r="H226" s="107"/>
      <c r="I226" s="107"/>
      <c r="J226" s="107"/>
    </row>
    <row r="227" spans="2:10">
      <c r="B227" s="107"/>
      <c r="C227" s="107"/>
      <c r="D227" s="107"/>
      <c r="E227" s="107"/>
      <c r="F227" s="107"/>
      <c r="G227" s="107"/>
      <c r="H227" s="107"/>
      <c r="I227" s="107"/>
      <c r="J227" s="107"/>
    </row>
    <row r="228" spans="2:10">
      <c r="B228" s="107"/>
      <c r="C228" s="107"/>
      <c r="D228" s="107"/>
      <c r="E228" s="107"/>
      <c r="F228" s="107"/>
      <c r="G228" s="107"/>
      <c r="H228" s="107"/>
      <c r="I228" s="107"/>
      <c r="J228" s="107"/>
    </row>
    <row r="229" spans="2:10">
      <c r="B229" s="107"/>
      <c r="C229" s="107"/>
      <c r="D229" s="107"/>
      <c r="E229" s="107"/>
      <c r="F229" s="107"/>
      <c r="G229" s="107"/>
      <c r="H229" s="107"/>
      <c r="I229" s="107"/>
      <c r="J229" s="107"/>
    </row>
    <row r="230" spans="2:10">
      <c r="B230" s="107"/>
      <c r="C230" s="107"/>
      <c r="D230" s="107"/>
      <c r="E230" s="107"/>
      <c r="F230" s="107"/>
      <c r="G230" s="107"/>
      <c r="H230" s="107"/>
      <c r="I230" s="107"/>
      <c r="J230" s="107"/>
    </row>
    <row r="231" spans="2:10">
      <c r="B231" s="107"/>
      <c r="C231" s="107"/>
      <c r="D231" s="107"/>
      <c r="E231" s="107"/>
      <c r="F231" s="107"/>
      <c r="G231" s="107"/>
      <c r="H231" s="107"/>
      <c r="I231" s="107"/>
      <c r="J231" s="107"/>
    </row>
    <row r="232" spans="2:10">
      <c r="B232" s="107"/>
      <c r="C232" s="107"/>
      <c r="D232" s="107"/>
      <c r="E232" s="107"/>
      <c r="F232" s="107"/>
      <c r="G232" s="107"/>
      <c r="H232" s="107"/>
      <c r="I232" s="107"/>
      <c r="J232" s="107"/>
    </row>
    <row r="233" spans="2:10">
      <c r="B233" s="107"/>
      <c r="C233" s="107"/>
      <c r="D233" s="107"/>
      <c r="E233" s="107"/>
      <c r="F233" s="107"/>
      <c r="G233" s="107"/>
      <c r="H233" s="107"/>
      <c r="I233" s="107"/>
      <c r="J233" s="107"/>
    </row>
    <row r="234" spans="2:10">
      <c r="B234" s="107"/>
      <c r="C234" s="107"/>
      <c r="D234" s="107"/>
      <c r="E234" s="107"/>
      <c r="F234" s="107"/>
      <c r="G234" s="107"/>
      <c r="H234" s="107"/>
      <c r="I234" s="107"/>
      <c r="J234" s="107"/>
    </row>
    <row r="235" spans="2:10">
      <c r="B235" s="107"/>
      <c r="C235" s="107"/>
      <c r="D235" s="107"/>
      <c r="E235" s="107"/>
      <c r="F235" s="107"/>
      <c r="G235" s="107"/>
      <c r="H235" s="107"/>
      <c r="I235" s="107"/>
      <c r="J235" s="107"/>
    </row>
    <row r="236" spans="2:10">
      <c r="B236" s="107"/>
      <c r="C236" s="107"/>
      <c r="D236" s="107"/>
      <c r="E236" s="107"/>
      <c r="F236" s="107"/>
      <c r="G236" s="107"/>
      <c r="H236" s="107"/>
      <c r="I236" s="107"/>
      <c r="J236" s="107"/>
    </row>
    <row r="237" spans="2:10">
      <c r="B237" s="107"/>
      <c r="C237" s="107"/>
      <c r="D237" s="107"/>
      <c r="E237" s="107"/>
      <c r="F237" s="107"/>
      <c r="G237" s="107"/>
      <c r="H237" s="107"/>
      <c r="I237" s="107"/>
      <c r="J237" s="107"/>
    </row>
    <row r="238" spans="2:10">
      <c r="B238" s="107"/>
      <c r="C238" s="107"/>
      <c r="D238" s="107"/>
      <c r="E238" s="107"/>
      <c r="F238" s="107"/>
      <c r="G238" s="107"/>
      <c r="H238" s="107"/>
      <c r="I238" s="107"/>
      <c r="J238" s="107"/>
    </row>
    <row r="239" spans="2:10">
      <c r="B239" s="107"/>
      <c r="C239" s="107"/>
      <c r="D239" s="107"/>
      <c r="E239" s="107"/>
      <c r="F239" s="107"/>
      <c r="G239" s="107"/>
      <c r="H239" s="107"/>
      <c r="I239" s="107"/>
      <c r="J239" s="107"/>
    </row>
    <row r="240" spans="2:10">
      <c r="B240" s="107"/>
      <c r="C240" s="107"/>
      <c r="D240" s="107"/>
      <c r="E240" s="107"/>
      <c r="F240" s="107"/>
      <c r="G240" s="107"/>
      <c r="H240" s="107"/>
      <c r="I240" s="107"/>
      <c r="J240" s="107"/>
    </row>
    <row r="241" spans="2:10">
      <c r="B241" s="107"/>
      <c r="C241" s="107"/>
      <c r="D241" s="107"/>
      <c r="E241" s="107"/>
      <c r="F241" s="107"/>
      <c r="G241" s="107"/>
      <c r="H241" s="107"/>
      <c r="I241" s="107"/>
      <c r="J241" s="107"/>
    </row>
    <row r="242" spans="2:10">
      <c r="B242" s="107"/>
      <c r="C242" s="107"/>
      <c r="D242" s="107"/>
      <c r="E242" s="107"/>
      <c r="F242" s="107"/>
      <c r="G242" s="107"/>
      <c r="H242" s="107"/>
      <c r="I242" s="107"/>
      <c r="J242" s="107"/>
    </row>
    <row r="243" spans="2:10">
      <c r="B243" s="107"/>
      <c r="C243" s="107"/>
      <c r="D243" s="107"/>
      <c r="E243" s="107"/>
      <c r="F243" s="107"/>
      <c r="G243" s="107"/>
      <c r="H243" s="107"/>
      <c r="I243" s="107"/>
      <c r="J243" s="107"/>
    </row>
    <row r="244" spans="2:10">
      <c r="B244" s="107"/>
      <c r="C244" s="107"/>
      <c r="D244" s="107"/>
      <c r="E244" s="107"/>
      <c r="F244" s="107"/>
      <c r="G244" s="107"/>
      <c r="H244" s="107"/>
      <c r="I244" s="107"/>
      <c r="J244" s="107"/>
    </row>
    <row r="245" spans="2:10">
      <c r="B245" s="107"/>
      <c r="C245" s="107"/>
      <c r="D245" s="107"/>
      <c r="E245" s="107"/>
      <c r="F245" s="107"/>
      <c r="G245" s="107"/>
      <c r="H245" s="107"/>
      <c r="I245" s="107"/>
      <c r="J245" s="107"/>
    </row>
    <row r="246" spans="2:10">
      <c r="B246" s="107"/>
      <c r="C246" s="107"/>
      <c r="D246" s="107"/>
      <c r="E246" s="107"/>
      <c r="F246" s="107"/>
      <c r="G246" s="107"/>
      <c r="H246" s="107"/>
      <c r="I246" s="107"/>
      <c r="J246" s="107"/>
    </row>
    <row r="247" spans="2:10">
      <c r="B247" s="107"/>
      <c r="C247" s="107"/>
      <c r="D247" s="107"/>
      <c r="E247" s="107"/>
      <c r="F247" s="107"/>
      <c r="G247" s="107"/>
      <c r="H247" s="107"/>
      <c r="I247" s="107"/>
      <c r="J247" s="107"/>
    </row>
    <row r="248" spans="2:10">
      <c r="B248" s="107"/>
      <c r="C248" s="107"/>
      <c r="D248" s="107"/>
      <c r="E248" s="107"/>
      <c r="F248" s="107"/>
      <c r="G248" s="107"/>
      <c r="H248" s="107"/>
      <c r="I248" s="107"/>
      <c r="J248" s="107"/>
    </row>
    <row r="249" spans="2:10">
      <c r="B249" s="107"/>
      <c r="C249" s="107"/>
      <c r="D249" s="107"/>
      <c r="E249" s="107"/>
      <c r="F249" s="107"/>
      <c r="G249" s="107"/>
      <c r="H249" s="107"/>
      <c r="I249" s="107"/>
      <c r="J249" s="107"/>
    </row>
    <row r="250" spans="2:10">
      <c r="B250" s="107"/>
      <c r="C250" s="107"/>
      <c r="D250" s="107"/>
      <c r="E250" s="107"/>
      <c r="F250" s="107"/>
      <c r="G250" s="107"/>
      <c r="H250" s="107"/>
      <c r="I250" s="107"/>
      <c r="J250" s="107"/>
    </row>
    <row r="251" spans="2:10">
      <c r="B251" s="107"/>
      <c r="C251" s="107"/>
      <c r="D251" s="107"/>
      <c r="E251" s="107"/>
      <c r="F251" s="107"/>
      <c r="G251" s="107"/>
      <c r="H251" s="107"/>
      <c r="I251" s="107"/>
      <c r="J251" s="107"/>
    </row>
    <row r="252" spans="2:10">
      <c r="B252" s="107"/>
      <c r="C252" s="107"/>
      <c r="D252" s="107"/>
      <c r="E252" s="107"/>
      <c r="F252" s="107"/>
      <c r="G252" s="107"/>
      <c r="H252" s="107"/>
      <c r="I252" s="107"/>
      <c r="J252" s="107"/>
    </row>
    <row r="253" spans="2:10">
      <c r="B253" s="107"/>
      <c r="C253" s="107"/>
      <c r="D253" s="107"/>
      <c r="E253" s="107"/>
      <c r="F253" s="107"/>
      <c r="G253" s="107"/>
      <c r="H253" s="107"/>
      <c r="I253" s="107"/>
      <c r="J253" s="107"/>
    </row>
    <row r="254" spans="2:10">
      <c r="B254" s="107"/>
      <c r="C254" s="107"/>
      <c r="D254" s="107"/>
      <c r="E254" s="107"/>
      <c r="F254" s="107"/>
      <c r="G254" s="107"/>
      <c r="H254" s="107"/>
      <c r="I254" s="107"/>
      <c r="J254" s="107"/>
    </row>
    <row r="255" spans="2:10">
      <c r="B255" s="107"/>
      <c r="C255" s="107"/>
      <c r="D255" s="107"/>
      <c r="E255" s="107"/>
      <c r="F255" s="107"/>
      <c r="G255" s="107"/>
      <c r="H255" s="107"/>
      <c r="I255" s="107"/>
      <c r="J255" s="107"/>
    </row>
    <row r="256" spans="2:10">
      <c r="B256" s="107"/>
      <c r="C256" s="107"/>
      <c r="D256" s="107"/>
      <c r="E256" s="107"/>
      <c r="F256" s="107"/>
      <c r="G256" s="107"/>
      <c r="H256" s="107"/>
      <c r="I256" s="107"/>
      <c r="J256" s="107"/>
    </row>
    <row r="257" spans="2:10">
      <c r="B257" s="107"/>
      <c r="C257" s="107"/>
      <c r="D257" s="107"/>
      <c r="E257" s="107"/>
      <c r="F257" s="107"/>
      <c r="G257" s="107"/>
      <c r="H257" s="107"/>
      <c r="I257" s="107"/>
      <c r="J257" s="107"/>
    </row>
    <row r="258" spans="2:10">
      <c r="B258" s="107"/>
      <c r="C258" s="107"/>
      <c r="D258" s="107"/>
      <c r="E258" s="107"/>
      <c r="F258" s="107"/>
      <c r="G258" s="107"/>
      <c r="H258" s="107"/>
      <c r="I258" s="107"/>
      <c r="J258" s="107"/>
    </row>
    <row r="259" spans="2:10">
      <c r="B259" s="107"/>
      <c r="C259" s="107"/>
      <c r="D259" s="107"/>
      <c r="E259" s="107"/>
      <c r="F259" s="107"/>
      <c r="G259" s="107"/>
      <c r="H259" s="107"/>
      <c r="I259" s="107"/>
      <c r="J259" s="107"/>
    </row>
    <row r="260" spans="2:10">
      <c r="B260" s="107"/>
      <c r="C260" s="107"/>
      <c r="D260" s="107"/>
      <c r="E260" s="107"/>
      <c r="F260" s="107"/>
      <c r="G260" s="107"/>
      <c r="H260" s="107"/>
      <c r="I260" s="107"/>
      <c r="J260" s="107"/>
    </row>
    <row r="261" spans="2:10">
      <c r="B261" s="107"/>
      <c r="C261" s="107"/>
      <c r="D261" s="107"/>
      <c r="E261" s="107"/>
      <c r="F261" s="107"/>
      <c r="G261" s="107"/>
      <c r="H261" s="107"/>
      <c r="I261" s="107"/>
      <c r="J261" s="107"/>
    </row>
    <row r="262" spans="2:10">
      <c r="B262" s="107"/>
      <c r="C262" s="107"/>
      <c r="D262" s="107"/>
      <c r="E262" s="107"/>
      <c r="F262" s="107"/>
      <c r="G262" s="107"/>
      <c r="H262" s="107"/>
      <c r="I262" s="107"/>
      <c r="J262" s="107"/>
    </row>
    <row r="263" spans="2:10">
      <c r="B263" s="107"/>
      <c r="C263" s="107"/>
      <c r="D263" s="107"/>
      <c r="E263" s="107"/>
      <c r="F263" s="107"/>
      <c r="G263" s="107"/>
      <c r="H263" s="107"/>
      <c r="I263" s="107"/>
      <c r="J263" s="107"/>
    </row>
    <row r="264" spans="2:10">
      <c r="B264" s="107"/>
      <c r="C264" s="107"/>
      <c r="D264" s="107"/>
      <c r="E264" s="107"/>
      <c r="F264" s="107"/>
      <c r="G264" s="107"/>
      <c r="H264" s="107"/>
      <c r="I264" s="107"/>
      <c r="J264" s="107"/>
    </row>
    <row r="265" spans="2:10">
      <c r="B265" s="107"/>
      <c r="C265" s="107"/>
      <c r="D265" s="107"/>
      <c r="E265" s="107"/>
      <c r="F265" s="107"/>
      <c r="G265" s="107"/>
      <c r="H265" s="107"/>
      <c r="I265" s="107"/>
      <c r="J265" s="107"/>
    </row>
    <row r="266" spans="2:10">
      <c r="B266" s="107"/>
      <c r="C266" s="107"/>
      <c r="D266" s="107"/>
      <c r="E266" s="107"/>
      <c r="F266" s="107"/>
      <c r="G266" s="107"/>
      <c r="H266" s="107"/>
      <c r="I266" s="107"/>
      <c r="J266" s="107"/>
    </row>
    <row r="267" spans="2:10">
      <c r="B267" s="107"/>
      <c r="C267" s="107"/>
      <c r="D267" s="107"/>
      <c r="E267" s="107"/>
      <c r="F267" s="107"/>
      <c r="G267" s="107"/>
      <c r="H267" s="107"/>
      <c r="I267" s="107"/>
      <c r="J267" s="107"/>
    </row>
    <row r="268" spans="2:10">
      <c r="B268" s="107"/>
      <c r="C268" s="107"/>
      <c r="D268" s="107"/>
      <c r="E268" s="107"/>
      <c r="F268" s="107"/>
      <c r="G268" s="107"/>
      <c r="H268" s="107"/>
      <c r="I268" s="107"/>
      <c r="J268" s="107"/>
    </row>
    <row r="269" spans="2:10">
      <c r="B269" s="107"/>
      <c r="C269" s="107"/>
      <c r="D269" s="107"/>
      <c r="E269" s="107"/>
      <c r="F269" s="107"/>
      <c r="G269" s="107"/>
      <c r="H269" s="107"/>
      <c r="I269" s="107"/>
      <c r="J269" s="107"/>
    </row>
    <row r="270" spans="2:10">
      <c r="B270" s="107"/>
      <c r="C270" s="107"/>
      <c r="D270" s="107"/>
      <c r="E270" s="107"/>
      <c r="F270" s="107"/>
      <c r="G270" s="107"/>
      <c r="H270" s="107"/>
      <c r="I270" s="107"/>
      <c r="J270" s="107"/>
    </row>
    <row r="271" spans="2:10">
      <c r="B271" s="107"/>
      <c r="C271" s="107"/>
      <c r="D271" s="107"/>
      <c r="E271" s="107"/>
      <c r="F271" s="107"/>
      <c r="G271" s="107"/>
      <c r="H271" s="107"/>
      <c r="I271" s="107"/>
      <c r="J271" s="107"/>
    </row>
    <row r="272" spans="2:10">
      <c r="B272" s="107"/>
      <c r="C272" s="107"/>
      <c r="D272" s="107"/>
      <c r="E272" s="107"/>
      <c r="F272" s="107"/>
      <c r="G272" s="107"/>
      <c r="H272" s="107"/>
      <c r="I272" s="107"/>
      <c r="J272" s="107"/>
    </row>
    <row r="273" spans="2:10">
      <c r="B273" s="107"/>
      <c r="C273" s="107"/>
      <c r="D273" s="107"/>
      <c r="E273" s="107"/>
      <c r="F273" s="107"/>
      <c r="G273" s="107"/>
      <c r="H273" s="107"/>
      <c r="I273" s="107"/>
      <c r="J273" s="107"/>
    </row>
    <row r="274" spans="2:10">
      <c r="B274" s="107"/>
      <c r="C274" s="107"/>
      <c r="D274" s="107"/>
      <c r="E274" s="107"/>
      <c r="F274" s="107"/>
      <c r="G274" s="107"/>
      <c r="H274" s="107"/>
      <c r="I274" s="107"/>
      <c r="J274" s="107"/>
    </row>
    <row r="275" spans="2:10">
      <c r="B275" s="107"/>
      <c r="C275" s="107"/>
      <c r="D275" s="107"/>
      <c r="E275" s="107"/>
      <c r="F275" s="107"/>
      <c r="G275" s="107"/>
      <c r="H275" s="107"/>
      <c r="I275" s="107"/>
      <c r="J275" s="107"/>
    </row>
    <row r="276" spans="2:10">
      <c r="B276" s="107"/>
      <c r="C276" s="107"/>
      <c r="D276" s="107"/>
      <c r="E276" s="107"/>
      <c r="F276" s="107"/>
      <c r="G276" s="107"/>
      <c r="H276" s="107"/>
      <c r="I276" s="107"/>
      <c r="J276" s="107"/>
    </row>
    <row r="277" spans="2:10">
      <c r="B277" s="107"/>
      <c r="C277" s="107"/>
      <c r="D277" s="107"/>
      <c r="E277" s="107"/>
      <c r="F277" s="107"/>
      <c r="G277" s="107"/>
      <c r="H277" s="107"/>
      <c r="I277" s="107"/>
      <c r="J277" s="107"/>
    </row>
    <row r="278" spans="2:10">
      <c r="B278" s="107"/>
      <c r="C278" s="107"/>
      <c r="D278" s="107"/>
      <c r="E278" s="107"/>
      <c r="F278" s="107"/>
      <c r="G278" s="107"/>
      <c r="H278" s="107"/>
      <c r="I278" s="107"/>
      <c r="J278" s="107"/>
    </row>
    <row r="279" spans="2:10">
      <c r="B279" s="107"/>
      <c r="C279" s="107"/>
      <c r="D279" s="107"/>
      <c r="E279" s="107"/>
      <c r="F279" s="107"/>
      <c r="G279" s="107"/>
      <c r="H279" s="107"/>
      <c r="I279" s="107"/>
      <c r="J279" s="107"/>
    </row>
    <row r="280" spans="2:10">
      <c r="B280" s="107"/>
      <c r="C280" s="107"/>
      <c r="D280" s="107"/>
      <c r="E280" s="107"/>
      <c r="F280" s="107"/>
      <c r="G280" s="107"/>
      <c r="H280" s="107"/>
      <c r="I280" s="107"/>
      <c r="J280" s="107"/>
    </row>
    <row r="281" spans="2:10">
      <c r="B281" s="107"/>
      <c r="C281" s="107"/>
      <c r="D281" s="107"/>
      <c r="E281" s="107"/>
      <c r="F281" s="107"/>
      <c r="G281" s="107"/>
      <c r="H281" s="107"/>
      <c r="I281" s="107"/>
      <c r="J281" s="107"/>
    </row>
    <row r="282" spans="2:10">
      <c r="B282" s="107"/>
      <c r="C282" s="107"/>
      <c r="D282" s="107"/>
      <c r="E282" s="107"/>
      <c r="F282" s="107"/>
      <c r="G282" s="107"/>
      <c r="H282" s="107"/>
      <c r="I282" s="107"/>
      <c r="J282" s="107"/>
    </row>
    <row r="283" spans="2:10">
      <c r="B283" s="107"/>
      <c r="C283" s="107"/>
      <c r="D283" s="107"/>
      <c r="E283" s="107"/>
      <c r="F283" s="107"/>
      <c r="G283" s="107"/>
      <c r="H283" s="107"/>
      <c r="I283" s="107"/>
      <c r="J283" s="107"/>
    </row>
    <row r="284" spans="2:10">
      <c r="B284" s="107"/>
      <c r="C284" s="107"/>
      <c r="D284" s="107"/>
      <c r="E284" s="107"/>
      <c r="F284" s="107"/>
      <c r="G284" s="107"/>
      <c r="H284" s="107"/>
      <c r="I284" s="107"/>
      <c r="J284" s="107"/>
    </row>
    <row r="285" spans="2:10">
      <c r="B285" s="107"/>
      <c r="C285" s="107"/>
      <c r="D285" s="107"/>
      <c r="E285" s="107"/>
      <c r="F285" s="107"/>
      <c r="G285" s="107"/>
      <c r="H285" s="107"/>
      <c r="I285" s="107"/>
      <c r="J285" s="107"/>
    </row>
    <row r="286" spans="2:10">
      <c r="B286" s="107"/>
      <c r="C286" s="107"/>
      <c r="D286" s="107"/>
      <c r="E286" s="107"/>
      <c r="F286" s="107"/>
      <c r="G286" s="107"/>
      <c r="H286" s="107"/>
      <c r="I286" s="107"/>
      <c r="J286" s="107"/>
    </row>
    <row r="287" spans="2:10">
      <c r="B287" s="107"/>
      <c r="C287" s="107"/>
      <c r="D287" s="107"/>
      <c r="E287" s="107"/>
      <c r="F287" s="107"/>
      <c r="G287" s="107"/>
      <c r="H287" s="107"/>
      <c r="I287" s="107"/>
      <c r="J287" s="107"/>
    </row>
    <row r="288" spans="2:10">
      <c r="B288" s="107"/>
      <c r="C288" s="107"/>
      <c r="D288" s="107"/>
      <c r="E288" s="107"/>
      <c r="F288" s="107"/>
      <c r="G288" s="107"/>
      <c r="H288" s="107"/>
      <c r="I288" s="107"/>
      <c r="J288" s="107"/>
    </row>
    <row r="289" spans="2:10">
      <c r="B289" s="107"/>
      <c r="C289" s="107"/>
      <c r="D289" s="107"/>
      <c r="E289" s="107"/>
      <c r="F289" s="107"/>
      <c r="G289" s="107"/>
      <c r="H289" s="107"/>
      <c r="I289" s="107"/>
      <c r="J289" s="107"/>
    </row>
    <row r="290" spans="2:10">
      <c r="B290" s="107"/>
      <c r="C290" s="107"/>
      <c r="D290" s="107"/>
      <c r="E290" s="107"/>
      <c r="F290" s="107"/>
      <c r="G290" s="107"/>
      <c r="H290" s="107"/>
      <c r="I290" s="107"/>
      <c r="J290" s="107"/>
    </row>
    <row r="291" spans="2:10">
      <c r="B291" s="107"/>
      <c r="C291" s="107"/>
      <c r="D291" s="107"/>
      <c r="E291" s="107"/>
      <c r="F291" s="107"/>
      <c r="G291" s="107"/>
      <c r="H291" s="107"/>
      <c r="I291" s="107"/>
      <c r="J291" s="107"/>
    </row>
    <row r="292" spans="2:10">
      <c r="B292" s="107"/>
      <c r="C292" s="107"/>
      <c r="D292" s="107"/>
      <c r="E292" s="107"/>
      <c r="F292" s="107"/>
      <c r="G292" s="107"/>
      <c r="H292" s="107"/>
      <c r="I292" s="107"/>
      <c r="J292" s="107"/>
    </row>
    <row r="293" spans="2:10">
      <c r="B293" s="107"/>
      <c r="C293" s="107"/>
      <c r="D293" s="107"/>
      <c r="E293" s="107"/>
      <c r="F293" s="107"/>
      <c r="G293" s="107"/>
      <c r="H293" s="107"/>
      <c r="I293" s="107"/>
      <c r="J293" s="107"/>
    </row>
    <row r="294" spans="2:10">
      <c r="B294" s="107"/>
      <c r="C294" s="107"/>
      <c r="D294" s="107"/>
      <c r="E294" s="107"/>
      <c r="F294" s="107"/>
      <c r="G294" s="107"/>
      <c r="H294" s="107"/>
      <c r="I294" s="107"/>
      <c r="J294" s="107"/>
    </row>
    <row r="295" spans="2:10">
      <c r="B295" s="107"/>
      <c r="C295" s="107"/>
      <c r="D295" s="107"/>
      <c r="E295" s="107"/>
      <c r="F295" s="107"/>
      <c r="G295" s="107"/>
      <c r="H295" s="107"/>
      <c r="I295" s="107"/>
      <c r="J295" s="107"/>
    </row>
    <row r="296" spans="2:10">
      <c r="B296" s="107"/>
      <c r="C296" s="107"/>
      <c r="D296" s="107"/>
      <c r="E296" s="107"/>
      <c r="F296" s="107"/>
      <c r="G296" s="107"/>
      <c r="H296" s="107"/>
      <c r="I296" s="107"/>
      <c r="J296" s="107"/>
    </row>
    <row r="297" spans="2:10">
      <c r="B297" s="107"/>
      <c r="C297" s="107"/>
      <c r="D297" s="107"/>
      <c r="E297" s="107"/>
      <c r="F297" s="107"/>
      <c r="G297" s="107"/>
      <c r="H297" s="107"/>
      <c r="I297" s="107"/>
      <c r="J297" s="107"/>
    </row>
    <row r="298" spans="2:10">
      <c r="B298" s="107"/>
      <c r="C298" s="107"/>
      <c r="D298" s="107"/>
      <c r="E298" s="107"/>
      <c r="F298" s="107"/>
      <c r="G298" s="107"/>
      <c r="H298" s="107"/>
      <c r="I298" s="107"/>
      <c r="J298" s="107"/>
    </row>
    <row r="299" spans="2:10">
      <c r="B299" s="107"/>
      <c r="C299" s="107"/>
      <c r="D299" s="107"/>
      <c r="E299" s="107"/>
      <c r="F299" s="107"/>
      <c r="G299" s="107"/>
      <c r="H299" s="107"/>
      <c r="I299" s="107"/>
      <c r="J299" s="107"/>
    </row>
    <row r="300" spans="2:10">
      <c r="B300" s="107"/>
      <c r="C300" s="107"/>
      <c r="D300" s="107"/>
      <c r="E300" s="107"/>
      <c r="F300" s="107"/>
      <c r="G300" s="107"/>
      <c r="H300" s="107"/>
      <c r="I300" s="107"/>
      <c r="J300" s="107"/>
    </row>
    <row r="301" spans="2:10">
      <c r="B301" s="107"/>
      <c r="C301" s="107"/>
      <c r="D301" s="107"/>
      <c r="E301" s="107"/>
      <c r="F301" s="107"/>
      <c r="G301" s="107"/>
      <c r="H301" s="107"/>
      <c r="I301" s="107"/>
      <c r="J301" s="107"/>
    </row>
    <row r="302" spans="2:10">
      <c r="B302" s="107"/>
      <c r="C302" s="107"/>
      <c r="D302" s="107"/>
      <c r="E302" s="107"/>
      <c r="F302" s="107"/>
      <c r="G302" s="107"/>
      <c r="H302" s="107"/>
      <c r="I302" s="107"/>
      <c r="J302" s="107"/>
    </row>
    <row r="303" spans="2:10">
      <c r="B303" s="107"/>
      <c r="C303" s="107"/>
      <c r="D303" s="107"/>
      <c r="E303" s="107"/>
      <c r="F303" s="107"/>
      <c r="G303" s="107"/>
      <c r="H303" s="107"/>
      <c r="I303" s="107"/>
      <c r="J303" s="107"/>
    </row>
    <row r="304" spans="2:10">
      <c r="B304" s="107"/>
      <c r="C304" s="107"/>
      <c r="D304" s="107"/>
      <c r="E304" s="107"/>
      <c r="F304" s="107"/>
      <c r="G304" s="107"/>
      <c r="H304" s="107"/>
      <c r="I304" s="107"/>
      <c r="J304" s="107"/>
    </row>
    <row r="305" spans="2:10">
      <c r="B305" s="107"/>
      <c r="C305" s="107"/>
      <c r="D305" s="107"/>
      <c r="E305" s="107"/>
      <c r="F305" s="107"/>
      <c r="G305" s="107"/>
      <c r="H305" s="107"/>
      <c r="I305" s="107"/>
      <c r="J305" s="107"/>
    </row>
    <row r="306" spans="2:10">
      <c r="B306" s="107"/>
      <c r="C306" s="107"/>
      <c r="D306" s="107"/>
      <c r="E306" s="107"/>
      <c r="F306" s="107"/>
      <c r="G306" s="107"/>
      <c r="H306" s="107"/>
      <c r="I306" s="107"/>
      <c r="J306" s="107"/>
    </row>
    <row r="307" spans="2:10">
      <c r="B307" s="107"/>
      <c r="C307" s="107"/>
      <c r="D307" s="107"/>
      <c r="E307" s="107"/>
      <c r="F307" s="107"/>
      <c r="G307" s="107"/>
      <c r="H307" s="107"/>
      <c r="I307" s="107"/>
      <c r="J307" s="107"/>
    </row>
    <row r="308" spans="2:10">
      <c r="B308" s="107"/>
      <c r="C308" s="107"/>
      <c r="D308" s="107"/>
      <c r="E308" s="107"/>
      <c r="F308" s="107"/>
      <c r="G308" s="107"/>
      <c r="H308" s="107"/>
      <c r="I308" s="107"/>
      <c r="J308" s="107"/>
    </row>
    <row r="309" spans="2:10">
      <c r="B309" s="107"/>
      <c r="C309" s="107"/>
      <c r="D309" s="107"/>
      <c r="E309" s="107"/>
      <c r="F309" s="107"/>
      <c r="G309" s="107"/>
      <c r="H309" s="107"/>
      <c r="I309" s="107"/>
      <c r="J309" s="107"/>
    </row>
    <row r="310" spans="2:10">
      <c r="B310" s="107"/>
      <c r="C310" s="107"/>
      <c r="D310" s="107"/>
      <c r="E310" s="107"/>
      <c r="F310" s="107"/>
      <c r="G310" s="107"/>
      <c r="H310" s="107"/>
      <c r="I310" s="107"/>
      <c r="J310" s="107"/>
    </row>
    <row r="311" spans="2:10">
      <c r="B311" s="107"/>
      <c r="C311" s="107"/>
      <c r="D311" s="107"/>
      <c r="E311" s="107"/>
      <c r="F311" s="107"/>
      <c r="G311" s="107"/>
      <c r="H311" s="107"/>
      <c r="I311" s="107"/>
      <c r="J311" s="107"/>
    </row>
    <row r="312" spans="2:10">
      <c r="B312" s="107"/>
      <c r="C312" s="107"/>
      <c r="D312" s="107"/>
      <c r="E312" s="107"/>
      <c r="F312" s="107"/>
      <c r="G312" s="107"/>
      <c r="H312" s="107"/>
      <c r="I312" s="107"/>
      <c r="J312" s="107"/>
    </row>
    <row r="313" spans="2:10">
      <c r="B313" s="107"/>
      <c r="C313" s="107"/>
      <c r="D313" s="107"/>
      <c r="E313" s="107"/>
      <c r="F313" s="107"/>
      <c r="G313" s="107"/>
      <c r="H313" s="107"/>
      <c r="I313" s="107"/>
      <c r="J313" s="107"/>
    </row>
    <row r="314" spans="2:10">
      <c r="B314" s="107"/>
      <c r="C314" s="107"/>
      <c r="D314" s="107"/>
      <c r="E314" s="107"/>
      <c r="F314" s="107"/>
      <c r="G314" s="107"/>
      <c r="H314" s="107"/>
      <c r="I314" s="107"/>
      <c r="J314" s="107"/>
    </row>
    <row r="315" spans="2:10">
      <c r="B315" s="107"/>
      <c r="C315" s="107"/>
      <c r="D315" s="107"/>
      <c r="E315" s="107"/>
      <c r="F315" s="107"/>
      <c r="G315" s="107"/>
      <c r="H315" s="107"/>
      <c r="I315" s="107"/>
      <c r="J315" s="107"/>
    </row>
    <row r="316" spans="2:10">
      <c r="B316" s="107"/>
      <c r="C316" s="107"/>
      <c r="D316" s="107"/>
      <c r="E316" s="107"/>
      <c r="F316" s="107"/>
      <c r="G316" s="107"/>
      <c r="H316" s="107"/>
      <c r="I316" s="107"/>
      <c r="J316" s="107"/>
    </row>
    <row r="317" spans="2:10">
      <c r="B317" s="107"/>
      <c r="C317" s="107"/>
      <c r="D317" s="107"/>
      <c r="E317" s="107"/>
      <c r="F317" s="107"/>
      <c r="G317" s="107"/>
      <c r="H317" s="107"/>
      <c r="I317" s="107"/>
      <c r="J317" s="107"/>
    </row>
    <row r="318" spans="2:10">
      <c r="B318" s="107"/>
      <c r="C318" s="107"/>
      <c r="D318" s="107"/>
      <c r="E318" s="107"/>
      <c r="F318" s="107"/>
      <c r="G318" s="107"/>
      <c r="H318" s="107"/>
      <c r="I318" s="107"/>
      <c r="J318" s="107"/>
    </row>
    <row r="319" spans="2:10">
      <c r="B319" s="107"/>
      <c r="C319" s="107"/>
      <c r="D319" s="107"/>
      <c r="E319" s="107"/>
      <c r="F319" s="107"/>
      <c r="G319" s="107"/>
      <c r="H319" s="107"/>
      <c r="I319" s="107"/>
      <c r="J319" s="107"/>
    </row>
    <row r="320" spans="2:10">
      <c r="B320" s="107"/>
      <c r="C320" s="107"/>
      <c r="D320" s="107"/>
      <c r="E320" s="107"/>
      <c r="F320" s="107"/>
      <c r="G320" s="107"/>
      <c r="H320" s="107"/>
      <c r="I320" s="107"/>
      <c r="J320" s="107"/>
    </row>
    <row r="321" spans="2:10">
      <c r="B321" s="107"/>
      <c r="C321" s="107"/>
      <c r="D321" s="107"/>
      <c r="E321" s="107"/>
      <c r="F321" s="107"/>
      <c r="G321" s="107"/>
      <c r="H321" s="107"/>
      <c r="I321" s="107"/>
      <c r="J321" s="107"/>
    </row>
    <row r="322" spans="2:10">
      <c r="B322" s="107"/>
      <c r="C322" s="107"/>
      <c r="D322" s="107"/>
      <c r="E322" s="107"/>
      <c r="F322" s="107"/>
      <c r="G322" s="107"/>
      <c r="H322" s="107"/>
      <c r="I322" s="107"/>
      <c r="J322" s="107"/>
    </row>
    <row r="323" spans="2:10">
      <c r="B323" s="107"/>
      <c r="C323" s="107"/>
      <c r="D323" s="107"/>
      <c r="E323" s="107"/>
      <c r="F323" s="107"/>
      <c r="G323" s="107"/>
      <c r="H323" s="107"/>
      <c r="I323" s="107"/>
      <c r="J323" s="107"/>
    </row>
    <row r="324" spans="2:10">
      <c r="B324" s="107"/>
      <c r="C324" s="107"/>
      <c r="D324" s="107"/>
      <c r="E324" s="107"/>
      <c r="F324" s="107"/>
      <c r="G324" s="107"/>
      <c r="H324" s="107"/>
      <c r="I324" s="107"/>
      <c r="J324" s="107"/>
    </row>
    <row r="325" spans="2:10">
      <c r="B325" s="107"/>
      <c r="C325" s="107"/>
      <c r="D325" s="107"/>
      <c r="E325" s="107"/>
      <c r="F325" s="107"/>
      <c r="G325" s="107"/>
      <c r="H325" s="107"/>
      <c r="I325" s="107"/>
      <c r="J325" s="107"/>
    </row>
    <row r="326" spans="2:10">
      <c r="B326" s="107"/>
      <c r="C326" s="107"/>
      <c r="D326" s="107"/>
      <c r="E326" s="107"/>
      <c r="F326" s="107"/>
      <c r="G326" s="107"/>
      <c r="H326" s="107"/>
      <c r="I326" s="107"/>
      <c r="J326" s="107"/>
    </row>
    <row r="327" spans="2:10">
      <c r="B327" s="107"/>
      <c r="C327" s="107"/>
      <c r="D327" s="107"/>
      <c r="E327" s="107"/>
      <c r="F327" s="107"/>
      <c r="G327" s="107"/>
      <c r="H327" s="107"/>
      <c r="I327" s="107"/>
      <c r="J327" s="107"/>
    </row>
    <row r="328" spans="2:10">
      <c r="B328" s="107"/>
      <c r="C328" s="107"/>
      <c r="D328" s="107"/>
      <c r="E328" s="107"/>
      <c r="F328" s="107"/>
      <c r="G328" s="107"/>
      <c r="H328" s="107"/>
      <c r="I328" s="107"/>
      <c r="J328" s="107"/>
    </row>
    <row r="329" spans="2:10">
      <c r="B329" s="107"/>
      <c r="C329" s="107"/>
      <c r="D329" s="107"/>
      <c r="E329" s="107"/>
      <c r="F329" s="107"/>
      <c r="G329" s="107"/>
      <c r="H329" s="107"/>
      <c r="I329" s="107"/>
      <c r="J329" s="107"/>
    </row>
    <row r="330" spans="2:10">
      <c r="B330" s="107"/>
      <c r="C330" s="107"/>
      <c r="D330" s="107"/>
      <c r="E330" s="107"/>
      <c r="F330" s="107"/>
      <c r="G330" s="107"/>
      <c r="H330" s="107"/>
      <c r="I330" s="107"/>
      <c r="J330" s="107"/>
    </row>
    <row r="331" spans="2:10">
      <c r="B331" s="107"/>
      <c r="C331" s="107"/>
      <c r="D331" s="107"/>
      <c r="E331" s="107"/>
      <c r="F331" s="107"/>
      <c r="G331" s="107"/>
      <c r="H331" s="107"/>
      <c r="I331" s="107"/>
      <c r="J331" s="107"/>
    </row>
    <row r="332" spans="2:10">
      <c r="B332" s="107"/>
      <c r="C332" s="107"/>
      <c r="D332" s="107"/>
      <c r="E332" s="107"/>
      <c r="F332" s="107"/>
      <c r="G332" s="107"/>
      <c r="H332" s="107"/>
      <c r="I332" s="107"/>
      <c r="J332" s="107"/>
    </row>
    <row r="333" spans="2:10">
      <c r="B333" s="107"/>
      <c r="C333" s="107"/>
      <c r="D333" s="107"/>
      <c r="E333" s="107"/>
      <c r="F333" s="107"/>
      <c r="G333" s="107"/>
      <c r="H333" s="107"/>
      <c r="I333" s="107"/>
      <c r="J333" s="107"/>
    </row>
    <row r="334" spans="2:10">
      <c r="B334" s="107"/>
      <c r="C334" s="107"/>
      <c r="D334" s="107"/>
      <c r="E334" s="107"/>
      <c r="F334" s="107"/>
      <c r="G334" s="107"/>
      <c r="H334" s="107"/>
      <c r="I334" s="107"/>
      <c r="J334" s="107"/>
    </row>
    <row r="335" spans="2:10">
      <c r="B335" s="107"/>
      <c r="C335" s="107"/>
      <c r="D335" s="107"/>
      <c r="E335" s="107"/>
      <c r="F335" s="107"/>
      <c r="G335" s="107"/>
      <c r="H335" s="107"/>
      <c r="I335" s="107"/>
      <c r="J335" s="107"/>
    </row>
    <row r="336" spans="2:10">
      <c r="B336" s="107"/>
      <c r="C336" s="107"/>
      <c r="D336" s="107"/>
      <c r="E336" s="107"/>
      <c r="F336" s="107"/>
      <c r="G336" s="107"/>
      <c r="H336" s="107"/>
      <c r="I336" s="107"/>
      <c r="J336" s="107"/>
    </row>
    <row r="337" spans="2:10">
      <c r="B337" s="107"/>
      <c r="C337" s="107"/>
      <c r="D337" s="107"/>
      <c r="E337" s="107"/>
      <c r="F337" s="107"/>
      <c r="G337" s="107"/>
      <c r="H337" s="107"/>
      <c r="I337" s="107"/>
      <c r="J337" s="107"/>
    </row>
    <row r="338" spans="2:10">
      <c r="B338" s="107"/>
      <c r="C338" s="107"/>
      <c r="D338" s="107"/>
      <c r="E338" s="107"/>
      <c r="F338" s="107"/>
      <c r="G338" s="107"/>
      <c r="H338" s="107"/>
      <c r="I338" s="107"/>
      <c r="J338" s="107"/>
    </row>
    <row r="339" spans="2:10">
      <c r="B339" s="107"/>
      <c r="C339" s="107"/>
      <c r="D339" s="107"/>
      <c r="E339" s="107"/>
      <c r="F339" s="107"/>
      <c r="G339" s="107"/>
      <c r="H339" s="107"/>
      <c r="I339" s="107"/>
      <c r="J339" s="107"/>
    </row>
    <row r="340" spans="2:10">
      <c r="B340" s="107"/>
      <c r="C340" s="107"/>
      <c r="D340" s="107"/>
      <c r="E340" s="107"/>
      <c r="F340" s="107"/>
      <c r="G340" s="107"/>
      <c r="H340" s="107"/>
      <c r="I340" s="107"/>
      <c r="J340" s="107"/>
    </row>
    <row r="341" spans="2:10">
      <c r="B341" s="107"/>
      <c r="C341" s="107"/>
      <c r="D341" s="107"/>
      <c r="E341" s="107"/>
      <c r="F341" s="107"/>
      <c r="G341" s="107"/>
      <c r="H341" s="107"/>
      <c r="I341" s="107"/>
      <c r="J341" s="107"/>
    </row>
    <row r="342" spans="2:10">
      <c r="B342" s="107"/>
      <c r="C342" s="107"/>
      <c r="D342" s="107"/>
      <c r="E342" s="107"/>
      <c r="F342" s="107"/>
      <c r="G342" s="107"/>
      <c r="H342" s="107"/>
      <c r="I342" s="107"/>
      <c r="J342" s="107"/>
    </row>
    <row r="343" spans="2:10">
      <c r="B343" s="107"/>
      <c r="C343" s="107"/>
      <c r="D343" s="107"/>
      <c r="E343" s="107"/>
      <c r="F343" s="107"/>
      <c r="G343" s="107"/>
      <c r="H343" s="107"/>
      <c r="I343" s="107"/>
      <c r="J343" s="107"/>
    </row>
    <row r="344" spans="2:10">
      <c r="B344" s="107"/>
      <c r="C344" s="107"/>
      <c r="D344" s="107"/>
      <c r="E344" s="107"/>
      <c r="F344" s="107"/>
      <c r="G344" s="107"/>
      <c r="H344" s="107"/>
      <c r="I344" s="107"/>
      <c r="J344" s="107"/>
    </row>
    <row r="345" spans="2:10">
      <c r="B345" s="107"/>
      <c r="C345" s="107"/>
      <c r="D345" s="107"/>
      <c r="E345" s="107"/>
      <c r="F345" s="107"/>
      <c r="G345" s="107"/>
      <c r="H345" s="107"/>
      <c r="I345" s="107"/>
      <c r="J345" s="107"/>
    </row>
    <row r="346" spans="2:10">
      <c r="B346" s="107"/>
      <c r="C346" s="107"/>
      <c r="D346" s="107"/>
      <c r="E346" s="107"/>
      <c r="F346" s="107"/>
      <c r="G346" s="107"/>
      <c r="H346" s="107"/>
      <c r="I346" s="107"/>
      <c r="J346" s="107"/>
    </row>
    <row r="347" spans="2:10">
      <c r="B347" s="107"/>
      <c r="C347" s="107"/>
      <c r="D347" s="107"/>
      <c r="E347" s="107"/>
      <c r="F347" s="107"/>
      <c r="G347" s="107"/>
      <c r="H347" s="107"/>
      <c r="I347" s="107"/>
      <c r="J347" s="107"/>
    </row>
    <row r="348" spans="2:10">
      <c r="B348" s="107"/>
      <c r="C348" s="107"/>
      <c r="D348" s="107"/>
      <c r="E348" s="107"/>
      <c r="F348" s="107"/>
      <c r="G348" s="107"/>
      <c r="H348" s="107"/>
      <c r="I348" s="107"/>
      <c r="J348" s="107"/>
    </row>
    <row r="349" spans="2:10">
      <c r="B349" s="107"/>
      <c r="C349" s="107"/>
      <c r="D349" s="107"/>
      <c r="E349" s="107"/>
      <c r="F349" s="107"/>
      <c r="G349" s="107"/>
      <c r="H349" s="107"/>
      <c r="I349" s="107"/>
      <c r="J349" s="107"/>
    </row>
    <row r="350" spans="2:10">
      <c r="B350" s="107"/>
      <c r="C350" s="107"/>
      <c r="D350" s="107"/>
      <c r="E350" s="107"/>
      <c r="F350" s="107"/>
      <c r="G350" s="107"/>
      <c r="H350" s="107"/>
      <c r="I350" s="107"/>
      <c r="J350" s="107"/>
    </row>
    <row r="351" spans="2:10">
      <c r="B351" s="107"/>
      <c r="C351" s="107"/>
      <c r="D351" s="107"/>
      <c r="E351" s="107"/>
      <c r="F351" s="107"/>
      <c r="G351" s="107"/>
      <c r="H351" s="107"/>
      <c r="I351" s="107"/>
      <c r="J351" s="107"/>
    </row>
    <row r="352" spans="2:10">
      <c r="B352" s="107"/>
      <c r="C352" s="107"/>
      <c r="D352" s="107"/>
      <c r="E352" s="107"/>
      <c r="F352" s="107"/>
      <c r="G352" s="107"/>
      <c r="H352" s="107"/>
      <c r="I352" s="107"/>
      <c r="J352" s="107"/>
    </row>
    <row r="353" spans="2:10">
      <c r="B353" s="107"/>
      <c r="C353" s="107"/>
      <c r="D353" s="107"/>
      <c r="E353" s="107"/>
      <c r="F353" s="107"/>
      <c r="G353" s="107"/>
      <c r="H353" s="107"/>
      <c r="I353" s="107"/>
      <c r="J353" s="107"/>
    </row>
    <row r="354" spans="2:10">
      <c r="B354" s="107"/>
      <c r="C354" s="107"/>
      <c r="D354" s="107"/>
      <c r="E354" s="107"/>
      <c r="F354" s="107"/>
      <c r="G354" s="107"/>
      <c r="H354" s="107"/>
      <c r="I354" s="107"/>
      <c r="J354" s="107"/>
    </row>
    <row r="355" spans="2:10">
      <c r="B355" s="107"/>
      <c r="C355" s="107"/>
      <c r="D355" s="107"/>
      <c r="E355" s="107"/>
      <c r="F355" s="107"/>
      <c r="G355" s="107"/>
      <c r="H355" s="107"/>
      <c r="I355" s="107"/>
      <c r="J355" s="107"/>
    </row>
    <row r="356" spans="2:10">
      <c r="B356" s="107"/>
      <c r="C356" s="107"/>
      <c r="D356" s="107"/>
      <c r="E356" s="107"/>
      <c r="F356" s="107"/>
      <c r="G356" s="107"/>
      <c r="H356" s="107"/>
      <c r="I356" s="107"/>
      <c r="J356" s="107"/>
    </row>
  </sheetData>
  <mergeCells count="5">
    <mergeCell ref="C7:C9"/>
    <mergeCell ref="H12:H13"/>
    <mergeCell ref="H15:H16"/>
    <mergeCell ref="H18:H19"/>
    <mergeCell ref="H21:H22"/>
  </mergeCells>
  <hyperlinks>
    <hyperlink ref="C4" location="Indice!A1" display="Indice!A1" xr:uid="{00000000-0004-0000-27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3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23.710937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10" hidden="1"/>
    <row r="2" spans="2:10" s="185" customFormat="1" ht="21" customHeight="1">
      <c r="E2" s="282" t="s">
        <v>86</v>
      </c>
    </row>
    <row r="3" spans="2:10" s="185" customFormat="1" ht="15" customHeight="1">
      <c r="E3" s="362" t="s">
        <v>348</v>
      </c>
    </row>
    <row r="4" spans="2:10" s="185" customFormat="1" ht="20.100000000000001" customHeight="1">
      <c r="C4" s="108" t="s">
        <v>248</v>
      </c>
    </row>
    <row r="5" spans="2:10" s="187" customFormat="1">
      <c r="B5" s="186"/>
    </row>
    <row r="6" spans="2:10" s="187" customFormat="1" ht="12.75" customHeight="1">
      <c r="B6" s="186"/>
      <c r="C6" s="188"/>
    </row>
    <row r="7" spans="2:10" s="187" customFormat="1" ht="12.75" customHeight="1">
      <c r="B7" s="186"/>
      <c r="C7" s="534" t="s">
        <v>367</v>
      </c>
      <c r="D7" s="190"/>
      <c r="E7" s="190"/>
      <c r="G7" s="386"/>
      <c r="H7" s="386"/>
      <c r="I7" s="386"/>
      <c r="J7" s="386"/>
    </row>
    <row r="8" spans="2:10" s="187" customFormat="1" ht="12.75" customHeight="1">
      <c r="B8" s="186"/>
      <c r="C8" s="534"/>
      <c r="D8" s="190"/>
      <c r="E8" s="191"/>
      <c r="G8" s="386"/>
      <c r="H8" s="386"/>
      <c r="I8" s="386"/>
      <c r="J8" s="386"/>
    </row>
    <row r="9" spans="2:10" s="187" customFormat="1" ht="12.75" customHeight="1">
      <c r="B9" s="186"/>
      <c r="C9" s="534"/>
      <c r="D9" s="190"/>
      <c r="E9" s="191"/>
      <c r="G9" s="386"/>
      <c r="H9" s="386"/>
      <c r="I9" s="386"/>
      <c r="J9" s="386"/>
    </row>
    <row r="10" spans="2:10" s="187" customFormat="1" ht="12.75" customHeight="1">
      <c r="B10" s="186"/>
      <c r="C10" s="353"/>
      <c r="D10" s="190"/>
      <c r="E10" s="191"/>
      <c r="G10" s="386"/>
      <c r="H10" s="386"/>
      <c r="I10" s="386"/>
      <c r="J10" s="386"/>
    </row>
    <row r="11" spans="2:10" s="187" customFormat="1" ht="12.75" customHeight="1">
      <c r="B11" s="186"/>
      <c r="C11" s="214" t="str">
        <f>TEXT('Data 5'!E384,"#.##0")&amp;" MW"</f>
        <v>2.039 MW</v>
      </c>
      <c r="D11" s="190"/>
      <c r="E11" s="191"/>
      <c r="G11" s="386"/>
      <c r="H11" s="386"/>
      <c r="I11" s="386"/>
      <c r="J11" s="386"/>
    </row>
    <row r="12" spans="2:10" s="187" customFormat="1" ht="12.75" customHeight="1">
      <c r="B12" s="186"/>
      <c r="C12" s="192" t="s">
        <v>115</v>
      </c>
      <c r="D12" s="190"/>
      <c r="E12" s="190"/>
      <c r="G12" s="386"/>
      <c r="H12" s="386"/>
      <c r="I12" s="386"/>
      <c r="J12" s="386"/>
    </row>
    <row r="13" spans="2:10" s="187" customFormat="1" ht="12.75" customHeight="1">
      <c r="B13" s="186"/>
      <c r="D13" s="190"/>
      <c r="E13" s="190"/>
      <c r="G13" s="386"/>
      <c r="H13" s="386"/>
      <c r="I13" s="386"/>
      <c r="J13" s="386"/>
    </row>
    <row r="14" spans="2:10" s="187" customFormat="1" ht="12.75" customHeight="1">
      <c r="B14" s="186"/>
      <c r="C14" s="193"/>
      <c r="D14" s="190"/>
      <c r="E14" s="190"/>
      <c r="G14" s="386"/>
      <c r="H14" s="386"/>
      <c r="I14" s="386"/>
      <c r="J14" s="386"/>
    </row>
    <row r="15" spans="2:10" s="187" customFormat="1" ht="12.75" customHeight="1">
      <c r="B15" s="186"/>
      <c r="D15" s="190"/>
      <c r="E15" s="190"/>
      <c r="G15" s="386"/>
      <c r="H15" s="386"/>
      <c r="I15" s="386"/>
      <c r="J15" s="386"/>
    </row>
    <row r="16" spans="2:10" s="187" customFormat="1" ht="12.75" customHeight="1">
      <c r="B16" s="186"/>
      <c r="C16" s="189"/>
      <c r="D16" s="190"/>
      <c r="E16" s="190"/>
      <c r="G16" s="386"/>
      <c r="H16" s="386"/>
      <c r="I16" s="386"/>
      <c r="J16" s="386"/>
    </row>
    <row r="17" spans="2:10" s="187" customFormat="1" ht="12.75" customHeight="1">
      <c r="B17" s="186"/>
      <c r="C17" s="353"/>
      <c r="D17" s="190"/>
      <c r="E17" s="190"/>
      <c r="G17" s="386"/>
      <c r="H17" s="386"/>
      <c r="I17" s="386"/>
      <c r="J17" s="386"/>
    </row>
    <row r="18" spans="2:10" s="187" customFormat="1" ht="12.75" customHeight="1">
      <c r="B18" s="186"/>
      <c r="C18" s="353"/>
      <c r="D18" s="190"/>
      <c r="E18" s="190"/>
    </row>
    <row r="19" spans="2:10" s="187" customFormat="1" ht="12.75" customHeight="1">
      <c r="B19" s="186"/>
      <c r="C19" s="353"/>
      <c r="D19" s="190"/>
      <c r="E19" s="190"/>
    </row>
    <row r="20" spans="2:10" s="187" customFormat="1" ht="12.75" customHeight="1">
      <c r="B20" s="186"/>
      <c r="C20" s="353"/>
      <c r="D20" s="190"/>
      <c r="E20" s="190"/>
    </row>
    <row r="21" spans="2:10" s="187" customFormat="1" ht="12.75" customHeight="1">
      <c r="B21" s="186"/>
      <c r="C21" s="353"/>
      <c r="D21" s="190"/>
      <c r="E21" s="190"/>
    </row>
    <row r="22" spans="2:10" s="187" customFormat="1" ht="12.75" customHeight="1">
      <c r="B22" s="186"/>
      <c r="C22" s="353"/>
      <c r="D22" s="190"/>
      <c r="E22" s="190"/>
    </row>
    <row r="23" spans="2:10">
      <c r="C23" s="353"/>
      <c r="E23" s="196"/>
    </row>
    <row r="24" spans="2:10">
      <c r="C24" s="195"/>
      <c r="E24" s="356"/>
      <c r="F24" s="356"/>
      <c r="G24" s="356"/>
      <c r="H24" s="356"/>
    </row>
    <row r="25" spans="2:10">
      <c r="C25" s="195"/>
      <c r="E25" s="356"/>
      <c r="F25" s="356"/>
      <c r="G25" s="356"/>
      <c r="H25" s="356"/>
    </row>
    <row r="26" spans="2:10">
      <c r="C26" s="353"/>
      <c r="E26" s="356"/>
      <c r="F26" s="356"/>
      <c r="G26" s="356"/>
      <c r="H26" s="356"/>
    </row>
    <row r="27" spans="2:10">
      <c r="C27" s="353"/>
      <c r="E27" s="356"/>
      <c r="F27" s="356"/>
      <c r="G27" s="356"/>
      <c r="H27" s="356"/>
    </row>
    <row r="28" spans="2:10">
      <c r="C28" s="353"/>
      <c r="E28" s="356"/>
      <c r="F28" s="356"/>
      <c r="G28" s="356"/>
      <c r="H28" s="356"/>
    </row>
    <row r="29" spans="2:10" ht="12.75" customHeight="1">
      <c r="C29" s="353"/>
      <c r="E29" s="356"/>
      <c r="F29" s="356"/>
      <c r="G29" s="356"/>
      <c r="H29" s="356"/>
    </row>
    <row r="30" spans="2:10">
      <c r="E30" s="356"/>
      <c r="F30" s="356"/>
      <c r="G30" s="356"/>
      <c r="H30" s="356"/>
    </row>
    <row r="31" spans="2:10">
      <c r="E31" s="356"/>
      <c r="F31" s="356"/>
      <c r="G31" s="356"/>
      <c r="H31" s="356"/>
    </row>
    <row r="32" spans="2:10">
      <c r="E32" s="356"/>
      <c r="F32" s="356"/>
      <c r="G32" s="356"/>
      <c r="H32" s="356"/>
    </row>
    <row r="33" spans="5:8">
      <c r="E33" s="356"/>
      <c r="F33" s="356"/>
      <c r="G33" s="356"/>
      <c r="H33" s="356"/>
    </row>
    <row r="34" spans="5:8">
      <c r="E34" s="356"/>
      <c r="F34" s="356"/>
      <c r="G34" s="356"/>
      <c r="H34" s="356"/>
    </row>
  </sheetData>
  <mergeCells count="1">
    <mergeCell ref="C7:C9"/>
  </mergeCells>
  <hyperlinks>
    <hyperlink ref="C4" location="Indice!A1" display="Indice!A1" xr:uid="{00000000-0004-0000-28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3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23.710937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10" hidden="1"/>
    <row r="2" spans="2:10" s="185" customFormat="1" ht="21" customHeight="1">
      <c r="E2" s="282" t="s">
        <v>86</v>
      </c>
    </row>
    <row r="3" spans="2:10" s="185" customFormat="1" ht="15" customHeight="1">
      <c r="E3" s="362" t="s">
        <v>348</v>
      </c>
    </row>
    <row r="4" spans="2:10" s="185" customFormat="1" ht="20.100000000000001" customHeight="1">
      <c r="C4" s="108" t="s">
        <v>248</v>
      </c>
    </row>
    <row r="5" spans="2:10" s="187" customFormat="1">
      <c r="B5" s="186"/>
    </row>
    <row r="6" spans="2:10" s="187" customFormat="1" ht="12.75" customHeight="1">
      <c r="B6" s="186"/>
      <c r="C6" s="188"/>
    </row>
    <row r="7" spans="2:10" s="187" customFormat="1" ht="12.75" customHeight="1">
      <c r="B7" s="186"/>
      <c r="C7" s="534" t="s">
        <v>410</v>
      </c>
      <c r="D7" s="190"/>
      <c r="E7" s="190"/>
      <c r="G7" s="386"/>
      <c r="H7" s="386"/>
      <c r="I7" s="386"/>
      <c r="J7" s="386"/>
    </row>
    <row r="8" spans="2:10" s="187" customFormat="1" ht="12.75" customHeight="1">
      <c r="B8" s="186"/>
      <c r="C8" s="534"/>
      <c r="D8" s="190"/>
      <c r="E8" s="191"/>
      <c r="G8" s="386"/>
      <c r="H8" s="386"/>
      <c r="I8" s="386"/>
      <c r="J8" s="386"/>
    </row>
    <row r="9" spans="2:10" s="187" customFormat="1" ht="12.75" customHeight="1">
      <c r="B9" s="186"/>
      <c r="C9" s="534"/>
      <c r="D9" s="190"/>
      <c r="E9" s="191"/>
      <c r="G9" s="386"/>
      <c r="H9" s="386"/>
      <c r="I9" s="386"/>
      <c r="J9" s="386"/>
    </row>
    <row r="10" spans="2:10" s="187" customFormat="1" ht="12.75" customHeight="1">
      <c r="B10" s="186"/>
      <c r="C10" s="534"/>
      <c r="D10" s="190"/>
      <c r="E10" s="191"/>
      <c r="G10" s="386"/>
      <c r="H10" s="386"/>
      <c r="I10" s="386"/>
      <c r="J10" s="386"/>
    </row>
    <row r="11" spans="2:10" s="187" customFormat="1" ht="12.75" customHeight="1">
      <c r="B11" s="186"/>
      <c r="C11" s="192" t="s">
        <v>115</v>
      </c>
      <c r="D11" s="190"/>
      <c r="E11" s="191"/>
      <c r="G11" s="386"/>
      <c r="H11" s="386"/>
      <c r="I11" s="386"/>
      <c r="J11" s="386"/>
    </row>
    <row r="12" spans="2:10" s="187" customFormat="1" ht="12.75" customHeight="1">
      <c r="B12" s="186"/>
      <c r="D12" s="190"/>
      <c r="E12" s="190"/>
      <c r="G12" s="386"/>
      <c r="H12" s="386"/>
      <c r="I12" s="386"/>
      <c r="J12" s="386"/>
    </row>
    <row r="13" spans="2:10" s="187" customFormat="1" ht="12.75" customHeight="1">
      <c r="B13" s="186"/>
      <c r="D13" s="190"/>
      <c r="E13" s="190"/>
      <c r="G13" s="386"/>
      <c r="H13" s="386"/>
      <c r="I13" s="386"/>
      <c r="J13" s="386"/>
    </row>
    <row r="14" spans="2:10" s="187" customFormat="1" ht="12.75" customHeight="1">
      <c r="B14" s="186"/>
      <c r="C14" s="193"/>
      <c r="D14" s="190"/>
      <c r="E14" s="190"/>
      <c r="G14" s="386"/>
      <c r="H14" s="386"/>
      <c r="I14" s="386"/>
      <c r="J14" s="386"/>
    </row>
    <row r="15" spans="2:10" s="187" customFormat="1" ht="12.75" customHeight="1">
      <c r="B15" s="186"/>
      <c r="D15" s="190"/>
      <c r="E15" s="190"/>
      <c r="G15" s="386"/>
      <c r="H15" s="386"/>
      <c r="I15" s="386"/>
      <c r="J15" s="386"/>
    </row>
    <row r="16" spans="2:10" s="187" customFormat="1" ht="12.75" customHeight="1">
      <c r="B16" s="186"/>
      <c r="C16" s="189"/>
      <c r="D16" s="190"/>
      <c r="E16" s="190"/>
      <c r="G16" s="386"/>
      <c r="H16" s="386"/>
      <c r="I16" s="386"/>
      <c r="J16" s="386"/>
    </row>
    <row r="17" spans="2:10" s="187" customFormat="1" ht="12.75" customHeight="1">
      <c r="B17" s="186"/>
      <c r="C17" s="189"/>
      <c r="D17" s="190"/>
      <c r="E17" s="190"/>
      <c r="G17" s="386"/>
      <c r="H17" s="386"/>
      <c r="I17" s="386"/>
      <c r="J17" s="386"/>
    </row>
    <row r="18" spans="2:10" s="187" customFormat="1" ht="12.75" customHeight="1">
      <c r="B18" s="186"/>
      <c r="C18" s="189"/>
      <c r="D18" s="190"/>
      <c r="E18" s="190"/>
      <c r="G18" s="386"/>
      <c r="H18" s="386"/>
      <c r="I18" s="386"/>
      <c r="J18" s="386"/>
    </row>
    <row r="19" spans="2:10" s="187" customFormat="1" ht="12.75" customHeight="1">
      <c r="B19" s="186"/>
      <c r="C19" s="189"/>
      <c r="D19" s="190"/>
      <c r="E19" s="190"/>
    </row>
    <row r="20" spans="2:10" s="187" customFormat="1" ht="12.75" customHeight="1">
      <c r="B20" s="186"/>
      <c r="C20" s="189"/>
      <c r="D20" s="190"/>
      <c r="E20" s="190"/>
    </row>
    <row r="21" spans="2:10" s="187" customFormat="1" ht="12.75" customHeight="1">
      <c r="B21" s="186"/>
      <c r="C21" s="189"/>
      <c r="D21" s="190"/>
      <c r="E21" s="190"/>
    </row>
    <row r="22" spans="2:10" s="187" customFormat="1" ht="12.75" customHeight="1">
      <c r="B22" s="186"/>
      <c r="C22" s="189"/>
      <c r="D22" s="190"/>
      <c r="E22" s="190"/>
    </row>
    <row r="23" spans="2:10" ht="12.75" customHeight="1">
      <c r="C23" s="534" t="s">
        <v>411</v>
      </c>
      <c r="E23" s="196"/>
    </row>
    <row r="24" spans="2:10">
      <c r="C24" s="534"/>
      <c r="E24" s="356"/>
      <c r="F24" s="356"/>
      <c r="G24" s="356"/>
      <c r="H24" s="356"/>
    </row>
    <row r="25" spans="2:10">
      <c r="C25" s="534"/>
      <c r="E25" s="356"/>
      <c r="F25" s="356"/>
      <c r="G25" s="356"/>
      <c r="H25" s="356"/>
    </row>
    <row r="26" spans="2:10">
      <c r="C26" s="534"/>
      <c r="E26" s="356"/>
      <c r="F26" s="356"/>
      <c r="G26" s="356"/>
      <c r="H26" s="356"/>
    </row>
    <row r="27" spans="2:10">
      <c r="C27" s="192" t="s">
        <v>115</v>
      </c>
      <c r="E27" s="356"/>
      <c r="F27" s="356"/>
      <c r="G27" s="356"/>
      <c r="H27" s="356"/>
    </row>
    <row r="28" spans="2:10">
      <c r="C28" s="353"/>
      <c r="E28" s="356"/>
      <c r="F28" s="356"/>
      <c r="G28" s="356"/>
      <c r="H28" s="356"/>
    </row>
    <row r="29" spans="2:10" ht="12.75" customHeight="1">
      <c r="E29" s="356"/>
      <c r="F29" s="356"/>
      <c r="G29" s="356"/>
      <c r="H29" s="356"/>
    </row>
    <row r="30" spans="2:10">
      <c r="E30" s="356"/>
      <c r="F30" s="356"/>
      <c r="G30" s="356"/>
      <c r="H30" s="356"/>
    </row>
    <row r="31" spans="2:10">
      <c r="E31" s="356"/>
      <c r="F31" s="356"/>
      <c r="G31" s="356"/>
      <c r="H31" s="356"/>
    </row>
    <row r="32" spans="2:10">
      <c r="E32" s="356"/>
      <c r="F32" s="356"/>
      <c r="G32" s="356"/>
      <c r="H32" s="356"/>
    </row>
    <row r="33" spans="5:8">
      <c r="E33" s="356"/>
      <c r="F33" s="356"/>
      <c r="G33" s="356"/>
      <c r="H33" s="356"/>
    </row>
    <row r="34" spans="5:8">
      <c r="E34" s="356"/>
      <c r="F34" s="356"/>
      <c r="G34" s="356"/>
      <c r="H34" s="356"/>
    </row>
  </sheetData>
  <mergeCells count="2">
    <mergeCell ref="C7:C10"/>
    <mergeCell ref="C23:C26"/>
  </mergeCells>
  <hyperlinks>
    <hyperlink ref="C4" location="Indice!A1" display="Indice!A1" xr:uid="{00000000-0004-0000-29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3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23.710937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5" hidden="1"/>
    <row r="2" spans="2:5" s="185" customFormat="1" ht="21" customHeight="1">
      <c r="E2" s="362" t="s">
        <v>86</v>
      </c>
    </row>
    <row r="3" spans="2:5" s="185" customFormat="1" ht="15" customHeight="1">
      <c r="E3" s="362" t="s">
        <v>348</v>
      </c>
    </row>
    <row r="4" spans="2:5" s="185" customFormat="1" ht="20.100000000000001" customHeight="1">
      <c r="C4" s="108" t="s">
        <v>248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34" t="s">
        <v>409</v>
      </c>
      <c r="D7" s="190"/>
      <c r="E7" s="190"/>
    </row>
    <row r="8" spans="2:5" s="187" customFormat="1" ht="12.75" customHeight="1">
      <c r="B8" s="186"/>
      <c r="C8" s="534"/>
      <c r="D8" s="190"/>
      <c r="E8" s="191"/>
    </row>
    <row r="9" spans="2:5" s="187" customFormat="1" ht="12.75" customHeight="1">
      <c r="B9" s="186"/>
      <c r="C9" s="534"/>
      <c r="D9" s="190"/>
      <c r="E9" s="191"/>
    </row>
    <row r="10" spans="2:5" s="187" customFormat="1" ht="12.75" customHeight="1">
      <c r="B10" s="186"/>
      <c r="C10" s="353"/>
      <c r="D10" s="190"/>
      <c r="E10" s="191"/>
    </row>
    <row r="11" spans="2:5" s="187" customFormat="1" ht="12.75" customHeight="1">
      <c r="B11" s="186"/>
      <c r="C11" s="214" t="str">
        <f>TEXT('Data 5'!E430,"#.##0")&amp;" MW"</f>
        <v>3.029 MW</v>
      </c>
      <c r="D11" s="190"/>
      <c r="E11" s="191"/>
    </row>
    <row r="12" spans="2:5" s="187" customFormat="1" ht="12.75" customHeight="1">
      <c r="B12" s="186"/>
      <c r="C12" s="192" t="s">
        <v>115</v>
      </c>
      <c r="D12" s="190"/>
      <c r="E12" s="190"/>
    </row>
    <row r="13" spans="2:5" s="187" customFormat="1" ht="12.75" customHeight="1">
      <c r="B13" s="186"/>
      <c r="D13" s="190"/>
      <c r="E13" s="190"/>
    </row>
    <row r="14" spans="2:5" s="187" customFormat="1" ht="12.75" customHeight="1">
      <c r="B14" s="186"/>
      <c r="C14" s="193"/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8" s="187" customFormat="1" ht="12.75" customHeight="1">
      <c r="B17" s="186"/>
      <c r="C17" s="189"/>
      <c r="D17" s="190"/>
      <c r="E17" s="190"/>
    </row>
    <row r="18" spans="2:8" s="187" customFormat="1" ht="12.75" customHeight="1">
      <c r="B18" s="186"/>
      <c r="C18" s="189"/>
      <c r="D18" s="190"/>
      <c r="E18" s="190"/>
    </row>
    <row r="19" spans="2:8" s="187" customFormat="1" ht="12.75" customHeight="1">
      <c r="B19" s="186"/>
      <c r="C19" s="189"/>
      <c r="D19" s="190"/>
      <c r="E19" s="190"/>
    </row>
    <row r="20" spans="2:8" s="187" customFormat="1" ht="12.75" customHeight="1">
      <c r="B20" s="186"/>
      <c r="C20" s="189"/>
      <c r="D20" s="190"/>
      <c r="E20" s="190"/>
    </row>
    <row r="21" spans="2:8" s="187" customFormat="1" ht="12.75" customHeight="1">
      <c r="B21" s="186"/>
      <c r="C21" s="189"/>
      <c r="D21" s="190"/>
      <c r="E21" s="190"/>
    </row>
    <row r="22" spans="2:8" s="187" customFormat="1" ht="12.75" customHeight="1">
      <c r="B22" s="186"/>
      <c r="C22" s="189"/>
      <c r="D22" s="190"/>
      <c r="E22" s="190"/>
    </row>
    <row r="23" spans="2:8">
      <c r="E23" s="196"/>
    </row>
    <row r="24" spans="2:8">
      <c r="C24" s="195"/>
      <c r="E24" s="356"/>
      <c r="F24" s="356"/>
      <c r="G24" s="356"/>
      <c r="H24" s="356"/>
    </row>
    <row r="25" spans="2:8">
      <c r="C25" s="195"/>
      <c r="E25" s="356"/>
      <c r="F25" s="356"/>
      <c r="G25" s="356"/>
      <c r="H25" s="356"/>
    </row>
    <row r="26" spans="2:8">
      <c r="C26" s="353"/>
      <c r="E26" s="356"/>
      <c r="F26" s="356"/>
      <c r="G26" s="356"/>
      <c r="H26" s="356"/>
    </row>
    <row r="27" spans="2:8">
      <c r="C27" s="353"/>
      <c r="E27" s="356"/>
      <c r="F27" s="356"/>
      <c r="G27" s="356"/>
      <c r="H27" s="356"/>
    </row>
    <row r="28" spans="2:8">
      <c r="C28" s="353"/>
      <c r="E28" s="356"/>
      <c r="F28" s="356"/>
      <c r="G28" s="356"/>
      <c r="H28" s="356"/>
    </row>
    <row r="29" spans="2:8" ht="12.75" customHeight="1">
      <c r="C29" s="353"/>
      <c r="E29" s="356"/>
      <c r="F29" s="356"/>
      <c r="G29" s="356"/>
      <c r="H29" s="356"/>
    </row>
    <row r="30" spans="2:8">
      <c r="E30" s="356"/>
      <c r="F30" s="356"/>
      <c r="G30" s="356"/>
      <c r="H30" s="356"/>
    </row>
    <row r="31" spans="2:8">
      <c r="E31" s="356"/>
      <c r="F31" s="356"/>
      <c r="G31" s="356"/>
      <c r="H31" s="356"/>
    </row>
    <row r="32" spans="2:8">
      <c r="E32" s="356"/>
      <c r="F32" s="356"/>
      <c r="G32" s="356"/>
      <c r="H32" s="356"/>
    </row>
    <row r="33" spans="5:8">
      <c r="E33" s="356"/>
      <c r="F33" s="356"/>
      <c r="G33" s="356"/>
      <c r="H33" s="356"/>
    </row>
    <row r="34" spans="5:8">
      <c r="E34" s="356"/>
      <c r="F34" s="356"/>
      <c r="G34" s="356"/>
      <c r="H34" s="356"/>
    </row>
  </sheetData>
  <mergeCells count="1">
    <mergeCell ref="C7:C9"/>
  </mergeCells>
  <hyperlinks>
    <hyperlink ref="C4" location="Indice!A1" display="Indice!A1" xr:uid="{00000000-0004-0000-2A00-000000000000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3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23.710937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10" hidden="1"/>
    <row r="2" spans="2:10" s="185" customFormat="1" ht="21" customHeight="1">
      <c r="E2" s="362" t="s">
        <v>86</v>
      </c>
    </row>
    <row r="3" spans="2:10" s="185" customFormat="1" ht="15" customHeight="1">
      <c r="E3" s="362" t="s">
        <v>348</v>
      </c>
    </row>
    <row r="4" spans="2:10" s="185" customFormat="1" ht="20.100000000000001" customHeight="1">
      <c r="C4" s="108" t="s">
        <v>248</v>
      </c>
    </row>
    <row r="5" spans="2:10" s="187" customFormat="1">
      <c r="B5" s="186"/>
    </row>
    <row r="6" spans="2:10" s="187" customFormat="1" ht="12.75" customHeight="1">
      <c r="B6" s="186"/>
      <c r="C6" s="188"/>
    </row>
    <row r="7" spans="2:10" s="187" customFormat="1" ht="12.75" customHeight="1">
      <c r="B7" s="186"/>
      <c r="C7" s="534" t="s">
        <v>368</v>
      </c>
      <c r="D7" s="190"/>
      <c r="E7" s="190"/>
      <c r="G7" s="386"/>
      <c r="H7" s="386"/>
      <c r="I7" s="386"/>
      <c r="J7" s="386"/>
    </row>
    <row r="8" spans="2:10" s="187" customFormat="1" ht="12.75" customHeight="1">
      <c r="B8" s="186"/>
      <c r="C8" s="534"/>
      <c r="D8" s="190"/>
      <c r="E8" s="191"/>
      <c r="G8" s="386"/>
      <c r="H8" s="386"/>
      <c r="I8" s="386"/>
      <c r="J8" s="386"/>
    </row>
    <row r="9" spans="2:10" s="187" customFormat="1" ht="12.75" customHeight="1">
      <c r="B9" s="186"/>
      <c r="C9" s="534"/>
      <c r="D9" s="190"/>
      <c r="E9" s="191"/>
      <c r="G9" s="386"/>
      <c r="H9" s="386"/>
      <c r="I9" s="386"/>
      <c r="J9" s="386"/>
    </row>
    <row r="10" spans="2:10" s="187" customFormat="1" ht="12.75" customHeight="1">
      <c r="B10" s="186"/>
      <c r="C10" s="534"/>
      <c r="D10" s="190"/>
      <c r="E10" s="191"/>
      <c r="G10" s="386"/>
      <c r="H10" s="386"/>
      <c r="I10" s="386"/>
      <c r="J10" s="386"/>
    </row>
    <row r="11" spans="2:10" s="187" customFormat="1" ht="12.75" customHeight="1">
      <c r="B11" s="186"/>
      <c r="C11" s="192" t="s">
        <v>115</v>
      </c>
      <c r="D11" s="190"/>
      <c r="E11" s="191"/>
      <c r="G11" s="386"/>
      <c r="H11" s="386"/>
      <c r="I11" s="386"/>
      <c r="J11" s="386"/>
    </row>
    <row r="12" spans="2:10" s="187" customFormat="1" ht="12.75" customHeight="1">
      <c r="B12" s="186"/>
      <c r="C12" s="214"/>
      <c r="D12" s="190"/>
      <c r="E12" s="190"/>
      <c r="G12" s="386"/>
      <c r="H12" s="386"/>
      <c r="I12" s="386"/>
      <c r="J12" s="386"/>
    </row>
    <row r="13" spans="2:10" s="187" customFormat="1" ht="12.75" customHeight="1">
      <c r="B13" s="186"/>
      <c r="D13" s="190"/>
      <c r="E13" s="190"/>
      <c r="G13" s="386"/>
      <c r="H13" s="386"/>
      <c r="I13" s="386"/>
      <c r="J13" s="386"/>
    </row>
    <row r="14" spans="2:10" s="187" customFormat="1" ht="12.75" customHeight="1">
      <c r="B14" s="186"/>
      <c r="C14" s="193"/>
      <c r="D14" s="190"/>
      <c r="E14" s="190"/>
      <c r="G14" s="386"/>
      <c r="H14" s="386"/>
      <c r="I14" s="386"/>
      <c r="J14" s="386"/>
    </row>
    <row r="15" spans="2:10" s="187" customFormat="1" ht="12.75" customHeight="1">
      <c r="B15" s="186"/>
      <c r="C15" s="353"/>
      <c r="D15" s="190"/>
      <c r="E15" s="190"/>
      <c r="G15" s="386"/>
      <c r="H15" s="386"/>
      <c r="I15" s="386"/>
      <c r="J15" s="386"/>
    </row>
    <row r="16" spans="2:10" s="187" customFormat="1" ht="12.75" customHeight="1">
      <c r="B16" s="186"/>
      <c r="C16" s="353"/>
      <c r="D16" s="190"/>
      <c r="E16" s="190"/>
      <c r="G16" s="386"/>
      <c r="H16" s="386"/>
      <c r="I16" s="386"/>
      <c r="J16" s="386"/>
    </row>
    <row r="17" spans="2:8" s="187" customFormat="1" ht="12.75" customHeight="1">
      <c r="B17" s="186"/>
      <c r="C17" s="353"/>
      <c r="D17" s="190"/>
      <c r="E17" s="190"/>
    </row>
    <row r="18" spans="2:8" s="187" customFormat="1" ht="12.75" customHeight="1">
      <c r="B18" s="186"/>
      <c r="C18" s="353"/>
      <c r="D18" s="190"/>
      <c r="E18" s="190"/>
    </row>
    <row r="19" spans="2:8" s="187" customFormat="1" ht="12.75" customHeight="1">
      <c r="B19" s="186"/>
      <c r="C19" s="192"/>
      <c r="D19" s="190"/>
      <c r="E19" s="190"/>
    </row>
    <row r="20" spans="2:8" s="187" customFormat="1" ht="12.75" customHeight="1">
      <c r="B20" s="186"/>
      <c r="C20" s="189"/>
      <c r="D20" s="190"/>
      <c r="E20" s="190"/>
    </row>
    <row r="21" spans="2:8" s="187" customFormat="1" ht="12.75" customHeight="1">
      <c r="B21" s="186"/>
      <c r="C21" s="189"/>
      <c r="D21" s="190"/>
      <c r="E21" s="190"/>
    </row>
    <row r="22" spans="2:8" s="187" customFormat="1" ht="12.75" customHeight="1">
      <c r="B22" s="186"/>
      <c r="C22" s="189"/>
      <c r="D22" s="190"/>
      <c r="E22" s="190"/>
    </row>
    <row r="23" spans="2:8">
      <c r="C23" s="534" t="s">
        <v>310</v>
      </c>
      <c r="E23" s="196"/>
    </row>
    <row r="24" spans="2:8">
      <c r="C24" s="534"/>
      <c r="E24" s="356"/>
      <c r="F24" s="356"/>
      <c r="G24" s="356"/>
      <c r="H24" s="356"/>
    </row>
    <row r="25" spans="2:8">
      <c r="C25" s="534"/>
      <c r="E25" s="356"/>
      <c r="F25" s="356"/>
      <c r="G25" s="356"/>
      <c r="H25" s="356"/>
    </row>
    <row r="26" spans="2:8">
      <c r="C26" s="534"/>
      <c r="E26" s="356"/>
      <c r="F26" s="356"/>
      <c r="G26" s="356"/>
      <c r="H26" s="356"/>
    </row>
    <row r="27" spans="2:8">
      <c r="C27" s="192" t="s">
        <v>115</v>
      </c>
      <c r="E27" s="356"/>
      <c r="F27" s="356"/>
      <c r="G27" s="356"/>
      <c r="H27" s="356"/>
    </row>
    <row r="28" spans="2:8">
      <c r="C28" s="353"/>
      <c r="E28" s="356"/>
      <c r="F28" s="356"/>
      <c r="G28" s="356"/>
      <c r="H28" s="356"/>
    </row>
    <row r="29" spans="2:8" ht="12.75" customHeight="1">
      <c r="C29" s="353"/>
      <c r="E29" s="356"/>
      <c r="F29" s="356"/>
      <c r="G29" s="356"/>
      <c r="H29" s="356"/>
    </row>
    <row r="30" spans="2:8">
      <c r="E30" s="356"/>
      <c r="F30" s="356"/>
      <c r="G30" s="356"/>
      <c r="H30" s="356"/>
    </row>
    <row r="31" spans="2:8">
      <c r="E31" s="356"/>
      <c r="F31" s="356"/>
      <c r="G31" s="356"/>
      <c r="H31" s="356"/>
    </row>
    <row r="32" spans="2:8">
      <c r="E32" s="356"/>
      <c r="F32" s="356"/>
      <c r="G32" s="356"/>
      <c r="H32" s="356"/>
    </row>
    <row r="33" spans="5:8">
      <c r="E33" s="356"/>
      <c r="F33" s="356"/>
      <c r="G33" s="356"/>
      <c r="H33" s="356"/>
    </row>
    <row r="34" spans="5:8">
      <c r="E34" s="356"/>
      <c r="F34" s="356"/>
      <c r="G34" s="356"/>
      <c r="H34" s="356"/>
    </row>
  </sheetData>
  <mergeCells count="2">
    <mergeCell ref="C7:C10"/>
    <mergeCell ref="C23:C26"/>
  </mergeCells>
  <hyperlinks>
    <hyperlink ref="C4" location="Indice!A1" display="Indice!A1" xr:uid="{00000000-0004-0000-2B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C1:K22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26.7109375" style="107" bestFit="1" customWidth="1"/>
    <col min="6" max="9" width="11.42578125" style="107" customWidth="1"/>
    <col min="10" max="16384" width="11.42578125" style="107"/>
  </cols>
  <sheetData>
    <row r="1" spans="3:11" ht="0.6" customHeight="1"/>
    <row r="2" spans="3:11" ht="21" customHeight="1">
      <c r="K2" s="270" t="s">
        <v>86</v>
      </c>
    </row>
    <row r="3" spans="3:11" ht="15" customHeight="1">
      <c r="K3" s="362" t="s">
        <v>348</v>
      </c>
    </row>
    <row r="4" spans="3:11" ht="19.899999999999999" customHeight="1">
      <c r="C4" s="108" t="s">
        <v>248</v>
      </c>
    </row>
    <row r="5" spans="3:11" ht="12.6" customHeight="1"/>
    <row r="7" spans="3:11" ht="12.75" customHeight="1">
      <c r="C7" s="532" t="s">
        <v>257</v>
      </c>
      <c r="E7" s="109"/>
      <c r="F7" s="109"/>
      <c r="G7" s="273"/>
      <c r="H7" s="177"/>
      <c r="I7" s="289"/>
      <c r="J7" s="289"/>
      <c r="K7" s="289"/>
    </row>
    <row r="8" spans="3:11">
      <c r="C8" s="532"/>
      <c r="E8" s="110"/>
      <c r="F8" s="110"/>
      <c r="G8" s="290">
        <v>2016</v>
      </c>
      <c r="H8" s="290">
        <v>2017</v>
      </c>
      <c r="I8" s="291">
        <v>2018</v>
      </c>
      <c r="J8" s="291">
        <v>2019</v>
      </c>
      <c r="K8" s="291" t="s">
        <v>350</v>
      </c>
    </row>
    <row r="9" spans="3:11">
      <c r="C9" s="532"/>
      <c r="E9" s="544" t="s">
        <v>258</v>
      </c>
      <c r="F9" s="10" t="s">
        <v>37</v>
      </c>
      <c r="G9" s="275">
        <f>'Data 3'!F38</f>
        <v>432.214</v>
      </c>
      <c r="H9" s="275">
        <f>'Data 3'!G38</f>
        <v>432.214</v>
      </c>
      <c r="I9" s="275">
        <f>'Data 3'!H38</f>
        <v>432.214</v>
      </c>
      <c r="J9" s="275">
        <f>'Data 3'!I38</f>
        <v>447.66399999999999</v>
      </c>
      <c r="K9" s="275">
        <f>'Data 3'!J38</f>
        <v>447.66399999999999</v>
      </c>
    </row>
    <row r="10" spans="3:11">
      <c r="C10" s="272"/>
      <c r="E10" s="545"/>
      <c r="F10" s="10" t="s">
        <v>38</v>
      </c>
      <c r="G10" s="275">
        <f>'Data 3'!F39</f>
        <v>220.24300000000002</v>
      </c>
      <c r="H10" s="275">
        <f>'Data 3'!G39</f>
        <v>220.24300000000002</v>
      </c>
      <c r="I10" s="275">
        <f>'Data 3'!H39</f>
        <v>239.14500000000004</v>
      </c>
      <c r="J10" s="275">
        <f>'Data 3'!I39</f>
        <v>239.14500000000004</v>
      </c>
      <c r="K10" s="275">
        <f>'Data 3'!J39</f>
        <v>239.14500000000004</v>
      </c>
    </row>
    <row r="11" spans="3:11">
      <c r="C11" s="272"/>
      <c r="E11" s="545"/>
      <c r="F11" s="335" t="s">
        <v>32</v>
      </c>
      <c r="G11" s="336">
        <f t="shared" ref="G11:I11" si="0">SUM(G9:G10)</f>
        <v>652.45699999999999</v>
      </c>
      <c r="H11" s="336">
        <f t="shared" si="0"/>
        <v>652.45699999999999</v>
      </c>
      <c r="I11" s="336">
        <f t="shared" si="0"/>
        <v>671.35900000000004</v>
      </c>
      <c r="J11" s="336">
        <f>SUM(J9:J10)</f>
        <v>686.80899999999997</v>
      </c>
      <c r="K11" s="336">
        <f>SUM(K9:K10)</f>
        <v>686.80899999999997</v>
      </c>
    </row>
    <row r="12" spans="3:11">
      <c r="E12" s="545" t="s">
        <v>305</v>
      </c>
      <c r="F12" s="10" t="s">
        <v>37</v>
      </c>
      <c r="G12" s="275">
        <f>'Data 3'!F41</f>
        <v>472.13900000000001</v>
      </c>
      <c r="H12" s="275">
        <f>'Data 3'!G41</f>
        <v>472.13900000000001</v>
      </c>
      <c r="I12" s="275">
        <f>'Data 3'!H41</f>
        <v>516.86199999999997</v>
      </c>
      <c r="J12" s="275">
        <f>'Data 3'!I41</f>
        <v>520.29999999999995</v>
      </c>
      <c r="K12" s="275">
        <f>'Data 3'!J41</f>
        <v>575.75900000000001</v>
      </c>
    </row>
    <row r="13" spans="3:11">
      <c r="E13" s="545"/>
      <c r="F13" s="10" t="s">
        <v>38</v>
      </c>
      <c r="G13" s="275" t="str">
        <f>'Data 3'!F42</f>
        <v>-</v>
      </c>
      <c r="H13" s="275" t="str">
        <f>'Data 3'!G42</f>
        <v>-</v>
      </c>
      <c r="I13" s="275">
        <f>'Data 3'!H42</f>
        <v>67.02</v>
      </c>
      <c r="J13" s="275">
        <f>'Data 3'!I42</f>
        <v>125.45800000000001</v>
      </c>
      <c r="K13" s="275">
        <f>'Data 3'!J42</f>
        <v>125.62800000000001</v>
      </c>
    </row>
    <row r="14" spans="3:11">
      <c r="E14" s="545"/>
      <c r="F14" s="335" t="s">
        <v>32</v>
      </c>
      <c r="G14" s="336">
        <f t="shared" ref="G14:J14" si="1">SUM(G12:G13)</f>
        <v>472.13900000000001</v>
      </c>
      <c r="H14" s="336">
        <f t="shared" si="1"/>
        <v>472.13900000000001</v>
      </c>
      <c r="I14" s="336">
        <f t="shared" si="1"/>
        <v>583.88199999999995</v>
      </c>
      <c r="J14" s="336">
        <f t="shared" si="1"/>
        <v>645.75799999999992</v>
      </c>
      <c r="K14" s="336">
        <f t="shared" ref="K14" si="2">SUM(K12:K13)</f>
        <v>701.38700000000006</v>
      </c>
    </row>
    <row r="15" spans="3:11">
      <c r="E15" s="545" t="s">
        <v>306</v>
      </c>
      <c r="F15" s="10" t="s">
        <v>37</v>
      </c>
      <c r="G15" s="275">
        <f>'Data 3'!F44</f>
        <v>896.58300000000008</v>
      </c>
      <c r="H15" s="275">
        <f>'Data 3'!G44</f>
        <v>904.8660000000001</v>
      </c>
      <c r="I15" s="275">
        <f>'Data 3'!H44</f>
        <v>904.8660000000001</v>
      </c>
      <c r="J15" s="275">
        <f>'Data 3'!I44</f>
        <v>905.35700000000008</v>
      </c>
      <c r="K15" s="275">
        <f>'Data 3'!J44</f>
        <v>905.35700000000008</v>
      </c>
    </row>
    <row r="16" spans="3:11">
      <c r="E16" s="545"/>
      <c r="F16" s="10" t="s">
        <v>38</v>
      </c>
      <c r="G16" s="275">
        <f>'Data 3'!F45</f>
        <v>1133.9219999999998</v>
      </c>
      <c r="H16" s="275">
        <f>'Data 3'!G45</f>
        <v>1134.8539999999998</v>
      </c>
      <c r="I16" s="275">
        <f>'Data 3'!H45</f>
        <v>1175.6709999999998</v>
      </c>
      <c r="J16" s="275">
        <f>'Data 3'!I45</f>
        <v>1184.5889999999999</v>
      </c>
      <c r="K16" s="275">
        <f>'Data 3'!J45</f>
        <v>1196.2179999999998</v>
      </c>
    </row>
    <row r="17" spans="5:11">
      <c r="E17" s="545"/>
      <c r="F17" s="335" t="s">
        <v>32</v>
      </c>
      <c r="G17" s="336">
        <f t="shared" ref="G17:J17" si="3">SUM(G15:G16)</f>
        <v>2030.5049999999999</v>
      </c>
      <c r="H17" s="336">
        <f t="shared" si="3"/>
        <v>2039.7199999999998</v>
      </c>
      <c r="I17" s="336">
        <f t="shared" si="3"/>
        <v>2080.5369999999998</v>
      </c>
      <c r="J17" s="336">
        <f t="shared" si="3"/>
        <v>2089.9459999999999</v>
      </c>
      <c r="K17" s="336">
        <f t="shared" ref="K17" si="4">SUM(K15:K16)</f>
        <v>2101.5749999999998</v>
      </c>
    </row>
    <row r="18" spans="5:11">
      <c r="E18" s="546" t="s">
        <v>215</v>
      </c>
      <c r="F18" s="10" t="s">
        <v>37</v>
      </c>
      <c r="G18" s="275">
        <f>'Data 3'!F47</f>
        <v>3463</v>
      </c>
      <c r="H18" s="275">
        <f>'Data 3'!G47</f>
        <v>3463</v>
      </c>
      <c r="I18" s="275">
        <f>'Data 3'!H47</f>
        <v>3463</v>
      </c>
      <c r="J18" s="275">
        <f>'Data 3'!I47</f>
        <v>3838</v>
      </c>
      <c r="K18" s="275">
        <f>'Data 3'!J47</f>
        <v>3838</v>
      </c>
    </row>
    <row r="19" spans="5:11">
      <c r="E19" s="546"/>
      <c r="F19" s="10" t="s">
        <v>38</v>
      </c>
      <c r="G19" s="275">
        <f>'Data 3'!F48</f>
        <v>2250</v>
      </c>
      <c r="H19" s="275">
        <f>'Data 3'!G48</f>
        <v>2810</v>
      </c>
      <c r="I19" s="275">
        <f>'Data 3'!H48</f>
        <v>3310</v>
      </c>
      <c r="J19" s="275">
        <f>'Data 3'!I48</f>
        <v>3470</v>
      </c>
      <c r="K19" s="275">
        <f>'Data 3'!J48</f>
        <v>3630</v>
      </c>
    </row>
    <row r="20" spans="5:11">
      <c r="E20" s="546"/>
      <c r="F20" s="335" t="s">
        <v>32</v>
      </c>
      <c r="G20" s="279">
        <f t="shared" ref="G20:J20" si="5">SUM(G18:G19)</f>
        <v>5713</v>
      </c>
      <c r="H20" s="279">
        <f t="shared" si="5"/>
        <v>6273</v>
      </c>
      <c r="I20" s="279">
        <f t="shared" si="5"/>
        <v>6773</v>
      </c>
      <c r="J20" s="279">
        <f t="shared" si="5"/>
        <v>7308</v>
      </c>
      <c r="K20" s="279">
        <f t="shared" ref="K20" si="6">SUM(K18:K19)</f>
        <v>7468</v>
      </c>
    </row>
    <row r="21" spans="5:11">
      <c r="E21" s="538" t="s">
        <v>213</v>
      </c>
      <c r="F21" s="538"/>
      <c r="G21" s="538"/>
      <c r="H21" s="538"/>
      <c r="I21" s="538"/>
      <c r="J21" s="538"/>
      <c r="K21" s="538"/>
    </row>
    <row r="22" spans="5:11" ht="24" customHeight="1">
      <c r="E22" s="543" t="s">
        <v>308</v>
      </c>
      <c r="F22" s="543"/>
      <c r="G22" s="543"/>
      <c r="H22" s="543"/>
      <c r="I22" s="543"/>
      <c r="J22" s="543"/>
      <c r="K22" s="543"/>
    </row>
  </sheetData>
  <mergeCells count="7">
    <mergeCell ref="C7:C9"/>
    <mergeCell ref="E21:K21"/>
    <mergeCell ref="E22:K22"/>
    <mergeCell ref="E9:E11"/>
    <mergeCell ref="E12:E14"/>
    <mergeCell ref="E15:E17"/>
    <mergeCell ref="E18:E20"/>
  </mergeCells>
  <phoneticPr fontId="62" type="noConversion"/>
  <hyperlinks>
    <hyperlink ref="C4" location="Indice!A1" display="Indice!A1" xr:uid="{00000000-0004-0000-2C00-000000000000}"/>
  </hyperlink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34">
    <pageSetUpPr autoPageBreaks="0" fitToPage="1"/>
  </sheetPr>
  <dimension ref="A1:AS392"/>
  <sheetViews>
    <sheetView showGridLines="0" showRowColHeaders="0" showOutlineSymbols="0" zoomScaleNormal="100" workbookViewId="0">
      <selection activeCell="B1" sqref="B1"/>
    </sheetView>
  </sheetViews>
  <sheetFormatPr baseColWidth="10" defaultRowHeight="11.25"/>
  <cols>
    <col min="1" max="1" width="0.140625" style="13" customWidth="1"/>
    <col min="2" max="2" width="2.7109375" style="13" customWidth="1"/>
    <col min="3" max="3" width="21.7109375" style="17" customWidth="1"/>
    <col min="4" max="4" width="17.28515625" style="17" customWidth="1"/>
    <col min="5" max="5" width="12.7109375" style="17" customWidth="1"/>
    <col min="6" max="6" width="15.42578125" style="17" customWidth="1"/>
    <col min="7" max="11" width="12.5703125" style="17" customWidth="1"/>
    <col min="12" max="13" width="11.28515625" style="17" bestFit="1" customWidth="1"/>
    <col min="14" max="14" width="11" style="17" bestFit="1" customWidth="1"/>
    <col min="15" max="18" width="11.28515625" style="17" bestFit="1" customWidth="1"/>
    <col min="19" max="19" width="11" style="17" bestFit="1" customWidth="1"/>
    <col min="20" max="23" width="11.28515625" style="17" bestFit="1" customWidth="1"/>
    <col min="24" max="256" width="11.42578125" style="17"/>
    <col min="257" max="257" width="0.140625" style="17" customWidth="1"/>
    <col min="258" max="258" width="2.7109375" style="17" customWidth="1"/>
    <col min="259" max="259" width="42.5703125" style="17" customWidth="1"/>
    <col min="260" max="260" width="12.85546875" style="17" customWidth="1"/>
    <col min="261" max="261" width="12.7109375" style="17" customWidth="1"/>
    <col min="262" max="262" width="15.42578125" style="17" customWidth="1"/>
    <col min="263" max="267" width="12.5703125" style="17" customWidth="1"/>
    <col min="268" max="269" width="11.28515625" style="17" bestFit="1" customWidth="1"/>
    <col min="270" max="270" width="11" style="17" bestFit="1" customWidth="1"/>
    <col min="271" max="271" width="10.85546875" style="17" bestFit="1" customWidth="1"/>
    <col min="272" max="272" width="11.28515625" style="17" bestFit="1" customWidth="1"/>
    <col min="273" max="273" width="7.85546875" style="17" bestFit="1" customWidth="1"/>
    <col min="274" max="274" width="7" style="17" customWidth="1"/>
    <col min="275" max="275" width="17.42578125" style="17" customWidth="1"/>
    <col min="276" max="276" width="7.140625" style="17" customWidth="1"/>
    <col min="277" max="277" width="9.5703125" style="17" customWidth="1"/>
    <col min="278" max="279" width="15.5703125" style="17" customWidth="1"/>
    <col min="280" max="280" width="1.85546875" style="17" customWidth="1"/>
    <col min="281" max="281" width="1.7109375" style="17" customWidth="1"/>
    <col min="282" max="282" width="1.85546875" style="17" customWidth="1"/>
    <col min="283" max="286" width="12.140625" style="17" customWidth="1"/>
    <col min="287" max="287" width="1.85546875" style="17" customWidth="1"/>
    <col min="288" max="289" width="1.42578125" style="17" customWidth="1"/>
    <col min="290" max="290" width="11.42578125" style="17"/>
    <col min="291" max="293" width="18.7109375" style="17" customWidth="1"/>
    <col min="294" max="512" width="11.42578125" style="17"/>
    <col min="513" max="513" width="0.140625" style="17" customWidth="1"/>
    <col min="514" max="514" width="2.7109375" style="17" customWidth="1"/>
    <col min="515" max="515" width="42.5703125" style="17" customWidth="1"/>
    <col min="516" max="516" width="12.85546875" style="17" customWidth="1"/>
    <col min="517" max="517" width="12.7109375" style="17" customWidth="1"/>
    <col min="518" max="518" width="15.42578125" style="17" customWidth="1"/>
    <col min="519" max="523" width="12.5703125" style="17" customWidth="1"/>
    <col min="524" max="525" width="11.28515625" style="17" bestFit="1" customWidth="1"/>
    <col min="526" max="526" width="11" style="17" bestFit="1" customWidth="1"/>
    <col min="527" max="527" width="10.85546875" style="17" bestFit="1" customWidth="1"/>
    <col min="528" max="528" width="11.28515625" style="17" bestFit="1" customWidth="1"/>
    <col min="529" max="529" width="7.85546875" style="17" bestFit="1" customWidth="1"/>
    <col min="530" max="530" width="7" style="17" customWidth="1"/>
    <col min="531" max="531" width="17.42578125" style="17" customWidth="1"/>
    <col min="532" max="532" width="7.140625" style="17" customWidth="1"/>
    <col min="533" max="533" width="9.5703125" style="17" customWidth="1"/>
    <col min="534" max="535" width="15.5703125" style="17" customWidth="1"/>
    <col min="536" max="536" width="1.85546875" style="17" customWidth="1"/>
    <col min="537" max="537" width="1.7109375" style="17" customWidth="1"/>
    <col min="538" max="538" width="1.85546875" style="17" customWidth="1"/>
    <col min="539" max="542" width="12.140625" style="17" customWidth="1"/>
    <col min="543" max="543" width="1.85546875" style="17" customWidth="1"/>
    <col min="544" max="545" width="1.42578125" style="17" customWidth="1"/>
    <col min="546" max="546" width="11.42578125" style="17"/>
    <col min="547" max="549" width="18.7109375" style="17" customWidth="1"/>
    <col min="550" max="768" width="11.42578125" style="17"/>
    <col min="769" max="769" width="0.140625" style="17" customWidth="1"/>
    <col min="770" max="770" width="2.7109375" style="17" customWidth="1"/>
    <col min="771" max="771" width="42.5703125" style="17" customWidth="1"/>
    <col min="772" max="772" width="12.85546875" style="17" customWidth="1"/>
    <col min="773" max="773" width="12.7109375" style="17" customWidth="1"/>
    <col min="774" max="774" width="15.42578125" style="17" customWidth="1"/>
    <col min="775" max="779" width="12.5703125" style="17" customWidth="1"/>
    <col min="780" max="781" width="11.28515625" style="17" bestFit="1" customWidth="1"/>
    <col min="782" max="782" width="11" style="17" bestFit="1" customWidth="1"/>
    <col min="783" max="783" width="10.85546875" style="17" bestFit="1" customWidth="1"/>
    <col min="784" max="784" width="11.28515625" style="17" bestFit="1" customWidth="1"/>
    <col min="785" max="785" width="7.85546875" style="17" bestFit="1" customWidth="1"/>
    <col min="786" max="786" width="7" style="17" customWidth="1"/>
    <col min="787" max="787" width="17.42578125" style="17" customWidth="1"/>
    <col min="788" max="788" width="7.140625" style="17" customWidth="1"/>
    <col min="789" max="789" width="9.5703125" style="17" customWidth="1"/>
    <col min="790" max="791" width="15.5703125" style="17" customWidth="1"/>
    <col min="792" max="792" width="1.85546875" style="17" customWidth="1"/>
    <col min="793" max="793" width="1.7109375" style="17" customWidth="1"/>
    <col min="794" max="794" width="1.85546875" style="17" customWidth="1"/>
    <col min="795" max="798" width="12.140625" style="17" customWidth="1"/>
    <col min="799" max="799" width="1.85546875" style="17" customWidth="1"/>
    <col min="800" max="801" width="1.42578125" style="17" customWidth="1"/>
    <col min="802" max="802" width="11.42578125" style="17"/>
    <col min="803" max="805" width="18.7109375" style="17" customWidth="1"/>
    <col min="806" max="1024" width="11.42578125" style="17"/>
    <col min="1025" max="1025" width="0.140625" style="17" customWidth="1"/>
    <col min="1026" max="1026" width="2.7109375" style="17" customWidth="1"/>
    <col min="1027" max="1027" width="42.5703125" style="17" customWidth="1"/>
    <col min="1028" max="1028" width="12.85546875" style="17" customWidth="1"/>
    <col min="1029" max="1029" width="12.7109375" style="17" customWidth="1"/>
    <col min="1030" max="1030" width="15.42578125" style="17" customWidth="1"/>
    <col min="1031" max="1035" width="12.5703125" style="17" customWidth="1"/>
    <col min="1036" max="1037" width="11.28515625" style="17" bestFit="1" customWidth="1"/>
    <col min="1038" max="1038" width="11" style="17" bestFit="1" customWidth="1"/>
    <col min="1039" max="1039" width="10.85546875" style="17" bestFit="1" customWidth="1"/>
    <col min="1040" max="1040" width="11.28515625" style="17" bestFit="1" customWidth="1"/>
    <col min="1041" max="1041" width="7.85546875" style="17" bestFit="1" customWidth="1"/>
    <col min="1042" max="1042" width="7" style="17" customWidth="1"/>
    <col min="1043" max="1043" width="17.42578125" style="17" customWidth="1"/>
    <col min="1044" max="1044" width="7.140625" style="17" customWidth="1"/>
    <col min="1045" max="1045" width="9.5703125" style="17" customWidth="1"/>
    <col min="1046" max="1047" width="15.5703125" style="17" customWidth="1"/>
    <col min="1048" max="1048" width="1.85546875" style="17" customWidth="1"/>
    <col min="1049" max="1049" width="1.7109375" style="17" customWidth="1"/>
    <col min="1050" max="1050" width="1.85546875" style="17" customWidth="1"/>
    <col min="1051" max="1054" width="12.140625" style="17" customWidth="1"/>
    <col min="1055" max="1055" width="1.85546875" style="17" customWidth="1"/>
    <col min="1056" max="1057" width="1.42578125" style="17" customWidth="1"/>
    <col min="1058" max="1058" width="11.42578125" style="17"/>
    <col min="1059" max="1061" width="18.7109375" style="17" customWidth="1"/>
    <col min="1062" max="1280" width="11.42578125" style="17"/>
    <col min="1281" max="1281" width="0.140625" style="17" customWidth="1"/>
    <col min="1282" max="1282" width="2.7109375" style="17" customWidth="1"/>
    <col min="1283" max="1283" width="42.5703125" style="17" customWidth="1"/>
    <col min="1284" max="1284" width="12.85546875" style="17" customWidth="1"/>
    <col min="1285" max="1285" width="12.7109375" style="17" customWidth="1"/>
    <col min="1286" max="1286" width="15.42578125" style="17" customWidth="1"/>
    <col min="1287" max="1291" width="12.5703125" style="17" customWidth="1"/>
    <col min="1292" max="1293" width="11.28515625" style="17" bestFit="1" customWidth="1"/>
    <col min="1294" max="1294" width="11" style="17" bestFit="1" customWidth="1"/>
    <col min="1295" max="1295" width="10.85546875" style="17" bestFit="1" customWidth="1"/>
    <col min="1296" max="1296" width="11.28515625" style="17" bestFit="1" customWidth="1"/>
    <col min="1297" max="1297" width="7.85546875" style="17" bestFit="1" customWidth="1"/>
    <col min="1298" max="1298" width="7" style="17" customWidth="1"/>
    <col min="1299" max="1299" width="17.42578125" style="17" customWidth="1"/>
    <col min="1300" max="1300" width="7.140625" style="17" customWidth="1"/>
    <col min="1301" max="1301" width="9.5703125" style="17" customWidth="1"/>
    <col min="1302" max="1303" width="15.5703125" style="17" customWidth="1"/>
    <col min="1304" max="1304" width="1.85546875" style="17" customWidth="1"/>
    <col min="1305" max="1305" width="1.7109375" style="17" customWidth="1"/>
    <col min="1306" max="1306" width="1.85546875" style="17" customWidth="1"/>
    <col min="1307" max="1310" width="12.140625" style="17" customWidth="1"/>
    <col min="1311" max="1311" width="1.85546875" style="17" customWidth="1"/>
    <col min="1312" max="1313" width="1.42578125" style="17" customWidth="1"/>
    <col min="1314" max="1314" width="11.42578125" style="17"/>
    <col min="1315" max="1317" width="18.7109375" style="17" customWidth="1"/>
    <col min="1318" max="1536" width="11.42578125" style="17"/>
    <col min="1537" max="1537" width="0.140625" style="17" customWidth="1"/>
    <col min="1538" max="1538" width="2.7109375" style="17" customWidth="1"/>
    <col min="1539" max="1539" width="42.5703125" style="17" customWidth="1"/>
    <col min="1540" max="1540" width="12.85546875" style="17" customWidth="1"/>
    <col min="1541" max="1541" width="12.7109375" style="17" customWidth="1"/>
    <col min="1542" max="1542" width="15.42578125" style="17" customWidth="1"/>
    <col min="1543" max="1547" width="12.5703125" style="17" customWidth="1"/>
    <col min="1548" max="1549" width="11.28515625" style="17" bestFit="1" customWidth="1"/>
    <col min="1550" max="1550" width="11" style="17" bestFit="1" customWidth="1"/>
    <col min="1551" max="1551" width="10.85546875" style="17" bestFit="1" customWidth="1"/>
    <col min="1552" max="1552" width="11.28515625" style="17" bestFit="1" customWidth="1"/>
    <col min="1553" max="1553" width="7.85546875" style="17" bestFit="1" customWidth="1"/>
    <col min="1554" max="1554" width="7" style="17" customWidth="1"/>
    <col min="1555" max="1555" width="17.42578125" style="17" customWidth="1"/>
    <col min="1556" max="1556" width="7.140625" style="17" customWidth="1"/>
    <col min="1557" max="1557" width="9.5703125" style="17" customWidth="1"/>
    <col min="1558" max="1559" width="15.5703125" style="17" customWidth="1"/>
    <col min="1560" max="1560" width="1.85546875" style="17" customWidth="1"/>
    <col min="1561" max="1561" width="1.7109375" style="17" customWidth="1"/>
    <col min="1562" max="1562" width="1.85546875" style="17" customWidth="1"/>
    <col min="1563" max="1566" width="12.140625" style="17" customWidth="1"/>
    <col min="1567" max="1567" width="1.85546875" style="17" customWidth="1"/>
    <col min="1568" max="1569" width="1.42578125" style="17" customWidth="1"/>
    <col min="1570" max="1570" width="11.42578125" style="17"/>
    <col min="1571" max="1573" width="18.7109375" style="17" customWidth="1"/>
    <col min="1574" max="1792" width="11.42578125" style="17"/>
    <col min="1793" max="1793" width="0.140625" style="17" customWidth="1"/>
    <col min="1794" max="1794" width="2.7109375" style="17" customWidth="1"/>
    <col min="1795" max="1795" width="42.5703125" style="17" customWidth="1"/>
    <col min="1796" max="1796" width="12.85546875" style="17" customWidth="1"/>
    <col min="1797" max="1797" width="12.7109375" style="17" customWidth="1"/>
    <col min="1798" max="1798" width="15.42578125" style="17" customWidth="1"/>
    <col min="1799" max="1803" width="12.5703125" style="17" customWidth="1"/>
    <col min="1804" max="1805" width="11.28515625" style="17" bestFit="1" customWidth="1"/>
    <col min="1806" max="1806" width="11" style="17" bestFit="1" customWidth="1"/>
    <col min="1807" max="1807" width="10.85546875" style="17" bestFit="1" customWidth="1"/>
    <col min="1808" max="1808" width="11.28515625" style="17" bestFit="1" customWidth="1"/>
    <col min="1809" max="1809" width="7.85546875" style="17" bestFit="1" customWidth="1"/>
    <col min="1810" max="1810" width="7" style="17" customWidth="1"/>
    <col min="1811" max="1811" width="17.42578125" style="17" customWidth="1"/>
    <col min="1812" max="1812" width="7.140625" style="17" customWidth="1"/>
    <col min="1813" max="1813" width="9.5703125" style="17" customWidth="1"/>
    <col min="1814" max="1815" width="15.5703125" style="17" customWidth="1"/>
    <col min="1816" max="1816" width="1.85546875" style="17" customWidth="1"/>
    <col min="1817" max="1817" width="1.7109375" style="17" customWidth="1"/>
    <col min="1818" max="1818" width="1.85546875" style="17" customWidth="1"/>
    <col min="1819" max="1822" width="12.140625" style="17" customWidth="1"/>
    <col min="1823" max="1823" width="1.85546875" style="17" customWidth="1"/>
    <col min="1824" max="1825" width="1.42578125" style="17" customWidth="1"/>
    <col min="1826" max="1826" width="11.42578125" style="17"/>
    <col min="1827" max="1829" width="18.7109375" style="17" customWidth="1"/>
    <col min="1830" max="2048" width="11.42578125" style="17"/>
    <col min="2049" max="2049" width="0.140625" style="17" customWidth="1"/>
    <col min="2050" max="2050" width="2.7109375" style="17" customWidth="1"/>
    <col min="2051" max="2051" width="42.5703125" style="17" customWidth="1"/>
    <col min="2052" max="2052" width="12.85546875" style="17" customWidth="1"/>
    <col min="2053" max="2053" width="12.7109375" style="17" customWidth="1"/>
    <col min="2054" max="2054" width="15.42578125" style="17" customWidth="1"/>
    <col min="2055" max="2059" width="12.5703125" style="17" customWidth="1"/>
    <col min="2060" max="2061" width="11.28515625" style="17" bestFit="1" customWidth="1"/>
    <col min="2062" max="2062" width="11" style="17" bestFit="1" customWidth="1"/>
    <col min="2063" max="2063" width="10.85546875" style="17" bestFit="1" customWidth="1"/>
    <col min="2064" max="2064" width="11.28515625" style="17" bestFit="1" customWidth="1"/>
    <col min="2065" max="2065" width="7.85546875" style="17" bestFit="1" customWidth="1"/>
    <col min="2066" max="2066" width="7" style="17" customWidth="1"/>
    <col min="2067" max="2067" width="17.42578125" style="17" customWidth="1"/>
    <col min="2068" max="2068" width="7.140625" style="17" customWidth="1"/>
    <col min="2069" max="2069" width="9.5703125" style="17" customWidth="1"/>
    <col min="2070" max="2071" width="15.5703125" style="17" customWidth="1"/>
    <col min="2072" max="2072" width="1.85546875" style="17" customWidth="1"/>
    <col min="2073" max="2073" width="1.7109375" style="17" customWidth="1"/>
    <col min="2074" max="2074" width="1.85546875" style="17" customWidth="1"/>
    <col min="2075" max="2078" width="12.140625" style="17" customWidth="1"/>
    <col min="2079" max="2079" width="1.85546875" style="17" customWidth="1"/>
    <col min="2080" max="2081" width="1.42578125" style="17" customWidth="1"/>
    <col min="2082" max="2082" width="11.42578125" style="17"/>
    <col min="2083" max="2085" width="18.7109375" style="17" customWidth="1"/>
    <col min="2086" max="2304" width="11.42578125" style="17"/>
    <col min="2305" max="2305" width="0.140625" style="17" customWidth="1"/>
    <col min="2306" max="2306" width="2.7109375" style="17" customWidth="1"/>
    <col min="2307" max="2307" width="42.5703125" style="17" customWidth="1"/>
    <col min="2308" max="2308" width="12.85546875" style="17" customWidth="1"/>
    <col min="2309" max="2309" width="12.7109375" style="17" customWidth="1"/>
    <col min="2310" max="2310" width="15.42578125" style="17" customWidth="1"/>
    <col min="2311" max="2315" width="12.5703125" style="17" customWidth="1"/>
    <col min="2316" max="2317" width="11.28515625" style="17" bestFit="1" customWidth="1"/>
    <col min="2318" max="2318" width="11" style="17" bestFit="1" customWidth="1"/>
    <col min="2319" max="2319" width="10.85546875" style="17" bestFit="1" customWidth="1"/>
    <col min="2320" max="2320" width="11.28515625" style="17" bestFit="1" customWidth="1"/>
    <col min="2321" max="2321" width="7.85546875" style="17" bestFit="1" customWidth="1"/>
    <col min="2322" max="2322" width="7" style="17" customWidth="1"/>
    <col min="2323" max="2323" width="17.42578125" style="17" customWidth="1"/>
    <col min="2324" max="2324" width="7.140625" style="17" customWidth="1"/>
    <col min="2325" max="2325" width="9.5703125" style="17" customWidth="1"/>
    <col min="2326" max="2327" width="15.5703125" style="17" customWidth="1"/>
    <col min="2328" max="2328" width="1.85546875" style="17" customWidth="1"/>
    <col min="2329" max="2329" width="1.7109375" style="17" customWidth="1"/>
    <col min="2330" max="2330" width="1.85546875" style="17" customWidth="1"/>
    <col min="2331" max="2334" width="12.140625" style="17" customWidth="1"/>
    <col min="2335" max="2335" width="1.85546875" style="17" customWidth="1"/>
    <col min="2336" max="2337" width="1.42578125" style="17" customWidth="1"/>
    <col min="2338" max="2338" width="11.42578125" style="17"/>
    <col min="2339" max="2341" width="18.7109375" style="17" customWidth="1"/>
    <col min="2342" max="2560" width="11.42578125" style="17"/>
    <col min="2561" max="2561" width="0.140625" style="17" customWidth="1"/>
    <col min="2562" max="2562" width="2.7109375" style="17" customWidth="1"/>
    <col min="2563" max="2563" width="42.5703125" style="17" customWidth="1"/>
    <col min="2564" max="2564" width="12.85546875" style="17" customWidth="1"/>
    <col min="2565" max="2565" width="12.7109375" style="17" customWidth="1"/>
    <col min="2566" max="2566" width="15.42578125" style="17" customWidth="1"/>
    <col min="2567" max="2571" width="12.5703125" style="17" customWidth="1"/>
    <col min="2572" max="2573" width="11.28515625" style="17" bestFit="1" customWidth="1"/>
    <col min="2574" max="2574" width="11" style="17" bestFit="1" customWidth="1"/>
    <col min="2575" max="2575" width="10.85546875" style="17" bestFit="1" customWidth="1"/>
    <col min="2576" max="2576" width="11.28515625" style="17" bestFit="1" customWidth="1"/>
    <col min="2577" max="2577" width="7.85546875" style="17" bestFit="1" customWidth="1"/>
    <col min="2578" max="2578" width="7" style="17" customWidth="1"/>
    <col min="2579" max="2579" width="17.42578125" style="17" customWidth="1"/>
    <col min="2580" max="2580" width="7.140625" style="17" customWidth="1"/>
    <col min="2581" max="2581" width="9.5703125" style="17" customWidth="1"/>
    <col min="2582" max="2583" width="15.5703125" style="17" customWidth="1"/>
    <col min="2584" max="2584" width="1.85546875" style="17" customWidth="1"/>
    <col min="2585" max="2585" width="1.7109375" style="17" customWidth="1"/>
    <col min="2586" max="2586" width="1.85546875" style="17" customWidth="1"/>
    <col min="2587" max="2590" width="12.140625" style="17" customWidth="1"/>
    <col min="2591" max="2591" width="1.85546875" style="17" customWidth="1"/>
    <col min="2592" max="2593" width="1.42578125" style="17" customWidth="1"/>
    <col min="2594" max="2594" width="11.42578125" style="17"/>
    <col min="2595" max="2597" width="18.7109375" style="17" customWidth="1"/>
    <col min="2598" max="2816" width="11.42578125" style="17"/>
    <col min="2817" max="2817" width="0.140625" style="17" customWidth="1"/>
    <col min="2818" max="2818" width="2.7109375" style="17" customWidth="1"/>
    <col min="2819" max="2819" width="42.5703125" style="17" customWidth="1"/>
    <col min="2820" max="2820" width="12.85546875" style="17" customWidth="1"/>
    <col min="2821" max="2821" width="12.7109375" style="17" customWidth="1"/>
    <col min="2822" max="2822" width="15.42578125" style="17" customWidth="1"/>
    <col min="2823" max="2827" width="12.5703125" style="17" customWidth="1"/>
    <col min="2828" max="2829" width="11.28515625" style="17" bestFit="1" customWidth="1"/>
    <col min="2830" max="2830" width="11" style="17" bestFit="1" customWidth="1"/>
    <col min="2831" max="2831" width="10.85546875" style="17" bestFit="1" customWidth="1"/>
    <col min="2832" max="2832" width="11.28515625" style="17" bestFit="1" customWidth="1"/>
    <col min="2833" max="2833" width="7.85546875" style="17" bestFit="1" customWidth="1"/>
    <col min="2834" max="2834" width="7" style="17" customWidth="1"/>
    <col min="2835" max="2835" width="17.42578125" style="17" customWidth="1"/>
    <col min="2836" max="2836" width="7.140625" style="17" customWidth="1"/>
    <col min="2837" max="2837" width="9.5703125" style="17" customWidth="1"/>
    <col min="2838" max="2839" width="15.5703125" style="17" customWidth="1"/>
    <col min="2840" max="2840" width="1.85546875" style="17" customWidth="1"/>
    <col min="2841" max="2841" width="1.7109375" style="17" customWidth="1"/>
    <col min="2842" max="2842" width="1.85546875" style="17" customWidth="1"/>
    <col min="2843" max="2846" width="12.140625" style="17" customWidth="1"/>
    <col min="2847" max="2847" width="1.85546875" style="17" customWidth="1"/>
    <col min="2848" max="2849" width="1.42578125" style="17" customWidth="1"/>
    <col min="2850" max="2850" width="11.42578125" style="17"/>
    <col min="2851" max="2853" width="18.7109375" style="17" customWidth="1"/>
    <col min="2854" max="3072" width="11.42578125" style="17"/>
    <col min="3073" max="3073" width="0.140625" style="17" customWidth="1"/>
    <col min="3074" max="3074" width="2.7109375" style="17" customWidth="1"/>
    <col min="3075" max="3075" width="42.5703125" style="17" customWidth="1"/>
    <col min="3076" max="3076" width="12.85546875" style="17" customWidth="1"/>
    <col min="3077" max="3077" width="12.7109375" style="17" customWidth="1"/>
    <col min="3078" max="3078" width="15.42578125" style="17" customWidth="1"/>
    <col min="3079" max="3083" width="12.5703125" style="17" customWidth="1"/>
    <col min="3084" max="3085" width="11.28515625" style="17" bestFit="1" customWidth="1"/>
    <col min="3086" max="3086" width="11" style="17" bestFit="1" customWidth="1"/>
    <col min="3087" max="3087" width="10.85546875" style="17" bestFit="1" customWidth="1"/>
    <col min="3088" max="3088" width="11.28515625" style="17" bestFit="1" customWidth="1"/>
    <col min="3089" max="3089" width="7.85546875" style="17" bestFit="1" customWidth="1"/>
    <col min="3090" max="3090" width="7" style="17" customWidth="1"/>
    <col min="3091" max="3091" width="17.42578125" style="17" customWidth="1"/>
    <col min="3092" max="3092" width="7.140625" style="17" customWidth="1"/>
    <col min="3093" max="3093" width="9.5703125" style="17" customWidth="1"/>
    <col min="3094" max="3095" width="15.5703125" style="17" customWidth="1"/>
    <col min="3096" max="3096" width="1.85546875" style="17" customWidth="1"/>
    <col min="3097" max="3097" width="1.7109375" style="17" customWidth="1"/>
    <col min="3098" max="3098" width="1.85546875" style="17" customWidth="1"/>
    <col min="3099" max="3102" width="12.140625" style="17" customWidth="1"/>
    <col min="3103" max="3103" width="1.85546875" style="17" customWidth="1"/>
    <col min="3104" max="3105" width="1.42578125" style="17" customWidth="1"/>
    <col min="3106" max="3106" width="11.42578125" style="17"/>
    <col min="3107" max="3109" width="18.7109375" style="17" customWidth="1"/>
    <col min="3110" max="3328" width="11.42578125" style="17"/>
    <col min="3329" max="3329" width="0.140625" style="17" customWidth="1"/>
    <col min="3330" max="3330" width="2.7109375" style="17" customWidth="1"/>
    <col min="3331" max="3331" width="42.5703125" style="17" customWidth="1"/>
    <col min="3332" max="3332" width="12.85546875" style="17" customWidth="1"/>
    <col min="3333" max="3333" width="12.7109375" style="17" customWidth="1"/>
    <col min="3334" max="3334" width="15.42578125" style="17" customWidth="1"/>
    <col min="3335" max="3339" width="12.5703125" style="17" customWidth="1"/>
    <col min="3340" max="3341" width="11.28515625" style="17" bestFit="1" customWidth="1"/>
    <col min="3342" max="3342" width="11" style="17" bestFit="1" customWidth="1"/>
    <col min="3343" max="3343" width="10.85546875" style="17" bestFit="1" customWidth="1"/>
    <col min="3344" max="3344" width="11.28515625" style="17" bestFit="1" customWidth="1"/>
    <col min="3345" max="3345" width="7.85546875" style="17" bestFit="1" customWidth="1"/>
    <col min="3346" max="3346" width="7" style="17" customWidth="1"/>
    <col min="3347" max="3347" width="17.42578125" style="17" customWidth="1"/>
    <col min="3348" max="3348" width="7.140625" style="17" customWidth="1"/>
    <col min="3349" max="3349" width="9.5703125" style="17" customWidth="1"/>
    <col min="3350" max="3351" width="15.5703125" style="17" customWidth="1"/>
    <col min="3352" max="3352" width="1.85546875" style="17" customWidth="1"/>
    <col min="3353" max="3353" width="1.7109375" style="17" customWidth="1"/>
    <col min="3354" max="3354" width="1.85546875" style="17" customWidth="1"/>
    <col min="3355" max="3358" width="12.140625" style="17" customWidth="1"/>
    <col min="3359" max="3359" width="1.85546875" style="17" customWidth="1"/>
    <col min="3360" max="3361" width="1.42578125" style="17" customWidth="1"/>
    <col min="3362" max="3362" width="11.42578125" style="17"/>
    <col min="3363" max="3365" width="18.7109375" style="17" customWidth="1"/>
    <col min="3366" max="3584" width="11.42578125" style="17"/>
    <col min="3585" max="3585" width="0.140625" style="17" customWidth="1"/>
    <col min="3586" max="3586" width="2.7109375" style="17" customWidth="1"/>
    <col min="3587" max="3587" width="42.5703125" style="17" customWidth="1"/>
    <col min="3588" max="3588" width="12.85546875" style="17" customWidth="1"/>
    <col min="3589" max="3589" width="12.7109375" style="17" customWidth="1"/>
    <col min="3590" max="3590" width="15.42578125" style="17" customWidth="1"/>
    <col min="3591" max="3595" width="12.5703125" style="17" customWidth="1"/>
    <col min="3596" max="3597" width="11.28515625" style="17" bestFit="1" customWidth="1"/>
    <col min="3598" max="3598" width="11" style="17" bestFit="1" customWidth="1"/>
    <col min="3599" max="3599" width="10.85546875" style="17" bestFit="1" customWidth="1"/>
    <col min="3600" max="3600" width="11.28515625" style="17" bestFit="1" customWidth="1"/>
    <col min="3601" max="3601" width="7.85546875" style="17" bestFit="1" customWidth="1"/>
    <col min="3602" max="3602" width="7" style="17" customWidth="1"/>
    <col min="3603" max="3603" width="17.42578125" style="17" customWidth="1"/>
    <col min="3604" max="3604" width="7.140625" style="17" customWidth="1"/>
    <col min="3605" max="3605" width="9.5703125" style="17" customWidth="1"/>
    <col min="3606" max="3607" width="15.5703125" style="17" customWidth="1"/>
    <col min="3608" max="3608" width="1.85546875" style="17" customWidth="1"/>
    <col min="3609" max="3609" width="1.7109375" style="17" customWidth="1"/>
    <col min="3610" max="3610" width="1.85546875" style="17" customWidth="1"/>
    <col min="3611" max="3614" width="12.140625" style="17" customWidth="1"/>
    <col min="3615" max="3615" width="1.85546875" style="17" customWidth="1"/>
    <col min="3616" max="3617" width="1.42578125" style="17" customWidth="1"/>
    <col min="3618" max="3618" width="11.42578125" style="17"/>
    <col min="3619" max="3621" width="18.7109375" style="17" customWidth="1"/>
    <col min="3622" max="3840" width="11.42578125" style="17"/>
    <col min="3841" max="3841" width="0.140625" style="17" customWidth="1"/>
    <col min="3842" max="3842" width="2.7109375" style="17" customWidth="1"/>
    <col min="3843" max="3843" width="42.5703125" style="17" customWidth="1"/>
    <col min="3844" max="3844" width="12.85546875" style="17" customWidth="1"/>
    <col min="3845" max="3845" width="12.7109375" style="17" customWidth="1"/>
    <col min="3846" max="3846" width="15.42578125" style="17" customWidth="1"/>
    <col min="3847" max="3851" width="12.5703125" style="17" customWidth="1"/>
    <col min="3852" max="3853" width="11.28515625" style="17" bestFit="1" customWidth="1"/>
    <col min="3854" max="3854" width="11" style="17" bestFit="1" customWidth="1"/>
    <col min="3855" max="3855" width="10.85546875" style="17" bestFit="1" customWidth="1"/>
    <col min="3856" max="3856" width="11.28515625" style="17" bestFit="1" customWidth="1"/>
    <col min="3857" max="3857" width="7.85546875" style="17" bestFit="1" customWidth="1"/>
    <col min="3858" max="3858" width="7" style="17" customWidth="1"/>
    <col min="3859" max="3859" width="17.42578125" style="17" customWidth="1"/>
    <col min="3860" max="3860" width="7.140625" style="17" customWidth="1"/>
    <col min="3861" max="3861" width="9.5703125" style="17" customWidth="1"/>
    <col min="3862" max="3863" width="15.5703125" style="17" customWidth="1"/>
    <col min="3864" max="3864" width="1.85546875" style="17" customWidth="1"/>
    <col min="3865" max="3865" width="1.7109375" style="17" customWidth="1"/>
    <col min="3866" max="3866" width="1.85546875" style="17" customWidth="1"/>
    <col min="3867" max="3870" width="12.140625" style="17" customWidth="1"/>
    <col min="3871" max="3871" width="1.85546875" style="17" customWidth="1"/>
    <col min="3872" max="3873" width="1.42578125" style="17" customWidth="1"/>
    <col min="3874" max="3874" width="11.42578125" style="17"/>
    <col min="3875" max="3877" width="18.7109375" style="17" customWidth="1"/>
    <col min="3878" max="4096" width="11.42578125" style="17"/>
    <col min="4097" max="4097" width="0.140625" style="17" customWidth="1"/>
    <col min="4098" max="4098" width="2.7109375" style="17" customWidth="1"/>
    <col min="4099" max="4099" width="42.5703125" style="17" customWidth="1"/>
    <col min="4100" max="4100" width="12.85546875" style="17" customWidth="1"/>
    <col min="4101" max="4101" width="12.7109375" style="17" customWidth="1"/>
    <col min="4102" max="4102" width="15.42578125" style="17" customWidth="1"/>
    <col min="4103" max="4107" width="12.5703125" style="17" customWidth="1"/>
    <col min="4108" max="4109" width="11.28515625" style="17" bestFit="1" customWidth="1"/>
    <col min="4110" max="4110" width="11" style="17" bestFit="1" customWidth="1"/>
    <col min="4111" max="4111" width="10.85546875" style="17" bestFit="1" customWidth="1"/>
    <col min="4112" max="4112" width="11.28515625" style="17" bestFit="1" customWidth="1"/>
    <col min="4113" max="4113" width="7.85546875" style="17" bestFit="1" customWidth="1"/>
    <col min="4114" max="4114" width="7" style="17" customWidth="1"/>
    <col min="4115" max="4115" width="17.42578125" style="17" customWidth="1"/>
    <col min="4116" max="4116" width="7.140625" style="17" customWidth="1"/>
    <col min="4117" max="4117" width="9.5703125" style="17" customWidth="1"/>
    <col min="4118" max="4119" width="15.5703125" style="17" customWidth="1"/>
    <col min="4120" max="4120" width="1.85546875" style="17" customWidth="1"/>
    <col min="4121" max="4121" width="1.7109375" style="17" customWidth="1"/>
    <col min="4122" max="4122" width="1.85546875" style="17" customWidth="1"/>
    <col min="4123" max="4126" width="12.140625" style="17" customWidth="1"/>
    <col min="4127" max="4127" width="1.85546875" style="17" customWidth="1"/>
    <col min="4128" max="4129" width="1.42578125" style="17" customWidth="1"/>
    <col min="4130" max="4130" width="11.42578125" style="17"/>
    <col min="4131" max="4133" width="18.7109375" style="17" customWidth="1"/>
    <col min="4134" max="4352" width="11.42578125" style="17"/>
    <col min="4353" max="4353" width="0.140625" style="17" customWidth="1"/>
    <col min="4354" max="4354" width="2.7109375" style="17" customWidth="1"/>
    <col min="4355" max="4355" width="42.5703125" style="17" customWidth="1"/>
    <col min="4356" max="4356" width="12.85546875" style="17" customWidth="1"/>
    <col min="4357" max="4357" width="12.7109375" style="17" customWidth="1"/>
    <col min="4358" max="4358" width="15.42578125" style="17" customWidth="1"/>
    <col min="4359" max="4363" width="12.5703125" style="17" customWidth="1"/>
    <col min="4364" max="4365" width="11.28515625" style="17" bestFit="1" customWidth="1"/>
    <col min="4366" max="4366" width="11" style="17" bestFit="1" customWidth="1"/>
    <col min="4367" max="4367" width="10.85546875" style="17" bestFit="1" customWidth="1"/>
    <col min="4368" max="4368" width="11.28515625" style="17" bestFit="1" customWidth="1"/>
    <col min="4369" max="4369" width="7.85546875" style="17" bestFit="1" customWidth="1"/>
    <col min="4370" max="4370" width="7" style="17" customWidth="1"/>
    <col min="4371" max="4371" width="17.42578125" style="17" customWidth="1"/>
    <col min="4372" max="4372" width="7.140625" style="17" customWidth="1"/>
    <col min="4373" max="4373" width="9.5703125" style="17" customWidth="1"/>
    <col min="4374" max="4375" width="15.5703125" style="17" customWidth="1"/>
    <col min="4376" max="4376" width="1.85546875" style="17" customWidth="1"/>
    <col min="4377" max="4377" width="1.7109375" style="17" customWidth="1"/>
    <col min="4378" max="4378" width="1.85546875" style="17" customWidth="1"/>
    <col min="4379" max="4382" width="12.140625" style="17" customWidth="1"/>
    <col min="4383" max="4383" width="1.85546875" style="17" customWidth="1"/>
    <col min="4384" max="4385" width="1.42578125" style="17" customWidth="1"/>
    <col min="4386" max="4386" width="11.42578125" style="17"/>
    <col min="4387" max="4389" width="18.7109375" style="17" customWidth="1"/>
    <col min="4390" max="4608" width="11.42578125" style="17"/>
    <col min="4609" max="4609" width="0.140625" style="17" customWidth="1"/>
    <col min="4610" max="4610" width="2.7109375" style="17" customWidth="1"/>
    <col min="4611" max="4611" width="42.5703125" style="17" customWidth="1"/>
    <col min="4612" max="4612" width="12.85546875" style="17" customWidth="1"/>
    <col min="4613" max="4613" width="12.7109375" style="17" customWidth="1"/>
    <col min="4614" max="4614" width="15.42578125" style="17" customWidth="1"/>
    <col min="4615" max="4619" width="12.5703125" style="17" customWidth="1"/>
    <col min="4620" max="4621" width="11.28515625" style="17" bestFit="1" customWidth="1"/>
    <col min="4622" max="4622" width="11" style="17" bestFit="1" customWidth="1"/>
    <col min="4623" max="4623" width="10.85546875" style="17" bestFit="1" customWidth="1"/>
    <col min="4624" max="4624" width="11.28515625" style="17" bestFit="1" customWidth="1"/>
    <col min="4625" max="4625" width="7.85546875" style="17" bestFit="1" customWidth="1"/>
    <col min="4626" max="4626" width="7" style="17" customWidth="1"/>
    <col min="4627" max="4627" width="17.42578125" style="17" customWidth="1"/>
    <col min="4628" max="4628" width="7.140625" style="17" customWidth="1"/>
    <col min="4629" max="4629" width="9.5703125" style="17" customWidth="1"/>
    <col min="4630" max="4631" width="15.5703125" style="17" customWidth="1"/>
    <col min="4632" max="4632" width="1.85546875" style="17" customWidth="1"/>
    <col min="4633" max="4633" width="1.7109375" style="17" customWidth="1"/>
    <col min="4634" max="4634" width="1.85546875" style="17" customWidth="1"/>
    <col min="4635" max="4638" width="12.140625" style="17" customWidth="1"/>
    <col min="4639" max="4639" width="1.85546875" style="17" customWidth="1"/>
    <col min="4640" max="4641" width="1.42578125" style="17" customWidth="1"/>
    <col min="4642" max="4642" width="11.42578125" style="17"/>
    <col min="4643" max="4645" width="18.7109375" style="17" customWidth="1"/>
    <col min="4646" max="4864" width="11.42578125" style="17"/>
    <col min="4865" max="4865" width="0.140625" style="17" customWidth="1"/>
    <col min="4866" max="4866" width="2.7109375" style="17" customWidth="1"/>
    <col min="4867" max="4867" width="42.5703125" style="17" customWidth="1"/>
    <col min="4868" max="4868" width="12.85546875" style="17" customWidth="1"/>
    <col min="4869" max="4869" width="12.7109375" style="17" customWidth="1"/>
    <col min="4870" max="4870" width="15.42578125" style="17" customWidth="1"/>
    <col min="4871" max="4875" width="12.5703125" style="17" customWidth="1"/>
    <col min="4876" max="4877" width="11.28515625" style="17" bestFit="1" customWidth="1"/>
    <col min="4878" max="4878" width="11" style="17" bestFit="1" customWidth="1"/>
    <col min="4879" max="4879" width="10.85546875" style="17" bestFit="1" customWidth="1"/>
    <col min="4880" max="4880" width="11.28515625" style="17" bestFit="1" customWidth="1"/>
    <col min="4881" max="4881" width="7.85546875" style="17" bestFit="1" customWidth="1"/>
    <col min="4882" max="4882" width="7" style="17" customWidth="1"/>
    <col min="4883" max="4883" width="17.42578125" style="17" customWidth="1"/>
    <col min="4884" max="4884" width="7.140625" style="17" customWidth="1"/>
    <col min="4885" max="4885" width="9.5703125" style="17" customWidth="1"/>
    <col min="4886" max="4887" width="15.5703125" style="17" customWidth="1"/>
    <col min="4888" max="4888" width="1.85546875" style="17" customWidth="1"/>
    <col min="4889" max="4889" width="1.7109375" style="17" customWidth="1"/>
    <col min="4890" max="4890" width="1.85546875" style="17" customWidth="1"/>
    <col min="4891" max="4894" width="12.140625" style="17" customWidth="1"/>
    <col min="4895" max="4895" width="1.85546875" style="17" customWidth="1"/>
    <col min="4896" max="4897" width="1.42578125" style="17" customWidth="1"/>
    <col min="4898" max="4898" width="11.42578125" style="17"/>
    <col min="4899" max="4901" width="18.7109375" style="17" customWidth="1"/>
    <col min="4902" max="5120" width="11.42578125" style="17"/>
    <col min="5121" max="5121" width="0.140625" style="17" customWidth="1"/>
    <col min="5122" max="5122" width="2.7109375" style="17" customWidth="1"/>
    <col min="5123" max="5123" width="42.5703125" style="17" customWidth="1"/>
    <col min="5124" max="5124" width="12.85546875" style="17" customWidth="1"/>
    <col min="5125" max="5125" width="12.7109375" style="17" customWidth="1"/>
    <col min="5126" max="5126" width="15.42578125" style="17" customWidth="1"/>
    <col min="5127" max="5131" width="12.5703125" style="17" customWidth="1"/>
    <col min="5132" max="5133" width="11.28515625" style="17" bestFit="1" customWidth="1"/>
    <col min="5134" max="5134" width="11" style="17" bestFit="1" customWidth="1"/>
    <col min="5135" max="5135" width="10.85546875" style="17" bestFit="1" customWidth="1"/>
    <col min="5136" max="5136" width="11.28515625" style="17" bestFit="1" customWidth="1"/>
    <col min="5137" max="5137" width="7.85546875" style="17" bestFit="1" customWidth="1"/>
    <col min="5138" max="5138" width="7" style="17" customWidth="1"/>
    <col min="5139" max="5139" width="17.42578125" style="17" customWidth="1"/>
    <col min="5140" max="5140" width="7.140625" style="17" customWidth="1"/>
    <col min="5141" max="5141" width="9.5703125" style="17" customWidth="1"/>
    <col min="5142" max="5143" width="15.5703125" style="17" customWidth="1"/>
    <col min="5144" max="5144" width="1.85546875" style="17" customWidth="1"/>
    <col min="5145" max="5145" width="1.7109375" style="17" customWidth="1"/>
    <col min="5146" max="5146" width="1.85546875" style="17" customWidth="1"/>
    <col min="5147" max="5150" width="12.140625" style="17" customWidth="1"/>
    <col min="5151" max="5151" width="1.85546875" style="17" customWidth="1"/>
    <col min="5152" max="5153" width="1.42578125" style="17" customWidth="1"/>
    <col min="5154" max="5154" width="11.42578125" style="17"/>
    <col min="5155" max="5157" width="18.7109375" style="17" customWidth="1"/>
    <col min="5158" max="5376" width="11.42578125" style="17"/>
    <col min="5377" max="5377" width="0.140625" style="17" customWidth="1"/>
    <col min="5378" max="5378" width="2.7109375" style="17" customWidth="1"/>
    <col min="5379" max="5379" width="42.5703125" style="17" customWidth="1"/>
    <col min="5380" max="5380" width="12.85546875" style="17" customWidth="1"/>
    <col min="5381" max="5381" width="12.7109375" style="17" customWidth="1"/>
    <col min="5382" max="5382" width="15.42578125" style="17" customWidth="1"/>
    <col min="5383" max="5387" width="12.5703125" style="17" customWidth="1"/>
    <col min="5388" max="5389" width="11.28515625" style="17" bestFit="1" customWidth="1"/>
    <col min="5390" max="5390" width="11" style="17" bestFit="1" customWidth="1"/>
    <col min="5391" max="5391" width="10.85546875" style="17" bestFit="1" customWidth="1"/>
    <col min="5392" max="5392" width="11.28515625" style="17" bestFit="1" customWidth="1"/>
    <col min="5393" max="5393" width="7.85546875" style="17" bestFit="1" customWidth="1"/>
    <col min="5394" max="5394" width="7" style="17" customWidth="1"/>
    <col min="5395" max="5395" width="17.42578125" style="17" customWidth="1"/>
    <col min="5396" max="5396" width="7.140625" style="17" customWidth="1"/>
    <col min="5397" max="5397" width="9.5703125" style="17" customWidth="1"/>
    <col min="5398" max="5399" width="15.5703125" style="17" customWidth="1"/>
    <col min="5400" max="5400" width="1.85546875" style="17" customWidth="1"/>
    <col min="5401" max="5401" width="1.7109375" style="17" customWidth="1"/>
    <col min="5402" max="5402" width="1.85546875" style="17" customWidth="1"/>
    <col min="5403" max="5406" width="12.140625" style="17" customWidth="1"/>
    <col min="5407" max="5407" width="1.85546875" style="17" customWidth="1"/>
    <col min="5408" max="5409" width="1.42578125" style="17" customWidth="1"/>
    <col min="5410" max="5410" width="11.42578125" style="17"/>
    <col min="5411" max="5413" width="18.7109375" style="17" customWidth="1"/>
    <col min="5414" max="5632" width="11.42578125" style="17"/>
    <col min="5633" max="5633" width="0.140625" style="17" customWidth="1"/>
    <col min="5634" max="5634" width="2.7109375" style="17" customWidth="1"/>
    <col min="5635" max="5635" width="42.5703125" style="17" customWidth="1"/>
    <col min="5636" max="5636" width="12.85546875" style="17" customWidth="1"/>
    <col min="5637" max="5637" width="12.7109375" style="17" customWidth="1"/>
    <col min="5638" max="5638" width="15.42578125" style="17" customWidth="1"/>
    <col min="5639" max="5643" width="12.5703125" style="17" customWidth="1"/>
    <col min="5644" max="5645" width="11.28515625" style="17" bestFit="1" customWidth="1"/>
    <col min="5646" max="5646" width="11" style="17" bestFit="1" customWidth="1"/>
    <col min="5647" max="5647" width="10.85546875" style="17" bestFit="1" customWidth="1"/>
    <col min="5648" max="5648" width="11.28515625" style="17" bestFit="1" customWidth="1"/>
    <col min="5649" max="5649" width="7.85546875" style="17" bestFit="1" customWidth="1"/>
    <col min="5650" max="5650" width="7" style="17" customWidth="1"/>
    <col min="5651" max="5651" width="17.42578125" style="17" customWidth="1"/>
    <col min="5652" max="5652" width="7.140625" style="17" customWidth="1"/>
    <col min="5653" max="5653" width="9.5703125" style="17" customWidth="1"/>
    <col min="5654" max="5655" width="15.5703125" style="17" customWidth="1"/>
    <col min="5656" max="5656" width="1.85546875" style="17" customWidth="1"/>
    <col min="5657" max="5657" width="1.7109375" style="17" customWidth="1"/>
    <col min="5658" max="5658" width="1.85546875" style="17" customWidth="1"/>
    <col min="5659" max="5662" width="12.140625" style="17" customWidth="1"/>
    <col min="5663" max="5663" width="1.85546875" style="17" customWidth="1"/>
    <col min="5664" max="5665" width="1.42578125" style="17" customWidth="1"/>
    <col min="5666" max="5666" width="11.42578125" style="17"/>
    <col min="5667" max="5669" width="18.7109375" style="17" customWidth="1"/>
    <col min="5670" max="5888" width="11.42578125" style="17"/>
    <col min="5889" max="5889" width="0.140625" style="17" customWidth="1"/>
    <col min="5890" max="5890" width="2.7109375" style="17" customWidth="1"/>
    <col min="5891" max="5891" width="42.5703125" style="17" customWidth="1"/>
    <col min="5892" max="5892" width="12.85546875" style="17" customWidth="1"/>
    <col min="5893" max="5893" width="12.7109375" style="17" customWidth="1"/>
    <col min="5894" max="5894" width="15.42578125" style="17" customWidth="1"/>
    <col min="5895" max="5899" width="12.5703125" style="17" customWidth="1"/>
    <col min="5900" max="5901" width="11.28515625" style="17" bestFit="1" customWidth="1"/>
    <col min="5902" max="5902" width="11" style="17" bestFit="1" customWidth="1"/>
    <col min="5903" max="5903" width="10.85546875" style="17" bestFit="1" customWidth="1"/>
    <col min="5904" max="5904" width="11.28515625" style="17" bestFit="1" customWidth="1"/>
    <col min="5905" max="5905" width="7.85546875" style="17" bestFit="1" customWidth="1"/>
    <col min="5906" max="5906" width="7" style="17" customWidth="1"/>
    <col min="5907" max="5907" width="17.42578125" style="17" customWidth="1"/>
    <col min="5908" max="5908" width="7.140625" style="17" customWidth="1"/>
    <col min="5909" max="5909" width="9.5703125" style="17" customWidth="1"/>
    <col min="5910" max="5911" width="15.5703125" style="17" customWidth="1"/>
    <col min="5912" max="5912" width="1.85546875" style="17" customWidth="1"/>
    <col min="5913" max="5913" width="1.7109375" style="17" customWidth="1"/>
    <col min="5914" max="5914" width="1.85546875" style="17" customWidth="1"/>
    <col min="5915" max="5918" width="12.140625" style="17" customWidth="1"/>
    <col min="5919" max="5919" width="1.85546875" style="17" customWidth="1"/>
    <col min="5920" max="5921" width="1.42578125" style="17" customWidth="1"/>
    <col min="5922" max="5922" width="11.42578125" style="17"/>
    <col min="5923" max="5925" width="18.7109375" style="17" customWidth="1"/>
    <col min="5926" max="6144" width="11.42578125" style="17"/>
    <col min="6145" max="6145" width="0.140625" style="17" customWidth="1"/>
    <col min="6146" max="6146" width="2.7109375" style="17" customWidth="1"/>
    <col min="6147" max="6147" width="42.5703125" style="17" customWidth="1"/>
    <col min="6148" max="6148" width="12.85546875" style="17" customWidth="1"/>
    <col min="6149" max="6149" width="12.7109375" style="17" customWidth="1"/>
    <col min="6150" max="6150" width="15.42578125" style="17" customWidth="1"/>
    <col min="6151" max="6155" width="12.5703125" style="17" customWidth="1"/>
    <col min="6156" max="6157" width="11.28515625" style="17" bestFit="1" customWidth="1"/>
    <col min="6158" max="6158" width="11" style="17" bestFit="1" customWidth="1"/>
    <col min="6159" max="6159" width="10.85546875" style="17" bestFit="1" customWidth="1"/>
    <col min="6160" max="6160" width="11.28515625" style="17" bestFit="1" customWidth="1"/>
    <col min="6161" max="6161" width="7.85546875" style="17" bestFit="1" customWidth="1"/>
    <col min="6162" max="6162" width="7" style="17" customWidth="1"/>
    <col min="6163" max="6163" width="17.42578125" style="17" customWidth="1"/>
    <col min="6164" max="6164" width="7.140625" style="17" customWidth="1"/>
    <col min="6165" max="6165" width="9.5703125" style="17" customWidth="1"/>
    <col min="6166" max="6167" width="15.5703125" style="17" customWidth="1"/>
    <col min="6168" max="6168" width="1.85546875" style="17" customWidth="1"/>
    <col min="6169" max="6169" width="1.7109375" style="17" customWidth="1"/>
    <col min="6170" max="6170" width="1.85546875" style="17" customWidth="1"/>
    <col min="6171" max="6174" width="12.140625" style="17" customWidth="1"/>
    <col min="6175" max="6175" width="1.85546875" style="17" customWidth="1"/>
    <col min="6176" max="6177" width="1.42578125" style="17" customWidth="1"/>
    <col min="6178" max="6178" width="11.42578125" style="17"/>
    <col min="6179" max="6181" width="18.7109375" style="17" customWidth="1"/>
    <col min="6182" max="6400" width="11.42578125" style="17"/>
    <col min="6401" max="6401" width="0.140625" style="17" customWidth="1"/>
    <col min="6402" max="6402" width="2.7109375" style="17" customWidth="1"/>
    <col min="6403" max="6403" width="42.5703125" style="17" customWidth="1"/>
    <col min="6404" max="6404" width="12.85546875" style="17" customWidth="1"/>
    <col min="6405" max="6405" width="12.7109375" style="17" customWidth="1"/>
    <col min="6406" max="6406" width="15.42578125" style="17" customWidth="1"/>
    <col min="6407" max="6411" width="12.5703125" style="17" customWidth="1"/>
    <col min="6412" max="6413" width="11.28515625" style="17" bestFit="1" customWidth="1"/>
    <col min="6414" max="6414" width="11" style="17" bestFit="1" customWidth="1"/>
    <col min="6415" max="6415" width="10.85546875" style="17" bestFit="1" customWidth="1"/>
    <col min="6416" max="6416" width="11.28515625" style="17" bestFit="1" customWidth="1"/>
    <col min="6417" max="6417" width="7.85546875" style="17" bestFit="1" customWidth="1"/>
    <col min="6418" max="6418" width="7" style="17" customWidth="1"/>
    <col min="6419" max="6419" width="17.42578125" style="17" customWidth="1"/>
    <col min="6420" max="6420" width="7.140625" style="17" customWidth="1"/>
    <col min="6421" max="6421" width="9.5703125" style="17" customWidth="1"/>
    <col min="6422" max="6423" width="15.5703125" style="17" customWidth="1"/>
    <col min="6424" max="6424" width="1.85546875" style="17" customWidth="1"/>
    <col min="6425" max="6425" width="1.7109375" style="17" customWidth="1"/>
    <col min="6426" max="6426" width="1.85546875" style="17" customWidth="1"/>
    <col min="6427" max="6430" width="12.140625" style="17" customWidth="1"/>
    <col min="6431" max="6431" width="1.85546875" style="17" customWidth="1"/>
    <col min="6432" max="6433" width="1.42578125" style="17" customWidth="1"/>
    <col min="6434" max="6434" width="11.42578125" style="17"/>
    <col min="6435" max="6437" width="18.7109375" style="17" customWidth="1"/>
    <col min="6438" max="6656" width="11.42578125" style="17"/>
    <col min="6657" max="6657" width="0.140625" style="17" customWidth="1"/>
    <col min="6658" max="6658" width="2.7109375" style="17" customWidth="1"/>
    <col min="6659" max="6659" width="42.5703125" style="17" customWidth="1"/>
    <col min="6660" max="6660" width="12.85546875" style="17" customWidth="1"/>
    <col min="6661" max="6661" width="12.7109375" style="17" customWidth="1"/>
    <col min="6662" max="6662" width="15.42578125" style="17" customWidth="1"/>
    <col min="6663" max="6667" width="12.5703125" style="17" customWidth="1"/>
    <col min="6668" max="6669" width="11.28515625" style="17" bestFit="1" customWidth="1"/>
    <col min="6670" max="6670" width="11" style="17" bestFit="1" customWidth="1"/>
    <col min="6671" max="6671" width="10.85546875" style="17" bestFit="1" customWidth="1"/>
    <col min="6672" max="6672" width="11.28515625" style="17" bestFit="1" customWidth="1"/>
    <col min="6673" max="6673" width="7.85546875" style="17" bestFit="1" customWidth="1"/>
    <col min="6674" max="6674" width="7" style="17" customWidth="1"/>
    <col min="6675" max="6675" width="17.42578125" style="17" customWidth="1"/>
    <col min="6676" max="6676" width="7.140625" style="17" customWidth="1"/>
    <col min="6677" max="6677" width="9.5703125" style="17" customWidth="1"/>
    <col min="6678" max="6679" width="15.5703125" style="17" customWidth="1"/>
    <col min="6680" max="6680" width="1.85546875" style="17" customWidth="1"/>
    <col min="6681" max="6681" width="1.7109375" style="17" customWidth="1"/>
    <col min="6682" max="6682" width="1.85546875" style="17" customWidth="1"/>
    <col min="6683" max="6686" width="12.140625" style="17" customWidth="1"/>
    <col min="6687" max="6687" width="1.85546875" style="17" customWidth="1"/>
    <col min="6688" max="6689" width="1.42578125" style="17" customWidth="1"/>
    <col min="6690" max="6690" width="11.42578125" style="17"/>
    <col min="6691" max="6693" width="18.7109375" style="17" customWidth="1"/>
    <col min="6694" max="6912" width="11.42578125" style="17"/>
    <col min="6913" max="6913" width="0.140625" style="17" customWidth="1"/>
    <col min="6914" max="6914" width="2.7109375" style="17" customWidth="1"/>
    <col min="6915" max="6915" width="42.5703125" style="17" customWidth="1"/>
    <col min="6916" max="6916" width="12.85546875" style="17" customWidth="1"/>
    <col min="6917" max="6917" width="12.7109375" style="17" customWidth="1"/>
    <col min="6918" max="6918" width="15.42578125" style="17" customWidth="1"/>
    <col min="6919" max="6923" width="12.5703125" style="17" customWidth="1"/>
    <col min="6924" max="6925" width="11.28515625" style="17" bestFit="1" customWidth="1"/>
    <col min="6926" max="6926" width="11" style="17" bestFit="1" customWidth="1"/>
    <col min="6927" max="6927" width="10.85546875" style="17" bestFit="1" customWidth="1"/>
    <col min="6928" max="6928" width="11.28515625" style="17" bestFit="1" customWidth="1"/>
    <col min="6929" max="6929" width="7.85546875" style="17" bestFit="1" customWidth="1"/>
    <col min="6930" max="6930" width="7" style="17" customWidth="1"/>
    <col min="6931" max="6931" width="17.42578125" style="17" customWidth="1"/>
    <col min="6932" max="6932" width="7.140625" style="17" customWidth="1"/>
    <col min="6933" max="6933" width="9.5703125" style="17" customWidth="1"/>
    <col min="6934" max="6935" width="15.5703125" style="17" customWidth="1"/>
    <col min="6936" max="6936" width="1.85546875" style="17" customWidth="1"/>
    <col min="6937" max="6937" width="1.7109375" style="17" customWidth="1"/>
    <col min="6938" max="6938" width="1.85546875" style="17" customWidth="1"/>
    <col min="6939" max="6942" width="12.140625" style="17" customWidth="1"/>
    <col min="6943" max="6943" width="1.85546875" style="17" customWidth="1"/>
    <col min="6944" max="6945" width="1.42578125" style="17" customWidth="1"/>
    <col min="6946" max="6946" width="11.42578125" style="17"/>
    <col min="6947" max="6949" width="18.7109375" style="17" customWidth="1"/>
    <col min="6950" max="7168" width="11.42578125" style="17"/>
    <col min="7169" max="7169" width="0.140625" style="17" customWidth="1"/>
    <col min="7170" max="7170" width="2.7109375" style="17" customWidth="1"/>
    <col min="7171" max="7171" width="42.5703125" style="17" customWidth="1"/>
    <col min="7172" max="7172" width="12.85546875" style="17" customWidth="1"/>
    <col min="7173" max="7173" width="12.7109375" style="17" customWidth="1"/>
    <col min="7174" max="7174" width="15.42578125" style="17" customWidth="1"/>
    <col min="7175" max="7179" width="12.5703125" style="17" customWidth="1"/>
    <col min="7180" max="7181" width="11.28515625" style="17" bestFit="1" customWidth="1"/>
    <col min="7182" max="7182" width="11" style="17" bestFit="1" customWidth="1"/>
    <col min="7183" max="7183" width="10.85546875" style="17" bestFit="1" customWidth="1"/>
    <col min="7184" max="7184" width="11.28515625" style="17" bestFit="1" customWidth="1"/>
    <col min="7185" max="7185" width="7.85546875" style="17" bestFit="1" customWidth="1"/>
    <col min="7186" max="7186" width="7" style="17" customWidth="1"/>
    <col min="7187" max="7187" width="17.42578125" style="17" customWidth="1"/>
    <col min="7188" max="7188" width="7.140625" style="17" customWidth="1"/>
    <col min="7189" max="7189" width="9.5703125" style="17" customWidth="1"/>
    <col min="7190" max="7191" width="15.5703125" style="17" customWidth="1"/>
    <col min="7192" max="7192" width="1.85546875" style="17" customWidth="1"/>
    <col min="7193" max="7193" width="1.7109375" style="17" customWidth="1"/>
    <col min="7194" max="7194" width="1.85546875" style="17" customWidth="1"/>
    <col min="7195" max="7198" width="12.140625" style="17" customWidth="1"/>
    <col min="7199" max="7199" width="1.85546875" style="17" customWidth="1"/>
    <col min="7200" max="7201" width="1.42578125" style="17" customWidth="1"/>
    <col min="7202" max="7202" width="11.42578125" style="17"/>
    <col min="7203" max="7205" width="18.7109375" style="17" customWidth="1"/>
    <col min="7206" max="7424" width="11.42578125" style="17"/>
    <col min="7425" max="7425" width="0.140625" style="17" customWidth="1"/>
    <col min="7426" max="7426" width="2.7109375" style="17" customWidth="1"/>
    <col min="7427" max="7427" width="42.5703125" style="17" customWidth="1"/>
    <col min="7428" max="7428" width="12.85546875" style="17" customWidth="1"/>
    <col min="7429" max="7429" width="12.7109375" style="17" customWidth="1"/>
    <col min="7430" max="7430" width="15.42578125" style="17" customWidth="1"/>
    <col min="7431" max="7435" width="12.5703125" style="17" customWidth="1"/>
    <col min="7436" max="7437" width="11.28515625" style="17" bestFit="1" customWidth="1"/>
    <col min="7438" max="7438" width="11" style="17" bestFit="1" customWidth="1"/>
    <col min="7439" max="7439" width="10.85546875" style="17" bestFit="1" customWidth="1"/>
    <col min="7440" max="7440" width="11.28515625" style="17" bestFit="1" customWidth="1"/>
    <col min="7441" max="7441" width="7.85546875" style="17" bestFit="1" customWidth="1"/>
    <col min="7442" max="7442" width="7" style="17" customWidth="1"/>
    <col min="7443" max="7443" width="17.42578125" style="17" customWidth="1"/>
    <col min="7444" max="7444" width="7.140625" style="17" customWidth="1"/>
    <col min="7445" max="7445" width="9.5703125" style="17" customWidth="1"/>
    <col min="7446" max="7447" width="15.5703125" style="17" customWidth="1"/>
    <col min="7448" max="7448" width="1.85546875" style="17" customWidth="1"/>
    <col min="7449" max="7449" width="1.7109375" style="17" customWidth="1"/>
    <col min="7450" max="7450" width="1.85546875" style="17" customWidth="1"/>
    <col min="7451" max="7454" width="12.140625" style="17" customWidth="1"/>
    <col min="7455" max="7455" width="1.85546875" style="17" customWidth="1"/>
    <col min="7456" max="7457" width="1.42578125" style="17" customWidth="1"/>
    <col min="7458" max="7458" width="11.42578125" style="17"/>
    <col min="7459" max="7461" width="18.7109375" style="17" customWidth="1"/>
    <col min="7462" max="7680" width="11.42578125" style="17"/>
    <col min="7681" max="7681" width="0.140625" style="17" customWidth="1"/>
    <col min="7682" max="7682" width="2.7109375" style="17" customWidth="1"/>
    <col min="7683" max="7683" width="42.5703125" style="17" customWidth="1"/>
    <col min="7684" max="7684" width="12.85546875" style="17" customWidth="1"/>
    <col min="7685" max="7685" width="12.7109375" style="17" customWidth="1"/>
    <col min="7686" max="7686" width="15.42578125" style="17" customWidth="1"/>
    <col min="7687" max="7691" width="12.5703125" style="17" customWidth="1"/>
    <col min="7692" max="7693" width="11.28515625" style="17" bestFit="1" customWidth="1"/>
    <col min="7694" max="7694" width="11" style="17" bestFit="1" customWidth="1"/>
    <col min="7695" max="7695" width="10.85546875" style="17" bestFit="1" customWidth="1"/>
    <col min="7696" max="7696" width="11.28515625" style="17" bestFit="1" customWidth="1"/>
    <col min="7697" max="7697" width="7.85546875" style="17" bestFit="1" customWidth="1"/>
    <col min="7698" max="7698" width="7" style="17" customWidth="1"/>
    <col min="7699" max="7699" width="17.42578125" style="17" customWidth="1"/>
    <col min="7700" max="7700" width="7.140625" style="17" customWidth="1"/>
    <col min="7701" max="7701" width="9.5703125" style="17" customWidth="1"/>
    <col min="7702" max="7703" width="15.5703125" style="17" customWidth="1"/>
    <col min="7704" max="7704" width="1.85546875" style="17" customWidth="1"/>
    <col min="7705" max="7705" width="1.7109375" style="17" customWidth="1"/>
    <col min="7706" max="7706" width="1.85546875" style="17" customWidth="1"/>
    <col min="7707" max="7710" width="12.140625" style="17" customWidth="1"/>
    <col min="7711" max="7711" width="1.85546875" style="17" customWidth="1"/>
    <col min="7712" max="7713" width="1.42578125" style="17" customWidth="1"/>
    <col min="7714" max="7714" width="11.42578125" style="17"/>
    <col min="7715" max="7717" width="18.7109375" style="17" customWidth="1"/>
    <col min="7718" max="7936" width="11.42578125" style="17"/>
    <col min="7937" max="7937" width="0.140625" style="17" customWidth="1"/>
    <col min="7938" max="7938" width="2.7109375" style="17" customWidth="1"/>
    <col min="7939" max="7939" width="42.5703125" style="17" customWidth="1"/>
    <col min="7940" max="7940" width="12.85546875" style="17" customWidth="1"/>
    <col min="7941" max="7941" width="12.7109375" style="17" customWidth="1"/>
    <col min="7942" max="7942" width="15.42578125" style="17" customWidth="1"/>
    <col min="7943" max="7947" width="12.5703125" style="17" customWidth="1"/>
    <col min="7948" max="7949" width="11.28515625" style="17" bestFit="1" customWidth="1"/>
    <col min="7950" max="7950" width="11" style="17" bestFit="1" customWidth="1"/>
    <col min="7951" max="7951" width="10.85546875" style="17" bestFit="1" customWidth="1"/>
    <col min="7952" max="7952" width="11.28515625" style="17" bestFit="1" customWidth="1"/>
    <col min="7953" max="7953" width="7.85546875" style="17" bestFit="1" customWidth="1"/>
    <col min="7954" max="7954" width="7" style="17" customWidth="1"/>
    <col min="7955" max="7955" width="17.42578125" style="17" customWidth="1"/>
    <col min="7956" max="7956" width="7.140625" style="17" customWidth="1"/>
    <col min="7957" max="7957" width="9.5703125" style="17" customWidth="1"/>
    <col min="7958" max="7959" width="15.5703125" style="17" customWidth="1"/>
    <col min="7960" max="7960" width="1.85546875" style="17" customWidth="1"/>
    <col min="7961" max="7961" width="1.7109375" style="17" customWidth="1"/>
    <col min="7962" max="7962" width="1.85546875" style="17" customWidth="1"/>
    <col min="7963" max="7966" width="12.140625" style="17" customWidth="1"/>
    <col min="7967" max="7967" width="1.85546875" style="17" customWidth="1"/>
    <col min="7968" max="7969" width="1.42578125" style="17" customWidth="1"/>
    <col min="7970" max="7970" width="11.42578125" style="17"/>
    <col min="7971" max="7973" width="18.7109375" style="17" customWidth="1"/>
    <col min="7974" max="8192" width="11.42578125" style="17"/>
    <col min="8193" max="8193" width="0.140625" style="17" customWidth="1"/>
    <col min="8194" max="8194" width="2.7109375" style="17" customWidth="1"/>
    <col min="8195" max="8195" width="42.5703125" style="17" customWidth="1"/>
    <col min="8196" max="8196" width="12.85546875" style="17" customWidth="1"/>
    <col min="8197" max="8197" width="12.7109375" style="17" customWidth="1"/>
    <col min="8198" max="8198" width="15.42578125" style="17" customWidth="1"/>
    <col min="8199" max="8203" width="12.5703125" style="17" customWidth="1"/>
    <col min="8204" max="8205" width="11.28515625" style="17" bestFit="1" customWidth="1"/>
    <col min="8206" max="8206" width="11" style="17" bestFit="1" customWidth="1"/>
    <col min="8207" max="8207" width="10.85546875" style="17" bestFit="1" customWidth="1"/>
    <col min="8208" max="8208" width="11.28515625" style="17" bestFit="1" customWidth="1"/>
    <col min="8209" max="8209" width="7.85546875" style="17" bestFit="1" customWidth="1"/>
    <col min="8210" max="8210" width="7" style="17" customWidth="1"/>
    <col min="8211" max="8211" width="17.42578125" style="17" customWidth="1"/>
    <col min="8212" max="8212" width="7.140625" style="17" customWidth="1"/>
    <col min="8213" max="8213" width="9.5703125" style="17" customWidth="1"/>
    <col min="8214" max="8215" width="15.5703125" style="17" customWidth="1"/>
    <col min="8216" max="8216" width="1.85546875" style="17" customWidth="1"/>
    <col min="8217" max="8217" width="1.7109375" style="17" customWidth="1"/>
    <col min="8218" max="8218" width="1.85546875" style="17" customWidth="1"/>
    <col min="8219" max="8222" width="12.140625" style="17" customWidth="1"/>
    <col min="8223" max="8223" width="1.85546875" style="17" customWidth="1"/>
    <col min="8224" max="8225" width="1.42578125" style="17" customWidth="1"/>
    <col min="8226" max="8226" width="11.42578125" style="17"/>
    <col min="8227" max="8229" width="18.7109375" style="17" customWidth="1"/>
    <col min="8230" max="8448" width="11.42578125" style="17"/>
    <col min="8449" max="8449" width="0.140625" style="17" customWidth="1"/>
    <col min="8450" max="8450" width="2.7109375" style="17" customWidth="1"/>
    <col min="8451" max="8451" width="42.5703125" style="17" customWidth="1"/>
    <col min="8452" max="8452" width="12.85546875" style="17" customWidth="1"/>
    <col min="8453" max="8453" width="12.7109375" style="17" customWidth="1"/>
    <col min="8454" max="8454" width="15.42578125" style="17" customWidth="1"/>
    <col min="8455" max="8459" width="12.5703125" style="17" customWidth="1"/>
    <col min="8460" max="8461" width="11.28515625" style="17" bestFit="1" customWidth="1"/>
    <col min="8462" max="8462" width="11" style="17" bestFit="1" customWidth="1"/>
    <col min="8463" max="8463" width="10.85546875" style="17" bestFit="1" customWidth="1"/>
    <col min="8464" max="8464" width="11.28515625" style="17" bestFit="1" customWidth="1"/>
    <col min="8465" max="8465" width="7.85546875" style="17" bestFit="1" customWidth="1"/>
    <col min="8466" max="8466" width="7" style="17" customWidth="1"/>
    <col min="8467" max="8467" width="17.42578125" style="17" customWidth="1"/>
    <col min="8468" max="8468" width="7.140625" style="17" customWidth="1"/>
    <col min="8469" max="8469" width="9.5703125" style="17" customWidth="1"/>
    <col min="8470" max="8471" width="15.5703125" style="17" customWidth="1"/>
    <col min="8472" max="8472" width="1.85546875" style="17" customWidth="1"/>
    <col min="8473" max="8473" width="1.7109375" style="17" customWidth="1"/>
    <col min="8474" max="8474" width="1.85546875" style="17" customWidth="1"/>
    <col min="8475" max="8478" width="12.140625" style="17" customWidth="1"/>
    <col min="8479" max="8479" width="1.85546875" style="17" customWidth="1"/>
    <col min="8480" max="8481" width="1.42578125" style="17" customWidth="1"/>
    <col min="8482" max="8482" width="11.42578125" style="17"/>
    <col min="8483" max="8485" width="18.7109375" style="17" customWidth="1"/>
    <col min="8486" max="8704" width="11.42578125" style="17"/>
    <col min="8705" max="8705" width="0.140625" style="17" customWidth="1"/>
    <col min="8706" max="8706" width="2.7109375" style="17" customWidth="1"/>
    <col min="8707" max="8707" width="42.5703125" style="17" customWidth="1"/>
    <col min="8708" max="8708" width="12.85546875" style="17" customWidth="1"/>
    <col min="8709" max="8709" width="12.7109375" style="17" customWidth="1"/>
    <col min="8710" max="8710" width="15.42578125" style="17" customWidth="1"/>
    <col min="8711" max="8715" width="12.5703125" style="17" customWidth="1"/>
    <col min="8716" max="8717" width="11.28515625" style="17" bestFit="1" customWidth="1"/>
    <col min="8718" max="8718" width="11" style="17" bestFit="1" customWidth="1"/>
    <col min="8719" max="8719" width="10.85546875" style="17" bestFit="1" customWidth="1"/>
    <col min="8720" max="8720" width="11.28515625" style="17" bestFit="1" customWidth="1"/>
    <col min="8721" max="8721" width="7.85546875" style="17" bestFit="1" customWidth="1"/>
    <col min="8722" max="8722" width="7" style="17" customWidth="1"/>
    <col min="8723" max="8723" width="17.42578125" style="17" customWidth="1"/>
    <col min="8724" max="8724" width="7.140625" style="17" customWidth="1"/>
    <col min="8725" max="8725" width="9.5703125" style="17" customWidth="1"/>
    <col min="8726" max="8727" width="15.5703125" style="17" customWidth="1"/>
    <col min="8728" max="8728" width="1.85546875" style="17" customWidth="1"/>
    <col min="8729" max="8729" width="1.7109375" style="17" customWidth="1"/>
    <col min="8730" max="8730" width="1.85546875" style="17" customWidth="1"/>
    <col min="8731" max="8734" width="12.140625" style="17" customWidth="1"/>
    <col min="8735" max="8735" width="1.85546875" style="17" customWidth="1"/>
    <col min="8736" max="8737" width="1.42578125" style="17" customWidth="1"/>
    <col min="8738" max="8738" width="11.42578125" style="17"/>
    <col min="8739" max="8741" width="18.7109375" style="17" customWidth="1"/>
    <col min="8742" max="8960" width="11.42578125" style="17"/>
    <col min="8961" max="8961" width="0.140625" style="17" customWidth="1"/>
    <col min="8962" max="8962" width="2.7109375" style="17" customWidth="1"/>
    <col min="8963" max="8963" width="42.5703125" style="17" customWidth="1"/>
    <col min="8964" max="8964" width="12.85546875" style="17" customWidth="1"/>
    <col min="8965" max="8965" width="12.7109375" style="17" customWidth="1"/>
    <col min="8966" max="8966" width="15.42578125" style="17" customWidth="1"/>
    <col min="8967" max="8971" width="12.5703125" style="17" customWidth="1"/>
    <col min="8972" max="8973" width="11.28515625" style="17" bestFit="1" customWidth="1"/>
    <col min="8974" max="8974" width="11" style="17" bestFit="1" customWidth="1"/>
    <col min="8975" max="8975" width="10.85546875" style="17" bestFit="1" customWidth="1"/>
    <col min="8976" max="8976" width="11.28515625" style="17" bestFit="1" customWidth="1"/>
    <col min="8977" max="8977" width="7.85546875" style="17" bestFit="1" customWidth="1"/>
    <col min="8978" max="8978" width="7" style="17" customWidth="1"/>
    <col min="8979" max="8979" width="17.42578125" style="17" customWidth="1"/>
    <col min="8980" max="8980" width="7.140625" style="17" customWidth="1"/>
    <col min="8981" max="8981" width="9.5703125" style="17" customWidth="1"/>
    <col min="8982" max="8983" width="15.5703125" style="17" customWidth="1"/>
    <col min="8984" max="8984" width="1.85546875" style="17" customWidth="1"/>
    <col min="8985" max="8985" width="1.7109375" style="17" customWidth="1"/>
    <col min="8986" max="8986" width="1.85546875" style="17" customWidth="1"/>
    <col min="8987" max="8990" width="12.140625" style="17" customWidth="1"/>
    <col min="8991" max="8991" width="1.85546875" style="17" customWidth="1"/>
    <col min="8992" max="8993" width="1.42578125" style="17" customWidth="1"/>
    <col min="8994" max="8994" width="11.42578125" style="17"/>
    <col min="8995" max="8997" width="18.7109375" style="17" customWidth="1"/>
    <col min="8998" max="9216" width="11.42578125" style="17"/>
    <col min="9217" max="9217" width="0.140625" style="17" customWidth="1"/>
    <col min="9218" max="9218" width="2.7109375" style="17" customWidth="1"/>
    <col min="9219" max="9219" width="42.5703125" style="17" customWidth="1"/>
    <col min="9220" max="9220" width="12.85546875" style="17" customWidth="1"/>
    <col min="9221" max="9221" width="12.7109375" style="17" customWidth="1"/>
    <col min="9222" max="9222" width="15.42578125" style="17" customWidth="1"/>
    <col min="9223" max="9227" width="12.5703125" style="17" customWidth="1"/>
    <col min="9228" max="9229" width="11.28515625" style="17" bestFit="1" customWidth="1"/>
    <col min="9230" max="9230" width="11" style="17" bestFit="1" customWidth="1"/>
    <col min="9231" max="9231" width="10.85546875" style="17" bestFit="1" customWidth="1"/>
    <col min="9232" max="9232" width="11.28515625" style="17" bestFit="1" customWidth="1"/>
    <col min="9233" max="9233" width="7.85546875" style="17" bestFit="1" customWidth="1"/>
    <col min="9234" max="9234" width="7" style="17" customWidth="1"/>
    <col min="9235" max="9235" width="17.42578125" style="17" customWidth="1"/>
    <col min="9236" max="9236" width="7.140625" style="17" customWidth="1"/>
    <col min="9237" max="9237" width="9.5703125" style="17" customWidth="1"/>
    <col min="9238" max="9239" width="15.5703125" style="17" customWidth="1"/>
    <col min="9240" max="9240" width="1.85546875" style="17" customWidth="1"/>
    <col min="9241" max="9241" width="1.7109375" style="17" customWidth="1"/>
    <col min="9242" max="9242" width="1.85546875" style="17" customWidth="1"/>
    <col min="9243" max="9246" width="12.140625" style="17" customWidth="1"/>
    <col min="9247" max="9247" width="1.85546875" style="17" customWidth="1"/>
    <col min="9248" max="9249" width="1.42578125" style="17" customWidth="1"/>
    <col min="9250" max="9250" width="11.42578125" style="17"/>
    <col min="9251" max="9253" width="18.7109375" style="17" customWidth="1"/>
    <col min="9254" max="9472" width="11.42578125" style="17"/>
    <col min="9473" max="9473" width="0.140625" style="17" customWidth="1"/>
    <col min="9474" max="9474" width="2.7109375" style="17" customWidth="1"/>
    <col min="9475" max="9475" width="42.5703125" style="17" customWidth="1"/>
    <col min="9476" max="9476" width="12.85546875" style="17" customWidth="1"/>
    <col min="9477" max="9477" width="12.7109375" style="17" customWidth="1"/>
    <col min="9478" max="9478" width="15.42578125" style="17" customWidth="1"/>
    <col min="9479" max="9483" width="12.5703125" style="17" customWidth="1"/>
    <col min="9484" max="9485" width="11.28515625" style="17" bestFit="1" customWidth="1"/>
    <col min="9486" max="9486" width="11" style="17" bestFit="1" customWidth="1"/>
    <col min="9487" max="9487" width="10.85546875" style="17" bestFit="1" customWidth="1"/>
    <col min="9488" max="9488" width="11.28515625" style="17" bestFit="1" customWidth="1"/>
    <col min="9489" max="9489" width="7.85546875" style="17" bestFit="1" customWidth="1"/>
    <col min="9490" max="9490" width="7" style="17" customWidth="1"/>
    <col min="9491" max="9491" width="17.42578125" style="17" customWidth="1"/>
    <col min="9492" max="9492" width="7.140625" style="17" customWidth="1"/>
    <col min="9493" max="9493" width="9.5703125" style="17" customWidth="1"/>
    <col min="9494" max="9495" width="15.5703125" style="17" customWidth="1"/>
    <col min="9496" max="9496" width="1.85546875" style="17" customWidth="1"/>
    <col min="9497" max="9497" width="1.7109375" style="17" customWidth="1"/>
    <col min="9498" max="9498" width="1.85546875" style="17" customWidth="1"/>
    <col min="9499" max="9502" width="12.140625" style="17" customWidth="1"/>
    <col min="9503" max="9503" width="1.85546875" style="17" customWidth="1"/>
    <col min="9504" max="9505" width="1.42578125" style="17" customWidth="1"/>
    <col min="9506" max="9506" width="11.42578125" style="17"/>
    <col min="9507" max="9509" width="18.7109375" style="17" customWidth="1"/>
    <col min="9510" max="9728" width="11.42578125" style="17"/>
    <col min="9729" max="9729" width="0.140625" style="17" customWidth="1"/>
    <col min="9730" max="9730" width="2.7109375" style="17" customWidth="1"/>
    <col min="9731" max="9731" width="42.5703125" style="17" customWidth="1"/>
    <col min="9732" max="9732" width="12.85546875" style="17" customWidth="1"/>
    <col min="9733" max="9733" width="12.7109375" style="17" customWidth="1"/>
    <col min="9734" max="9734" width="15.42578125" style="17" customWidth="1"/>
    <col min="9735" max="9739" width="12.5703125" style="17" customWidth="1"/>
    <col min="9740" max="9741" width="11.28515625" style="17" bestFit="1" customWidth="1"/>
    <col min="9742" max="9742" width="11" style="17" bestFit="1" customWidth="1"/>
    <col min="9743" max="9743" width="10.85546875" style="17" bestFit="1" customWidth="1"/>
    <col min="9744" max="9744" width="11.28515625" style="17" bestFit="1" customWidth="1"/>
    <col min="9745" max="9745" width="7.85546875" style="17" bestFit="1" customWidth="1"/>
    <col min="9746" max="9746" width="7" style="17" customWidth="1"/>
    <col min="9747" max="9747" width="17.42578125" style="17" customWidth="1"/>
    <col min="9748" max="9748" width="7.140625" style="17" customWidth="1"/>
    <col min="9749" max="9749" width="9.5703125" style="17" customWidth="1"/>
    <col min="9750" max="9751" width="15.5703125" style="17" customWidth="1"/>
    <col min="9752" max="9752" width="1.85546875" style="17" customWidth="1"/>
    <col min="9753" max="9753" width="1.7109375" style="17" customWidth="1"/>
    <col min="9754" max="9754" width="1.85546875" style="17" customWidth="1"/>
    <col min="9755" max="9758" width="12.140625" style="17" customWidth="1"/>
    <col min="9759" max="9759" width="1.85546875" style="17" customWidth="1"/>
    <col min="9760" max="9761" width="1.42578125" style="17" customWidth="1"/>
    <col min="9762" max="9762" width="11.42578125" style="17"/>
    <col min="9763" max="9765" width="18.7109375" style="17" customWidth="1"/>
    <col min="9766" max="9984" width="11.42578125" style="17"/>
    <col min="9985" max="9985" width="0.140625" style="17" customWidth="1"/>
    <col min="9986" max="9986" width="2.7109375" style="17" customWidth="1"/>
    <col min="9987" max="9987" width="42.5703125" style="17" customWidth="1"/>
    <col min="9988" max="9988" width="12.85546875" style="17" customWidth="1"/>
    <col min="9989" max="9989" width="12.7109375" style="17" customWidth="1"/>
    <col min="9990" max="9990" width="15.42578125" style="17" customWidth="1"/>
    <col min="9991" max="9995" width="12.5703125" style="17" customWidth="1"/>
    <col min="9996" max="9997" width="11.28515625" style="17" bestFit="1" customWidth="1"/>
    <col min="9998" max="9998" width="11" style="17" bestFit="1" customWidth="1"/>
    <col min="9999" max="9999" width="10.85546875" style="17" bestFit="1" customWidth="1"/>
    <col min="10000" max="10000" width="11.28515625" style="17" bestFit="1" customWidth="1"/>
    <col min="10001" max="10001" width="7.85546875" style="17" bestFit="1" customWidth="1"/>
    <col min="10002" max="10002" width="7" style="17" customWidth="1"/>
    <col min="10003" max="10003" width="17.42578125" style="17" customWidth="1"/>
    <col min="10004" max="10004" width="7.140625" style="17" customWidth="1"/>
    <col min="10005" max="10005" width="9.5703125" style="17" customWidth="1"/>
    <col min="10006" max="10007" width="15.5703125" style="17" customWidth="1"/>
    <col min="10008" max="10008" width="1.85546875" style="17" customWidth="1"/>
    <col min="10009" max="10009" width="1.7109375" style="17" customWidth="1"/>
    <col min="10010" max="10010" width="1.85546875" style="17" customWidth="1"/>
    <col min="10011" max="10014" width="12.140625" style="17" customWidth="1"/>
    <col min="10015" max="10015" width="1.85546875" style="17" customWidth="1"/>
    <col min="10016" max="10017" width="1.42578125" style="17" customWidth="1"/>
    <col min="10018" max="10018" width="11.42578125" style="17"/>
    <col min="10019" max="10021" width="18.7109375" style="17" customWidth="1"/>
    <col min="10022" max="10240" width="11.42578125" style="17"/>
    <col min="10241" max="10241" width="0.140625" style="17" customWidth="1"/>
    <col min="10242" max="10242" width="2.7109375" style="17" customWidth="1"/>
    <col min="10243" max="10243" width="42.5703125" style="17" customWidth="1"/>
    <col min="10244" max="10244" width="12.85546875" style="17" customWidth="1"/>
    <col min="10245" max="10245" width="12.7109375" style="17" customWidth="1"/>
    <col min="10246" max="10246" width="15.42578125" style="17" customWidth="1"/>
    <col min="10247" max="10251" width="12.5703125" style="17" customWidth="1"/>
    <col min="10252" max="10253" width="11.28515625" style="17" bestFit="1" customWidth="1"/>
    <col min="10254" max="10254" width="11" style="17" bestFit="1" customWidth="1"/>
    <col min="10255" max="10255" width="10.85546875" style="17" bestFit="1" customWidth="1"/>
    <col min="10256" max="10256" width="11.28515625" style="17" bestFit="1" customWidth="1"/>
    <col min="10257" max="10257" width="7.85546875" style="17" bestFit="1" customWidth="1"/>
    <col min="10258" max="10258" width="7" style="17" customWidth="1"/>
    <col min="10259" max="10259" width="17.42578125" style="17" customWidth="1"/>
    <col min="10260" max="10260" width="7.140625" style="17" customWidth="1"/>
    <col min="10261" max="10261" width="9.5703125" style="17" customWidth="1"/>
    <col min="10262" max="10263" width="15.5703125" style="17" customWidth="1"/>
    <col min="10264" max="10264" width="1.85546875" style="17" customWidth="1"/>
    <col min="10265" max="10265" width="1.7109375" style="17" customWidth="1"/>
    <col min="10266" max="10266" width="1.85546875" style="17" customWidth="1"/>
    <col min="10267" max="10270" width="12.140625" style="17" customWidth="1"/>
    <col min="10271" max="10271" width="1.85546875" style="17" customWidth="1"/>
    <col min="10272" max="10273" width="1.42578125" style="17" customWidth="1"/>
    <col min="10274" max="10274" width="11.42578125" style="17"/>
    <col min="10275" max="10277" width="18.7109375" style="17" customWidth="1"/>
    <col min="10278" max="10496" width="11.42578125" style="17"/>
    <col min="10497" max="10497" width="0.140625" style="17" customWidth="1"/>
    <col min="10498" max="10498" width="2.7109375" style="17" customWidth="1"/>
    <col min="10499" max="10499" width="42.5703125" style="17" customWidth="1"/>
    <col min="10500" max="10500" width="12.85546875" style="17" customWidth="1"/>
    <col min="10501" max="10501" width="12.7109375" style="17" customWidth="1"/>
    <col min="10502" max="10502" width="15.42578125" style="17" customWidth="1"/>
    <col min="10503" max="10507" width="12.5703125" style="17" customWidth="1"/>
    <col min="10508" max="10509" width="11.28515625" style="17" bestFit="1" customWidth="1"/>
    <col min="10510" max="10510" width="11" style="17" bestFit="1" customWidth="1"/>
    <col min="10511" max="10511" width="10.85546875" style="17" bestFit="1" customWidth="1"/>
    <col min="10512" max="10512" width="11.28515625" style="17" bestFit="1" customWidth="1"/>
    <col min="10513" max="10513" width="7.85546875" style="17" bestFit="1" customWidth="1"/>
    <col min="10514" max="10514" width="7" style="17" customWidth="1"/>
    <col min="10515" max="10515" width="17.42578125" style="17" customWidth="1"/>
    <col min="10516" max="10516" width="7.140625" style="17" customWidth="1"/>
    <col min="10517" max="10517" width="9.5703125" style="17" customWidth="1"/>
    <col min="10518" max="10519" width="15.5703125" style="17" customWidth="1"/>
    <col min="10520" max="10520" width="1.85546875" style="17" customWidth="1"/>
    <col min="10521" max="10521" width="1.7109375" style="17" customWidth="1"/>
    <col min="10522" max="10522" width="1.85546875" style="17" customWidth="1"/>
    <col min="10523" max="10526" width="12.140625" style="17" customWidth="1"/>
    <col min="10527" max="10527" width="1.85546875" style="17" customWidth="1"/>
    <col min="10528" max="10529" width="1.42578125" style="17" customWidth="1"/>
    <col min="10530" max="10530" width="11.42578125" style="17"/>
    <col min="10531" max="10533" width="18.7109375" style="17" customWidth="1"/>
    <col min="10534" max="10752" width="11.42578125" style="17"/>
    <col min="10753" max="10753" width="0.140625" style="17" customWidth="1"/>
    <col min="10754" max="10754" width="2.7109375" style="17" customWidth="1"/>
    <col min="10755" max="10755" width="42.5703125" style="17" customWidth="1"/>
    <col min="10756" max="10756" width="12.85546875" style="17" customWidth="1"/>
    <col min="10757" max="10757" width="12.7109375" style="17" customWidth="1"/>
    <col min="10758" max="10758" width="15.42578125" style="17" customWidth="1"/>
    <col min="10759" max="10763" width="12.5703125" style="17" customWidth="1"/>
    <col min="10764" max="10765" width="11.28515625" style="17" bestFit="1" customWidth="1"/>
    <col min="10766" max="10766" width="11" style="17" bestFit="1" customWidth="1"/>
    <col min="10767" max="10767" width="10.85546875" style="17" bestFit="1" customWidth="1"/>
    <col min="10768" max="10768" width="11.28515625" style="17" bestFit="1" customWidth="1"/>
    <col min="10769" max="10769" width="7.85546875" style="17" bestFit="1" customWidth="1"/>
    <col min="10770" max="10770" width="7" style="17" customWidth="1"/>
    <col min="10771" max="10771" width="17.42578125" style="17" customWidth="1"/>
    <col min="10772" max="10772" width="7.140625" style="17" customWidth="1"/>
    <col min="10773" max="10773" width="9.5703125" style="17" customWidth="1"/>
    <col min="10774" max="10775" width="15.5703125" style="17" customWidth="1"/>
    <col min="10776" max="10776" width="1.85546875" style="17" customWidth="1"/>
    <col min="10777" max="10777" width="1.7109375" style="17" customWidth="1"/>
    <col min="10778" max="10778" width="1.85546875" style="17" customWidth="1"/>
    <col min="10779" max="10782" width="12.140625" style="17" customWidth="1"/>
    <col min="10783" max="10783" width="1.85546875" style="17" customWidth="1"/>
    <col min="10784" max="10785" width="1.42578125" style="17" customWidth="1"/>
    <col min="10786" max="10786" width="11.42578125" style="17"/>
    <col min="10787" max="10789" width="18.7109375" style="17" customWidth="1"/>
    <col min="10790" max="11008" width="11.42578125" style="17"/>
    <col min="11009" max="11009" width="0.140625" style="17" customWidth="1"/>
    <col min="11010" max="11010" width="2.7109375" style="17" customWidth="1"/>
    <col min="11011" max="11011" width="42.5703125" style="17" customWidth="1"/>
    <col min="11012" max="11012" width="12.85546875" style="17" customWidth="1"/>
    <col min="11013" max="11013" width="12.7109375" style="17" customWidth="1"/>
    <col min="11014" max="11014" width="15.42578125" style="17" customWidth="1"/>
    <col min="11015" max="11019" width="12.5703125" style="17" customWidth="1"/>
    <col min="11020" max="11021" width="11.28515625" style="17" bestFit="1" customWidth="1"/>
    <col min="11022" max="11022" width="11" style="17" bestFit="1" customWidth="1"/>
    <col min="11023" max="11023" width="10.85546875" style="17" bestFit="1" customWidth="1"/>
    <col min="11024" max="11024" width="11.28515625" style="17" bestFit="1" customWidth="1"/>
    <col min="11025" max="11025" width="7.85546875" style="17" bestFit="1" customWidth="1"/>
    <col min="11026" max="11026" width="7" style="17" customWidth="1"/>
    <col min="11027" max="11027" width="17.42578125" style="17" customWidth="1"/>
    <col min="11028" max="11028" width="7.140625" style="17" customWidth="1"/>
    <col min="11029" max="11029" width="9.5703125" style="17" customWidth="1"/>
    <col min="11030" max="11031" width="15.5703125" style="17" customWidth="1"/>
    <col min="11032" max="11032" width="1.85546875" style="17" customWidth="1"/>
    <col min="11033" max="11033" width="1.7109375" style="17" customWidth="1"/>
    <col min="11034" max="11034" width="1.85546875" style="17" customWidth="1"/>
    <col min="11035" max="11038" width="12.140625" style="17" customWidth="1"/>
    <col min="11039" max="11039" width="1.85546875" style="17" customWidth="1"/>
    <col min="11040" max="11041" width="1.42578125" style="17" customWidth="1"/>
    <col min="11042" max="11042" width="11.42578125" style="17"/>
    <col min="11043" max="11045" width="18.7109375" style="17" customWidth="1"/>
    <col min="11046" max="11264" width="11.42578125" style="17"/>
    <col min="11265" max="11265" width="0.140625" style="17" customWidth="1"/>
    <col min="11266" max="11266" width="2.7109375" style="17" customWidth="1"/>
    <col min="11267" max="11267" width="42.5703125" style="17" customWidth="1"/>
    <col min="11268" max="11268" width="12.85546875" style="17" customWidth="1"/>
    <col min="11269" max="11269" width="12.7109375" style="17" customWidth="1"/>
    <col min="11270" max="11270" width="15.42578125" style="17" customWidth="1"/>
    <col min="11271" max="11275" width="12.5703125" style="17" customWidth="1"/>
    <col min="11276" max="11277" width="11.28515625" style="17" bestFit="1" customWidth="1"/>
    <col min="11278" max="11278" width="11" style="17" bestFit="1" customWidth="1"/>
    <col min="11279" max="11279" width="10.85546875" style="17" bestFit="1" customWidth="1"/>
    <col min="11280" max="11280" width="11.28515625" style="17" bestFit="1" customWidth="1"/>
    <col min="11281" max="11281" width="7.85546875" style="17" bestFit="1" customWidth="1"/>
    <col min="11282" max="11282" width="7" style="17" customWidth="1"/>
    <col min="11283" max="11283" width="17.42578125" style="17" customWidth="1"/>
    <col min="11284" max="11284" width="7.140625" style="17" customWidth="1"/>
    <col min="11285" max="11285" width="9.5703125" style="17" customWidth="1"/>
    <col min="11286" max="11287" width="15.5703125" style="17" customWidth="1"/>
    <col min="11288" max="11288" width="1.85546875" style="17" customWidth="1"/>
    <col min="11289" max="11289" width="1.7109375" style="17" customWidth="1"/>
    <col min="11290" max="11290" width="1.85546875" style="17" customWidth="1"/>
    <col min="11291" max="11294" width="12.140625" style="17" customWidth="1"/>
    <col min="11295" max="11295" width="1.85546875" style="17" customWidth="1"/>
    <col min="11296" max="11297" width="1.42578125" style="17" customWidth="1"/>
    <col min="11298" max="11298" width="11.42578125" style="17"/>
    <col min="11299" max="11301" width="18.7109375" style="17" customWidth="1"/>
    <col min="11302" max="11520" width="11.42578125" style="17"/>
    <col min="11521" max="11521" width="0.140625" style="17" customWidth="1"/>
    <col min="11522" max="11522" width="2.7109375" style="17" customWidth="1"/>
    <col min="11523" max="11523" width="42.5703125" style="17" customWidth="1"/>
    <col min="11524" max="11524" width="12.85546875" style="17" customWidth="1"/>
    <col min="11525" max="11525" width="12.7109375" style="17" customWidth="1"/>
    <col min="11526" max="11526" width="15.42578125" style="17" customWidth="1"/>
    <col min="11527" max="11531" width="12.5703125" style="17" customWidth="1"/>
    <col min="11532" max="11533" width="11.28515625" style="17" bestFit="1" customWidth="1"/>
    <col min="11534" max="11534" width="11" style="17" bestFit="1" customWidth="1"/>
    <col min="11535" max="11535" width="10.85546875" style="17" bestFit="1" customWidth="1"/>
    <col min="11536" max="11536" width="11.28515625" style="17" bestFit="1" customWidth="1"/>
    <col min="11537" max="11537" width="7.85546875" style="17" bestFit="1" customWidth="1"/>
    <col min="11538" max="11538" width="7" style="17" customWidth="1"/>
    <col min="11539" max="11539" width="17.42578125" style="17" customWidth="1"/>
    <col min="11540" max="11540" width="7.140625" style="17" customWidth="1"/>
    <col min="11541" max="11541" width="9.5703125" style="17" customWidth="1"/>
    <col min="11542" max="11543" width="15.5703125" style="17" customWidth="1"/>
    <col min="11544" max="11544" width="1.85546875" style="17" customWidth="1"/>
    <col min="11545" max="11545" width="1.7109375" style="17" customWidth="1"/>
    <col min="11546" max="11546" width="1.85546875" style="17" customWidth="1"/>
    <col min="11547" max="11550" width="12.140625" style="17" customWidth="1"/>
    <col min="11551" max="11551" width="1.85546875" style="17" customWidth="1"/>
    <col min="11552" max="11553" width="1.42578125" style="17" customWidth="1"/>
    <col min="11554" max="11554" width="11.42578125" style="17"/>
    <col min="11555" max="11557" width="18.7109375" style="17" customWidth="1"/>
    <col min="11558" max="11776" width="11.42578125" style="17"/>
    <col min="11777" max="11777" width="0.140625" style="17" customWidth="1"/>
    <col min="11778" max="11778" width="2.7109375" style="17" customWidth="1"/>
    <col min="11779" max="11779" width="42.5703125" style="17" customWidth="1"/>
    <col min="11780" max="11780" width="12.85546875" style="17" customWidth="1"/>
    <col min="11781" max="11781" width="12.7109375" style="17" customWidth="1"/>
    <col min="11782" max="11782" width="15.42578125" style="17" customWidth="1"/>
    <col min="11783" max="11787" width="12.5703125" style="17" customWidth="1"/>
    <col min="11788" max="11789" width="11.28515625" style="17" bestFit="1" customWidth="1"/>
    <col min="11790" max="11790" width="11" style="17" bestFit="1" customWidth="1"/>
    <col min="11791" max="11791" width="10.85546875" style="17" bestFit="1" customWidth="1"/>
    <col min="11792" max="11792" width="11.28515625" style="17" bestFit="1" customWidth="1"/>
    <col min="11793" max="11793" width="7.85546875" style="17" bestFit="1" customWidth="1"/>
    <col min="11794" max="11794" width="7" style="17" customWidth="1"/>
    <col min="11795" max="11795" width="17.42578125" style="17" customWidth="1"/>
    <col min="11796" max="11796" width="7.140625" style="17" customWidth="1"/>
    <col min="11797" max="11797" width="9.5703125" style="17" customWidth="1"/>
    <col min="11798" max="11799" width="15.5703125" style="17" customWidth="1"/>
    <col min="11800" max="11800" width="1.85546875" style="17" customWidth="1"/>
    <col min="11801" max="11801" width="1.7109375" style="17" customWidth="1"/>
    <col min="11802" max="11802" width="1.85546875" style="17" customWidth="1"/>
    <col min="11803" max="11806" width="12.140625" style="17" customWidth="1"/>
    <col min="11807" max="11807" width="1.85546875" style="17" customWidth="1"/>
    <col min="11808" max="11809" width="1.42578125" style="17" customWidth="1"/>
    <col min="11810" max="11810" width="11.42578125" style="17"/>
    <col min="11811" max="11813" width="18.7109375" style="17" customWidth="1"/>
    <col min="11814" max="12032" width="11.42578125" style="17"/>
    <col min="12033" max="12033" width="0.140625" style="17" customWidth="1"/>
    <col min="12034" max="12034" width="2.7109375" style="17" customWidth="1"/>
    <col min="12035" max="12035" width="42.5703125" style="17" customWidth="1"/>
    <col min="12036" max="12036" width="12.85546875" style="17" customWidth="1"/>
    <col min="12037" max="12037" width="12.7109375" style="17" customWidth="1"/>
    <col min="12038" max="12038" width="15.42578125" style="17" customWidth="1"/>
    <col min="12039" max="12043" width="12.5703125" style="17" customWidth="1"/>
    <col min="12044" max="12045" width="11.28515625" style="17" bestFit="1" customWidth="1"/>
    <col min="12046" max="12046" width="11" style="17" bestFit="1" customWidth="1"/>
    <col min="12047" max="12047" width="10.85546875" style="17" bestFit="1" customWidth="1"/>
    <col min="12048" max="12048" width="11.28515625" style="17" bestFit="1" customWidth="1"/>
    <col min="12049" max="12049" width="7.85546875" style="17" bestFit="1" customWidth="1"/>
    <col min="12050" max="12050" width="7" style="17" customWidth="1"/>
    <col min="12051" max="12051" width="17.42578125" style="17" customWidth="1"/>
    <col min="12052" max="12052" width="7.140625" style="17" customWidth="1"/>
    <col min="12053" max="12053" width="9.5703125" style="17" customWidth="1"/>
    <col min="12054" max="12055" width="15.5703125" style="17" customWidth="1"/>
    <col min="12056" max="12056" width="1.85546875" style="17" customWidth="1"/>
    <col min="12057" max="12057" width="1.7109375" style="17" customWidth="1"/>
    <col min="12058" max="12058" width="1.85546875" style="17" customWidth="1"/>
    <col min="12059" max="12062" width="12.140625" style="17" customWidth="1"/>
    <col min="12063" max="12063" width="1.85546875" style="17" customWidth="1"/>
    <col min="12064" max="12065" width="1.42578125" style="17" customWidth="1"/>
    <col min="12066" max="12066" width="11.42578125" style="17"/>
    <col min="12067" max="12069" width="18.7109375" style="17" customWidth="1"/>
    <col min="12070" max="12288" width="11.42578125" style="17"/>
    <col min="12289" max="12289" width="0.140625" style="17" customWidth="1"/>
    <col min="12290" max="12290" width="2.7109375" style="17" customWidth="1"/>
    <col min="12291" max="12291" width="42.5703125" style="17" customWidth="1"/>
    <col min="12292" max="12292" width="12.85546875" style="17" customWidth="1"/>
    <col min="12293" max="12293" width="12.7109375" style="17" customWidth="1"/>
    <col min="12294" max="12294" width="15.42578125" style="17" customWidth="1"/>
    <col min="12295" max="12299" width="12.5703125" style="17" customWidth="1"/>
    <col min="12300" max="12301" width="11.28515625" style="17" bestFit="1" customWidth="1"/>
    <col min="12302" max="12302" width="11" style="17" bestFit="1" customWidth="1"/>
    <col min="12303" max="12303" width="10.85546875" style="17" bestFit="1" customWidth="1"/>
    <col min="12304" max="12304" width="11.28515625" style="17" bestFit="1" customWidth="1"/>
    <col min="12305" max="12305" width="7.85546875" style="17" bestFit="1" customWidth="1"/>
    <col min="12306" max="12306" width="7" style="17" customWidth="1"/>
    <col min="12307" max="12307" width="17.42578125" style="17" customWidth="1"/>
    <col min="12308" max="12308" width="7.140625" style="17" customWidth="1"/>
    <col min="12309" max="12309" width="9.5703125" style="17" customWidth="1"/>
    <col min="12310" max="12311" width="15.5703125" style="17" customWidth="1"/>
    <col min="12312" max="12312" width="1.85546875" style="17" customWidth="1"/>
    <col min="12313" max="12313" width="1.7109375" style="17" customWidth="1"/>
    <col min="12314" max="12314" width="1.85546875" style="17" customWidth="1"/>
    <col min="12315" max="12318" width="12.140625" style="17" customWidth="1"/>
    <col min="12319" max="12319" width="1.85546875" style="17" customWidth="1"/>
    <col min="12320" max="12321" width="1.42578125" style="17" customWidth="1"/>
    <col min="12322" max="12322" width="11.42578125" style="17"/>
    <col min="12323" max="12325" width="18.7109375" style="17" customWidth="1"/>
    <col min="12326" max="12544" width="11.42578125" style="17"/>
    <col min="12545" max="12545" width="0.140625" style="17" customWidth="1"/>
    <col min="12546" max="12546" width="2.7109375" style="17" customWidth="1"/>
    <col min="12547" max="12547" width="42.5703125" style="17" customWidth="1"/>
    <col min="12548" max="12548" width="12.85546875" style="17" customWidth="1"/>
    <col min="12549" max="12549" width="12.7109375" style="17" customWidth="1"/>
    <col min="12550" max="12550" width="15.42578125" style="17" customWidth="1"/>
    <col min="12551" max="12555" width="12.5703125" style="17" customWidth="1"/>
    <col min="12556" max="12557" width="11.28515625" style="17" bestFit="1" customWidth="1"/>
    <col min="12558" max="12558" width="11" style="17" bestFit="1" customWidth="1"/>
    <col min="12559" max="12559" width="10.85546875" style="17" bestFit="1" customWidth="1"/>
    <col min="12560" max="12560" width="11.28515625" style="17" bestFit="1" customWidth="1"/>
    <col min="12561" max="12561" width="7.85546875" style="17" bestFit="1" customWidth="1"/>
    <col min="12562" max="12562" width="7" style="17" customWidth="1"/>
    <col min="12563" max="12563" width="17.42578125" style="17" customWidth="1"/>
    <col min="12564" max="12564" width="7.140625" style="17" customWidth="1"/>
    <col min="12565" max="12565" width="9.5703125" style="17" customWidth="1"/>
    <col min="12566" max="12567" width="15.5703125" style="17" customWidth="1"/>
    <col min="12568" max="12568" width="1.85546875" style="17" customWidth="1"/>
    <col min="12569" max="12569" width="1.7109375" style="17" customWidth="1"/>
    <col min="12570" max="12570" width="1.85546875" style="17" customWidth="1"/>
    <col min="12571" max="12574" width="12.140625" style="17" customWidth="1"/>
    <col min="12575" max="12575" width="1.85546875" style="17" customWidth="1"/>
    <col min="12576" max="12577" width="1.42578125" style="17" customWidth="1"/>
    <col min="12578" max="12578" width="11.42578125" style="17"/>
    <col min="12579" max="12581" width="18.7109375" style="17" customWidth="1"/>
    <col min="12582" max="12800" width="11.42578125" style="17"/>
    <col min="12801" max="12801" width="0.140625" style="17" customWidth="1"/>
    <col min="12802" max="12802" width="2.7109375" style="17" customWidth="1"/>
    <col min="12803" max="12803" width="42.5703125" style="17" customWidth="1"/>
    <col min="12804" max="12804" width="12.85546875" style="17" customWidth="1"/>
    <col min="12805" max="12805" width="12.7109375" style="17" customWidth="1"/>
    <col min="12806" max="12806" width="15.42578125" style="17" customWidth="1"/>
    <col min="12807" max="12811" width="12.5703125" style="17" customWidth="1"/>
    <col min="12812" max="12813" width="11.28515625" style="17" bestFit="1" customWidth="1"/>
    <col min="12814" max="12814" width="11" style="17" bestFit="1" customWidth="1"/>
    <col min="12815" max="12815" width="10.85546875" style="17" bestFit="1" customWidth="1"/>
    <col min="12816" max="12816" width="11.28515625" style="17" bestFit="1" customWidth="1"/>
    <col min="12817" max="12817" width="7.85546875" style="17" bestFit="1" customWidth="1"/>
    <col min="12818" max="12818" width="7" style="17" customWidth="1"/>
    <col min="12819" max="12819" width="17.42578125" style="17" customWidth="1"/>
    <col min="12820" max="12820" width="7.140625" style="17" customWidth="1"/>
    <col min="12821" max="12821" width="9.5703125" style="17" customWidth="1"/>
    <col min="12822" max="12823" width="15.5703125" style="17" customWidth="1"/>
    <col min="12824" max="12824" width="1.85546875" style="17" customWidth="1"/>
    <col min="12825" max="12825" width="1.7109375" style="17" customWidth="1"/>
    <col min="12826" max="12826" width="1.85546875" style="17" customWidth="1"/>
    <col min="12827" max="12830" width="12.140625" style="17" customWidth="1"/>
    <col min="12831" max="12831" width="1.85546875" style="17" customWidth="1"/>
    <col min="12832" max="12833" width="1.42578125" style="17" customWidth="1"/>
    <col min="12834" max="12834" width="11.42578125" style="17"/>
    <col min="12835" max="12837" width="18.7109375" style="17" customWidth="1"/>
    <col min="12838" max="13056" width="11.42578125" style="17"/>
    <col min="13057" max="13057" width="0.140625" style="17" customWidth="1"/>
    <col min="13058" max="13058" width="2.7109375" style="17" customWidth="1"/>
    <col min="13059" max="13059" width="42.5703125" style="17" customWidth="1"/>
    <col min="13060" max="13060" width="12.85546875" style="17" customWidth="1"/>
    <col min="13061" max="13061" width="12.7109375" style="17" customWidth="1"/>
    <col min="13062" max="13062" width="15.42578125" style="17" customWidth="1"/>
    <col min="13063" max="13067" width="12.5703125" style="17" customWidth="1"/>
    <col min="13068" max="13069" width="11.28515625" style="17" bestFit="1" customWidth="1"/>
    <col min="13070" max="13070" width="11" style="17" bestFit="1" customWidth="1"/>
    <col min="13071" max="13071" width="10.85546875" style="17" bestFit="1" customWidth="1"/>
    <col min="13072" max="13072" width="11.28515625" style="17" bestFit="1" customWidth="1"/>
    <col min="13073" max="13073" width="7.85546875" style="17" bestFit="1" customWidth="1"/>
    <col min="13074" max="13074" width="7" style="17" customWidth="1"/>
    <col min="13075" max="13075" width="17.42578125" style="17" customWidth="1"/>
    <col min="13076" max="13076" width="7.140625" style="17" customWidth="1"/>
    <col min="13077" max="13077" width="9.5703125" style="17" customWidth="1"/>
    <col min="13078" max="13079" width="15.5703125" style="17" customWidth="1"/>
    <col min="13080" max="13080" width="1.85546875" style="17" customWidth="1"/>
    <col min="13081" max="13081" width="1.7109375" style="17" customWidth="1"/>
    <col min="13082" max="13082" width="1.85546875" style="17" customWidth="1"/>
    <col min="13083" max="13086" width="12.140625" style="17" customWidth="1"/>
    <col min="13087" max="13087" width="1.85546875" style="17" customWidth="1"/>
    <col min="13088" max="13089" width="1.42578125" style="17" customWidth="1"/>
    <col min="13090" max="13090" width="11.42578125" style="17"/>
    <col min="13091" max="13093" width="18.7109375" style="17" customWidth="1"/>
    <col min="13094" max="13312" width="11.42578125" style="17"/>
    <col min="13313" max="13313" width="0.140625" style="17" customWidth="1"/>
    <col min="13314" max="13314" width="2.7109375" style="17" customWidth="1"/>
    <col min="13315" max="13315" width="42.5703125" style="17" customWidth="1"/>
    <col min="13316" max="13316" width="12.85546875" style="17" customWidth="1"/>
    <col min="13317" max="13317" width="12.7109375" style="17" customWidth="1"/>
    <col min="13318" max="13318" width="15.42578125" style="17" customWidth="1"/>
    <col min="13319" max="13323" width="12.5703125" style="17" customWidth="1"/>
    <col min="13324" max="13325" width="11.28515625" style="17" bestFit="1" customWidth="1"/>
    <col min="13326" max="13326" width="11" style="17" bestFit="1" customWidth="1"/>
    <col min="13327" max="13327" width="10.85546875" style="17" bestFit="1" customWidth="1"/>
    <col min="13328" max="13328" width="11.28515625" style="17" bestFit="1" customWidth="1"/>
    <col min="13329" max="13329" width="7.85546875" style="17" bestFit="1" customWidth="1"/>
    <col min="13330" max="13330" width="7" style="17" customWidth="1"/>
    <col min="13331" max="13331" width="17.42578125" style="17" customWidth="1"/>
    <col min="13332" max="13332" width="7.140625" style="17" customWidth="1"/>
    <col min="13333" max="13333" width="9.5703125" style="17" customWidth="1"/>
    <col min="13334" max="13335" width="15.5703125" style="17" customWidth="1"/>
    <col min="13336" max="13336" width="1.85546875" style="17" customWidth="1"/>
    <col min="13337" max="13337" width="1.7109375" style="17" customWidth="1"/>
    <col min="13338" max="13338" width="1.85546875" style="17" customWidth="1"/>
    <col min="13339" max="13342" width="12.140625" style="17" customWidth="1"/>
    <col min="13343" max="13343" width="1.85546875" style="17" customWidth="1"/>
    <col min="13344" max="13345" width="1.42578125" style="17" customWidth="1"/>
    <col min="13346" max="13346" width="11.42578125" style="17"/>
    <col min="13347" max="13349" width="18.7109375" style="17" customWidth="1"/>
    <col min="13350" max="13568" width="11.42578125" style="17"/>
    <col min="13569" max="13569" width="0.140625" style="17" customWidth="1"/>
    <col min="13570" max="13570" width="2.7109375" style="17" customWidth="1"/>
    <col min="13571" max="13571" width="42.5703125" style="17" customWidth="1"/>
    <col min="13572" max="13572" width="12.85546875" style="17" customWidth="1"/>
    <col min="13573" max="13573" width="12.7109375" style="17" customWidth="1"/>
    <col min="13574" max="13574" width="15.42578125" style="17" customWidth="1"/>
    <col min="13575" max="13579" width="12.5703125" style="17" customWidth="1"/>
    <col min="13580" max="13581" width="11.28515625" style="17" bestFit="1" customWidth="1"/>
    <col min="13582" max="13582" width="11" style="17" bestFit="1" customWidth="1"/>
    <col min="13583" max="13583" width="10.85546875" style="17" bestFit="1" customWidth="1"/>
    <col min="13584" max="13584" width="11.28515625" style="17" bestFit="1" customWidth="1"/>
    <col min="13585" max="13585" width="7.85546875" style="17" bestFit="1" customWidth="1"/>
    <col min="13586" max="13586" width="7" style="17" customWidth="1"/>
    <col min="13587" max="13587" width="17.42578125" style="17" customWidth="1"/>
    <col min="13588" max="13588" width="7.140625" style="17" customWidth="1"/>
    <col min="13589" max="13589" width="9.5703125" style="17" customWidth="1"/>
    <col min="13590" max="13591" width="15.5703125" style="17" customWidth="1"/>
    <col min="13592" max="13592" width="1.85546875" style="17" customWidth="1"/>
    <col min="13593" max="13593" width="1.7109375" style="17" customWidth="1"/>
    <col min="13594" max="13594" width="1.85546875" style="17" customWidth="1"/>
    <col min="13595" max="13598" width="12.140625" style="17" customWidth="1"/>
    <col min="13599" max="13599" width="1.85546875" style="17" customWidth="1"/>
    <col min="13600" max="13601" width="1.42578125" style="17" customWidth="1"/>
    <col min="13602" max="13602" width="11.42578125" style="17"/>
    <col min="13603" max="13605" width="18.7109375" style="17" customWidth="1"/>
    <col min="13606" max="13824" width="11.42578125" style="17"/>
    <col min="13825" max="13825" width="0.140625" style="17" customWidth="1"/>
    <col min="13826" max="13826" width="2.7109375" style="17" customWidth="1"/>
    <col min="13827" max="13827" width="42.5703125" style="17" customWidth="1"/>
    <col min="13828" max="13828" width="12.85546875" style="17" customWidth="1"/>
    <col min="13829" max="13829" width="12.7109375" style="17" customWidth="1"/>
    <col min="13830" max="13830" width="15.42578125" style="17" customWidth="1"/>
    <col min="13831" max="13835" width="12.5703125" style="17" customWidth="1"/>
    <col min="13836" max="13837" width="11.28515625" style="17" bestFit="1" customWidth="1"/>
    <col min="13838" max="13838" width="11" style="17" bestFit="1" customWidth="1"/>
    <col min="13839" max="13839" width="10.85546875" style="17" bestFit="1" customWidth="1"/>
    <col min="13840" max="13840" width="11.28515625" style="17" bestFit="1" customWidth="1"/>
    <col min="13841" max="13841" width="7.85546875" style="17" bestFit="1" customWidth="1"/>
    <col min="13842" max="13842" width="7" style="17" customWidth="1"/>
    <col min="13843" max="13843" width="17.42578125" style="17" customWidth="1"/>
    <col min="13844" max="13844" width="7.140625" style="17" customWidth="1"/>
    <col min="13845" max="13845" width="9.5703125" style="17" customWidth="1"/>
    <col min="13846" max="13847" width="15.5703125" style="17" customWidth="1"/>
    <col min="13848" max="13848" width="1.85546875" style="17" customWidth="1"/>
    <col min="13849" max="13849" width="1.7109375" style="17" customWidth="1"/>
    <col min="13850" max="13850" width="1.85546875" style="17" customWidth="1"/>
    <col min="13851" max="13854" width="12.140625" style="17" customWidth="1"/>
    <col min="13855" max="13855" width="1.85546875" style="17" customWidth="1"/>
    <col min="13856" max="13857" width="1.42578125" style="17" customWidth="1"/>
    <col min="13858" max="13858" width="11.42578125" style="17"/>
    <col min="13859" max="13861" width="18.7109375" style="17" customWidth="1"/>
    <col min="13862" max="14080" width="11.42578125" style="17"/>
    <col min="14081" max="14081" width="0.140625" style="17" customWidth="1"/>
    <col min="14082" max="14082" width="2.7109375" style="17" customWidth="1"/>
    <col min="14083" max="14083" width="42.5703125" style="17" customWidth="1"/>
    <col min="14084" max="14084" width="12.85546875" style="17" customWidth="1"/>
    <col min="14085" max="14085" width="12.7109375" style="17" customWidth="1"/>
    <col min="14086" max="14086" width="15.42578125" style="17" customWidth="1"/>
    <col min="14087" max="14091" width="12.5703125" style="17" customWidth="1"/>
    <col min="14092" max="14093" width="11.28515625" style="17" bestFit="1" customWidth="1"/>
    <col min="14094" max="14094" width="11" style="17" bestFit="1" customWidth="1"/>
    <col min="14095" max="14095" width="10.85546875" style="17" bestFit="1" customWidth="1"/>
    <col min="14096" max="14096" width="11.28515625" style="17" bestFit="1" customWidth="1"/>
    <col min="14097" max="14097" width="7.85546875" style="17" bestFit="1" customWidth="1"/>
    <col min="14098" max="14098" width="7" style="17" customWidth="1"/>
    <col min="14099" max="14099" width="17.42578125" style="17" customWidth="1"/>
    <col min="14100" max="14100" width="7.140625" style="17" customWidth="1"/>
    <col min="14101" max="14101" width="9.5703125" style="17" customWidth="1"/>
    <col min="14102" max="14103" width="15.5703125" style="17" customWidth="1"/>
    <col min="14104" max="14104" width="1.85546875" style="17" customWidth="1"/>
    <col min="14105" max="14105" width="1.7109375" style="17" customWidth="1"/>
    <col min="14106" max="14106" width="1.85546875" style="17" customWidth="1"/>
    <col min="14107" max="14110" width="12.140625" style="17" customWidth="1"/>
    <col min="14111" max="14111" width="1.85546875" style="17" customWidth="1"/>
    <col min="14112" max="14113" width="1.42578125" style="17" customWidth="1"/>
    <col min="14114" max="14114" width="11.42578125" style="17"/>
    <col min="14115" max="14117" width="18.7109375" style="17" customWidth="1"/>
    <col min="14118" max="14336" width="11.42578125" style="17"/>
    <col min="14337" max="14337" width="0.140625" style="17" customWidth="1"/>
    <col min="14338" max="14338" width="2.7109375" style="17" customWidth="1"/>
    <col min="14339" max="14339" width="42.5703125" style="17" customWidth="1"/>
    <col min="14340" max="14340" width="12.85546875" style="17" customWidth="1"/>
    <col min="14341" max="14341" width="12.7109375" style="17" customWidth="1"/>
    <col min="14342" max="14342" width="15.42578125" style="17" customWidth="1"/>
    <col min="14343" max="14347" width="12.5703125" style="17" customWidth="1"/>
    <col min="14348" max="14349" width="11.28515625" style="17" bestFit="1" customWidth="1"/>
    <col min="14350" max="14350" width="11" style="17" bestFit="1" customWidth="1"/>
    <col min="14351" max="14351" width="10.85546875" style="17" bestFit="1" customWidth="1"/>
    <col min="14352" max="14352" width="11.28515625" style="17" bestFit="1" customWidth="1"/>
    <col min="14353" max="14353" width="7.85546875" style="17" bestFit="1" customWidth="1"/>
    <col min="14354" max="14354" width="7" style="17" customWidth="1"/>
    <col min="14355" max="14355" width="17.42578125" style="17" customWidth="1"/>
    <col min="14356" max="14356" width="7.140625" style="17" customWidth="1"/>
    <col min="14357" max="14357" width="9.5703125" style="17" customWidth="1"/>
    <col min="14358" max="14359" width="15.5703125" style="17" customWidth="1"/>
    <col min="14360" max="14360" width="1.85546875" style="17" customWidth="1"/>
    <col min="14361" max="14361" width="1.7109375" style="17" customWidth="1"/>
    <col min="14362" max="14362" width="1.85546875" style="17" customWidth="1"/>
    <col min="14363" max="14366" width="12.140625" style="17" customWidth="1"/>
    <col min="14367" max="14367" width="1.85546875" style="17" customWidth="1"/>
    <col min="14368" max="14369" width="1.42578125" style="17" customWidth="1"/>
    <col min="14370" max="14370" width="11.42578125" style="17"/>
    <col min="14371" max="14373" width="18.7109375" style="17" customWidth="1"/>
    <col min="14374" max="14592" width="11.42578125" style="17"/>
    <col min="14593" max="14593" width="0.140625" style="17" customWidth="1"/>
    <col min="14594" max="14594" width="2.7109375" style="17" customWidth="1"/>
    <col min="14595" max="14595" width="42.5703125" style="17" customWidth="1"/>
    <col min="14596" max="14596" width="12.85546875" style="17" customWidth="1"/>
    <col min="14597" max="14597" width="12.7109375" style="17" customWidth="1"/>
    <col min="14598" max="14598" width="15.42578125" style="17" customWidth="1"/>
    <col min="14599" max="14603" width="12.5703125" style="17" customWidth="1"/>
    <col min="14604" max="14605" width="11.28515625" style="17" bestFit="1" customWidth="1"/>
    <col min="14606" max="14606" width="11" style="17" bestFit="1" customWidth="1"/>
    <col min="14607" max="14607" width="10.85546875" style="17" bestFit="1" customWidth="1"/>
    <col min="14608" max="14608" width="11.28515625" style="17" bestFit="1" customWidth="1"/>
    <col min="14609" max="14609" width="7.85546875" style="17" bestFit="1" customWidth="1"/>
    <col min="14610" max="14610" width="7" style="17" customWidth="1"/>
    <col min="14611" max="14611" width="17.42578125" style="17" customWidth="1"/>
    <col min="14612" max="14612" width="7.140625" style="17" customWidth="1"/>
    <col min="14613" max="14613" width="9.5703125" style="17" customWidth="1"/>
    <col min="14614" max="14615" width="15.5703125" style="17" customWidth="1"/>
    <col min="14616" max="14616" width="1.85546875" style="17" customWidth="1"/>
    <col min="14617" max="14617" width="1.7109375" style="17" customWidth="1"/>
    <col min="14618" max="14618" width="1.85546875" style="17" customWidth="1"/>
    <col min="14619" max="14622" width="12.140625" style="17" customWidth="1"/>
    <col min="14623" max="14623" width="1.85546875" style="17" customWidth="1"/>
    <col min="14624" max="14625" width="1.42578125" style="17" customWidth="1"/>
    <col min="14626" max="14626" width="11.42578125" style="17"/>
    <col min="14627" max="14629" width="18.7109375" style="17" customWidth="1"/>
    <col min="14630" max="14848" width="11.42578125" style="17"/>
    <col min="14849" max="14849" width="0.140625" style="17" customWidth="1"/>
    <col min="14850" max="14850" width="2.7109375" style="17" customWidth="1"/>
    <col min="14851" max="14851" width="42.5703125" style="17" customWidth="1"/>
    <col min="14852" max="14852" width="12.85546875" style="17" customWidth="1"/>
    <col min="14853" max="14853" width="12.7109375" style="17" customWidth="1"/>
    <col min="14854" max="14854" width="15.42578125" style="17" customWidth="1"/>
    <col min="14855" max="14859" width="12.5703125" style="17" customWidth="1"/>
    <col min="14860" max="14861" width="11.28515625" style="17" bestFit="1" customWidth="1"/>
    <col min="14862" max="14862" width="11" style="17" bestFit="1" customWidth="1"/>
    <col min="14863" max="14863" width="10.85546875" style="17" bestFit="1" customWidth="1"/>
    <col min="14864" max="14864" width="11.28515625" style="17" bestFit="1" customWidth="1"/>
    <col min="14865" max="14865" width="7.85546875" style="17" bestFit="1" customWidth="1"/>
    <col min="14866" max="14866" width="7" style="17" customWidth="1"/>
    <col min="14867" max="14867" width="17.42578125" style="17" customWidth="1"/>
    <col min="14868" max="14868" width="7.140625" style="17" customWidth="1"/>
    <col min="14869" max="14869" width="9.5703125" style="17" customWidth="1"/>
    <col min="14870" max="14871" width="15.5703125" style="17" customWidth="1"/>
    <col min="14872" max="14872" width="1.85546875" style="17" customWidth="1"/>
    <col min="14873" max="14873" width="1.7109375" style="17" customWidth="1"/>
    <col min="14874" max="14874" width="1.85546875" style="17" customWidth="1"/>
    <col min="14875" max="14878" width="12.140625" style="17" customWidth="1"/>
    <col min="14879" max="14879" width="1.85546875" style="17" customWidth="1"/>
    <col min="14880" max="14881" width="1.42578125" style="17" customWidth="1"/>
    <col min="14882" max="14882" width="11.42578125" style="17"/>
    <col min="14883" max="14885" width="18.7109375" style="17" customWidth="1"/>
    <col min="14886" max="15104" width="11.42578125" style="17"/>
    <col min="15105" max="15105" width="0.140625" style="17" customWidth="1"/>
    <col min="15106" max="15106" width="2.7109375" style="17" customWidth="1"/>
    <col min="15107" max="15107" width="42.5703125" style="17" customWidth="1"/>
    <col min="15108" max="15108" width="12.85546875" style="17" customWidth="1"/>
    <col min="15109" max="15109" width="12.7109375" style="17" customWidth="1"/>
    <col min="15110" max="15110" width="15.42578125" style="17" customWidth="1"/>
    <col min="15111" max="15115" width="12.5703125" style="17" customWidth="1"/>
    <col min="15116" max="15117" width="11.28515625" style="17" bestFit="1" customWidth="1"/>
    <col min="15118" max="15118" width="11" style="17" bestFit="1" customWidth="1"/>
    <col min="15119" max="15119" width="10.85546875" style="17" bestFit="1" customWidth="1"/>
    <col min="15120" max="15120" width="11.28515625" style="17" bestFit="1" customWidth="1"/>
    <col min="15121" max="15121" width="7.85546875" style="17" bestFit="1" customWidth="1"/>
    <col min="15122" max="15122" width="7" style="17" customWidth="1"/>
    <col min="15123" max="15123" width="17.42578125" style="17" customWidth="1"/>
    <col min="15124" max="15124" width="7.140625" style="17" customWidth="1"/>
    <col min="15125" max="15125" width="9.5703125" style="17" customWidth="1"/>
    <col min="15126" max="15127" width="15.5703125" style="17" customWidth="1"/>
    <col min="15128" max="15128" width="1.85546875" style="17" customWidth="1"/>
    <col min="15129" max="15129" width="1.7109375" style="17" customWidth="1"/>
    <col min="15130" max="15130" width="1.85546875" style="17" customWidth="1"/>
    <col min="15131" max="15134" width="12.140625" style="17" customWidth="1"/>
    <col min="15135" max="15135" width="1.85546875" style="17" customWidth="1"/>
    <col min="15136" max="15137" width="1.42578125" style="17" customWidth="1"/>
    <col min="15138" max="15138" width="11.42578125" style="17"/>
    <col min="15139" max="15141" width="18.7109375" style="17" customWidth="1"/>
    <col min="15142" max="15360" width="11.42578125" style="17"/>
    <col min="15361" max="15361" width="0.140625" style="17" customWidth="1"/>
    <col min="15362" max="15362" width="2.7109375" style="17" customWidth="1"/>
    <col min="15363" max="15363" width="42.5703125" style="17" customWidth="1"/>
    <col min="15364" max="15364" width="12.85546875" style="17" customWidth="1"/>
    <col min="15365" max="15365" width="12.7109375" style="17" customWidth="1"/>
    <col min="15366" max="15366" width="15.42578125" style="17" customWidth="1"/>
    <col min="15367" max="15371" width="12.5703125" style="17" customWidth="1"/>
    <col min="15372" max="15373" width="11.28515625" style="17" bestFit="1" customWidth="1"/>
    <col min="15374" max="15374" width="11" style="17" bestFit="1" customWidth="1"/>
    <col min="15375" max="15375" width="10.85546875" style="17" bestFit="1" customWidth="1"/>
    <col min="15376" max="15376" width="11.28515625" style="17" bestFit="1" customWidth="1"/>
    <col min="15377" max="15377" width="7.85546875" style="17" bestFit="1" customWidth="1"/>
    <col min="15378" max="15378" width="7" style="17" customWidth="1"/>
    <col min="15379" max="15379" width="17.42578125" style="17" customWidth="1"/>
    <col min="15380" max="15380" width="7.140625" style="17" customWidth="1"/>
    <col min="15381" max="15381" width="9.5703125" style="17" customWidth="1"/>
    <col min="15382" max="15383" width="15.5703125" style="17" customWidth="1"/>
    <col min="15384" max="15384" width="1.85546875" style="17" customWidth="1"/>
    <col min="15385" max="15385" width="1.7109375" style="17" customWidth="1"/>
    <col min="15386" max="15386" width="1.85546875" style="17" customWidth="1"/>
    <col min="15387" max="15390" width="12.140625" style="17" customWidth="1"/>
    <col min="15391" max="15391" width="1.85546875" style="17" customWidth="1"/>
    <col min="15392" max="15393" width="1.42578125" style="17" customWidth="1"/>
    <col min="15394" max="15394" width="11.42578125" style="17"/>
    <col min="15395" max="15397" width="18.7109375" style="17" customWidth="1"/>
    <col min="15398" max="15616" width="11.42578125" style="17"/>
    <col min="15617" max="15617" width="0.140625" style="17" customWidth="1"/>
    <col min="15618" max="15618" width="2.7109375" style="17" customWidth="1"/>
    <col min="15619" max="15619" width="42.5703125" style="17" customWidth="1"/>
    <col min="15620" max="15620" width="12.85546875" style="17" customWidth="1"/>
    <col min="15621" max="15621" width="12.7109375" style="17" customWidth="1"/>
    <col min="15622" max="15622" width="15.42578125" style="17" customWidth="1"/>
    <col min="15623" max="15627" width="12.5703125" style="17" customWidth="1"/>
    <col min="15628" max="15629" width="11.28515625" style="17" bestFit="1" customWidth="1"/>
    <col min="15630" max="15630" width="11" style="17" bestFit="1" customWidth="1"/>
    <col min="15631" max="15631" width="10.85546875" style="17" bestFit="1" customWidth="1"/>
    <col min="15632" max="15632" width="11.28515625" style="17" bestFit="1" customWidth="1"/>
    <col min="15633" max="15633" width="7.85546875" style="17" bestFit="1" customWidth="1"/>
    <col min="15634" max="15634" width="7" style="17" customWidth="1"/>
    <col min="15635" max="15635" width="17.42578125" style="17" customWidth="1"/>
    <col min="15636" max="15636" width="7.140625" style="17" customWidth="1"/>
    <col min="15637" max="15637" width="9.5703125" style="17" customWidth="1"/>
    <col min="15638" max="15639" width="15.5703125" style="17" customWidth="1"/>
    <col min="15640" max="15640" width="1.85546875" style="17" customWidth="1"/>
    <col min="15641" max="15641" width="1.7109375" style="17" customWidth="1"/>
    <col min="15642" max="15642" width="1.85546875" style="17" customWidth="1"/>
    <col min="15643" max="15646" width="12.140625" style="17" customWidth="1"/>
    <col min="15647" max="15647" width="1.85546875" style="17" customWidth="1"/>
    <col min="15648" max="15649" width="1.42578125" style="17" customWidth="1"/>
    <col min="15650" max="15650" width="11.42578125" style="17"/>
    <col min="15651" max="15653" width="18.7109375" style="17" customWidth="1"/>
    <col min="15654" max="15872" width="11.42578125" style="17"/>
    <col min="15873" max="15873" width="0.140625" style="17" customWidth="1"/>
    <col min="15874" max="15874" width="2.7109375" style="17" customWidth="1"/>
    <col min="15875" max="15875" width="42.5703125" style="17" customWidth="1"/>
    <col min="15876" max="15876" width="12.85546875" style="17" customWidth="1"/>
    <col min="15877" max="15877" width="12.7109375" style="17" customWidth="1"/>
    <col min="15878" max="15878" width="15.42578125" style="17" customWidth="1"/>
    <col min="15879" max="15883" width="12.5703125" style="17" customWidth="1"/>
    <col min="15884" max="15885" width="11.28515625" style="17" bestFit="1" customWidth="1"/>
    <col min="15886" max="15886" width="11" style="17" bestFit="1" customWidth="1"/>
    <col min="15887" max="15887" width="10.85546875" style="17" bestFit="1" customWidth="1"/>
    <col min="15888" max="15888" width="11.28515625" style="17" bestFit="1" customWidth="1"/>
    <col min="15889" max="15889" width="7.85546875" style="17" bestFit="1" customWidth="1"/>
    <col min="15890" max="15890" width="7" style="17" customWidth="1"/>
    <col min="15891" max="15891" width="17.42578125" style="17" customWidth="1"/>
    <col min="15892" max="15892" width="7.140625" style="17" customWidth="1"/>
    <col min="15893" max="15893" width="9.5703125" style="17" customWidth="1"/>
    <col min="15894" max="15895" width="15.5703125" style="17" customWidth="1"/>
    <col min="15896" max="15896" width="1.85546875" style="17" customWidth="1"/>
    <col min="15897" max="15897" width="1.7109375" style="17" customWidth="1"/>
    <col min="15898" max="15898" width="1.85546875" style="17" customWidth="1"/>
    <col min="15899" max="15902" width="12.140625" style="17" customWidth="1"/>
    <col min="15903" max="15903" width="1.85546875" style="17" customWidth="1"/>
    <col min="15904" max="15905" width="1.42578125" style="17" customWidth="1"/>
    <col min="15906" max="15906" width="11.42578125" style="17"/>
    <col min="15907" max="15909" width="18.7109375" style="17" customWidth="1"/>
    <col min="15910" max="16128" width="11.42578125" style="17"/>
    <col min="16129" max="16129" width="0.140625" style="17" customWidth="1"/>
    <col min="16130" max="16130" width="2.7109375" style="17" customWidth="1"/>
    <col min="16131" max="16131" width="42.5703125" style="17" customWidth="1"/>
    <col min="16132" max="16132" width="12.85546875" style="17" customWidth="1"/>
    <col min="16133" max="16133" width="12.7109375" style="17" customWidth="1"/>
    <col min="16134" max="16134" width="15.42578125" style="17" customWidth="1"/>
    <col min="16135" max="16139" width="12.5703125" style="17" customWidth="1"/>
    <col min="16140" max="16141" width="11.28515625" style="17" bestFit="1" customWidth="1"/>
    <col min="16142" max="16142" width="11" style="17" bestFit="1" customWidth="1"/>
    <col min="16143" max="16143" width="10.85546875" style="17" bestFit="1" customWidth="1"/>
    <col min="16144" max="16144" width="11.28515625" style="17" bestFit="1" customWidth="1"/>
    <col min="16145" max="16145" width="7.85546875" style="17" bestFit="1" customWidth="1"/>
    <col min="16146" max="16146" width="7" style="17" customWidth="1"/>
    <col min="16147" max="16147" width="17.42578125" style="17" customWidth="1"/>
    <col min="16148" max="16148" width="7.140625" style="17" customWidth="1"/>
    <col min="16149" max="16149" width="9.5703125" style="17" customWidth="1"/>
    <col min="16150" max="16151" width="15.5703125" style="17" customWidth="1"/>
    <col min="16152" max="16152" width="1.85546875" style="17" customWidth="1"/>
    <col min="16153" max="16153" width="1.7109375" style="17" customWidth="1"/>
    <col min="16154" max="16154" width="1.85546875" style="17" customWidth="1"/>
    <col min="16155" max="16158" width="12.140625" style="17" customWidth="1"/>
    <col min="16159" max="16159" width="1.85546875" style="17" customWidth="1"/>
    <col min="16160" max="16161" width="1.42578125" style="17" customWidth="1"/>
    <col min="16162" max="16162" width="11.42578125" style="17"/>
    <col min="16163" max="16165" width="18.7109375" style="17" customWidth="1"/>
    <col min="16166" max="16384" width="11.42578125" style="17"/>
  </cols>
  <sheetData>
    <row r="1" spans="2:44" s="13" customFormat="1" ht="21.75" customHeight="1">
      <c r="E1" s="14"/>
      <c r="H1" s="15" t="s">
        <v>86</v>
      </c>
    </row>
    <row r="2" spans="2:44" s="13" customFormat="1" ht="15" customHeight="1">
      <c r="E2" s="14"/>
      <c r="H2" s="362" t="s">
        <v>348</v>
      </c>
    </row>
    <row r="3" spans="2:44" s="13" customFormat="1" ht="19.899999999999999" customHeight="1">
      <c r="C3" s="16"/>
    </row>
    <row r="4" spans="2:44" ht="12" customHeight="1"/>
    <row r="5" spans="2:44">
      <c r="B5" s="21"/>
      <c r="C5" s="22" t="s">
        <v>311</v>
      </c>
      <c r="D5" s="22"/>
      <c r="E5" s="22"/>
      <c r="F5" s="500"/>
      <c r="G5" s="22"/>
      <c r="H5" s="500"/>
      <c r="I5" s="38"/>
      <c r="J5" s="22"/>
      <c r="K5" s="22"/>
      <c r="L5" s="500"/>
      <c r="M5" s="22"/>
      <c r="N5" s="22"/>
      <c r="O5" s="22"/>
      <c r="P5" s="38"/>
      <c r="Q5" s="22"/>
      <c r="R5" s="22"/>
      <c r="S5" s="500"/>
      <c r="T5" s="22"/>
      <c r="U5" s="22"/>
      <c r="V5" s="500">
        <v>1000</v>
      </c>
      <c r="W5" s="22"/>
    </row>
    <row r="6" spans="2:44" ht="81.75">
      <c r="B6" s="21"/>
      <c r="C6" s="23"/>
      <c r="D6" s="24" t="s">
        <v>87</v>
      </c>
      <c r="E6" s="24" t="s">
        <v>71</v>
      </c>
      <c r="F6" s="24" t="s">
        <v>74</v>
      </c>
      <c r="G6" s="24" t="s">
        <v>37</v>
      </c>
      <c r="H6" s="24" t="s">
        <v>81</v>
      </c>
      <c r="I6" s="24" t="s">
        <v>38</v>
      </c>
      <c r="J6" s="24" t="s">
        <v>88</v>
      </c>
      <c r="K6" s="24" t="s">
        <v>83</v>
      </c>
      <c r="L6" s="24" t="s">
        <v>80</v>
      </c>
      <c r="M6" s="24" t="s">
        <v>65</v>
      </c>
      <c r="N6" s="24" t="s">
        <v>42</v>
      </c>
      <c r="O6" s="24" t="s">
        <v>92</v>
      </c>
      <c r="P6" s="24" t="s">
        <v>93</v>
      </c>
      <c r="Q6" s="24" t="s">
        <v>94</v>
      </c>
      <c r="R6" s="24" t="s">
        <v>82</v>
      </c>
      <c r="S6" s="24" t="s">
        <v>39</v>
      </c>
      <c r="T6" s="24" t="s">
        <v>95</v>
      </c>
      <c r="U6" s="24" t="s">
        <v>96</v>
      </c>
      <c r="V6" s="24" t="s">
        <v>70</v>
      </c>
      <c r="W6" s="25" t="s">
        <v>41</v>
      </c>
      <c r="X6" s="25" t="s">
        <v>99</v>
      </c>
      <c r="Y6" s="25" t="s">
        <v>100</v>
      </c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2:44">
      <c r="B7" s="21"/>
      <c r="C7" s="9" t="s">
        <v>26</v>
      </c>
      <c r="D7" s="27">
        <v>608.52707852800006</v>
      </c>
      <c r="E7" s="27">
        <v>2546.9114290000002</v>
      </c>
      <c r="F7" s="27">
        <v>1916.3031756</v>
      </c>
      <c r="G7" s="27" t="s">
        <v>0</v>
      </c>
      <c r="H7" s="27">
        <v>439.07914099999999</v>
      </c>
      <c r="I7" s="27">
        <v>3.5095189999999996</v>
      </c>
      <c r="J7" s="27">
        <v>229.90395999999998</v>
      </c>
      <c r="K7" s="27">
        <v>622.13793999999996</v>
      </c>
      <c r="L7" s="27">
        <v>5494.1233493999998</v>
      </c>
      <c r="M7" s="27">
        <v>3476.5441340000002</v>
      </c>
      <c r="N7" s="27" t="s">
        <v>0</v>
      </c>
      <c r="O7" s="27">
        <v>1095.8329693839999</v>
      </c>
      <c r="P7" s="27">
        <v>7055.2354156000001</v>
      </c>
      <c r="Q7" s="27">
        <v>152.932547</v>
      </c>
      <c r="R7" s="27">
        <v>96.991486999999992</v>
      </c>
      <c r="S7" s="27" t="s">
        <v>0</v>
      </c>
      <c r="T7" s="27">
        <v>82.256695999999991</v>
      </c>
      <c r="U7" s="27">
        <v>510.41778499999998</v>
      </c>
      <c r="V7" s="27">
        <v>388.30863900000003</v>
      </c>
      <c r="W7" s="27">
        <f t="shared" ref="W7:W20" si="0">SUM(D7:V7)</f>
        <v>24719.015265512</v>
      </c>
      <c r="X7" s="27">
        <f t="shared" ref="X7:X24" si="1">SUM(D7:F7,H7,J7:M7,O7:R7,T7:V7)</f>
        <v>24715.505746512001</v>
      </c>
      <c r="Y7" s="27">
        <f t="shared" ref="Y7:Y24" si="2">SUM(G7,I7,N7,S7)</f>
        <v>3.5095189999999996</v>
      </c>
      <c r="Z7" s="19"/>
      <c r="AA7" s="19"/>
      <c r="AB7" s="19"/>
      <c r="AC7" s="19"/>
      <c r="AD7" s="19"/>
      <c r="AE7" s="19"/>
      <c r="AF7" s="19"/>
      <c r="AG7" s="19"/>
      <c r="AH7" s="19"/>
      <c r="AI7" s="29"/>
      <c r="AJ7" s="19"/>
      <c r="AK7" s="19"/>
      <c r="AL7" s="19"/>
      <c r="AM7" s="19"/>
      <c r="AN7" s="19"/>
      <c r="AO7" s="19"/>
      <c r="AP7" s="19"/>
      <c r="AQ7" s="19"/>
      <c r="AR7" s="19"/>
    </row>
    <row r="8" spans="2:44" ht="11.25" customHeight="1">
      <c r="B8" s="21"/>
      <c r="C8" s="9" t="s">
        <v>67</v>
      </c>
      <c r="D8" s="27">
        <v>107.323718472</v>
      </c>
      <c r="E8" s="27">
        <v>109.722308</v>
      </c>
      <c r="F8" s="27">
        <v>8.2607504000000009</v>
      </c>
      <c r="G8" s="27" t="s">
        <v>0</v>
      </c>
      <c r="H8" s="27">
        <v>814.04141900000002</v>
      </c>
      <c r="I8" s="27" t="s">
        <v>0</v>
      </c>
      <c r="J8" s="27">
        <v>260.41194000000002</v>
      </c>
      <c r="K8" s="27">
        <v>42.846559999999997</v>
      </c>
      <c r="L8" s="27">
        <v>161.73527687000001</v>
      </c>
      <c r="M8" s="27">
        <v>94.472954999999999</v>
      </c>
      <c r="N8" s="27" t="s">
        <v>0</v>
      </c>
      <c r="O8" s="27">
        <v>4.6844809999999999</v>
      </c>
      <c r="P8" s="27">
        <v>42.005647599999996</v>
      </c>
      <c r="Q8" s="27" t="s">
        <v>0</v>
      </c>
      <c r="R8" s="27" t="s">
        <v>0</v>
      </c>
      <c r="S8" s="27" t="s">
        <v>0</v>
      </c>
      <c r="T8" s="27" t="s">
        <v>0</v>
      </c>
      <c r="U8" s="27" t="s">
        <v>0</v>
      </c>
      <c r="V8" s="27" t="s">
        <v>0</v>
      </c>
      <c r="W8" s="27">
        <f t="shared" si="0"/>
        <v>1645.5050563419998</v>
      </c>
      <c r="X8" s="27">
        <f t="shared" si="1"/>
        <v>1645.5050563419998</v>
      </c>
      <c r="Y8" s="27">
        <f t="shared" si="2"/>
        <v>0</v>
      </c>
      <c r="Z8" s="19"/>
      <c r="AA8" s="19"/>
      <c r="AB8" s="19"/>
      <c r="AC8" s="19"/>
      <c r="AD8" s="19"/>
      <c r="AE8" s="19"/>
      <c r="AF8" s="19"/>
      <c r="AG8" s="19"/>
      <c r="AH8" s="19"/>
      <c r="AI8" s="29"/>
      <c r="AJ8" s="19"/>
      <c r="AK8" s="19"/>
      <c r="AL8" s="19"/>
      <c r="AM8" s="19"/>
      <c r="AN8" s="19"/>
      <c r="AO8" s="19"/>
      <c r="AP8" s="19"/>
      <c r="AQ8" s="19"/>
      <c r="AR8" s="19"/>
    </row>
    <row r="9" spans="2:44">
      <c r="B9" s="21"/>
      <c r="C9" s="9" t="s">
        <v>27</v>
      </c>
      <c r="D9" s="27" t="s">
        <v>0</v>
      </c>
      <c r="E9" s="27" t="s">
        <v>0</v>
      </c>
      <c r="F9" s="27" t="s">
        <v>0</v>
      </c>
      <c r="G9" s="27" t="s">
        <v>0</v>
      </c>
      <c r="H9" s="27">
        <v>8056.1628200000005</v>
      </c>
      <c r="I9" s="27" t="s">
        <v>0</v>
      </c>
      <c r="J9" s="27" t="s">
        <v>0</v>
      </c>
      <c r="K9" s="27">
        <v>7892.0727879999995</v>
      </c>
      <c r="L9" s="27" t="s">
        <v>0</v>
      </c>
      <c r="M9" s="27">
        <v>23560.519215999997</v>
      </c>
      <c r="N9" s="27" t="s">
        <v>0</v>
      </c>
      <c r="O9" s="27">
        <v>16315.471951</v>
      </c>
      <c r="P9" s="27" t="s">
        <v>0</v>
      </c>
      <c r="Q9" s="27" t="s">
        <v>0</v>
      </c>
      <c r="R9" s="27" t="s">
        <v>0</v>
      </c>
      <c r="S9" s="27" t="s">
        <v>0</v>
      </c>
      <c r="T9" s="27" t="s">
        <v>0</v>
      </c>
      <c r="U9" s="27" t="s">
        <v>0</v>
      </c>
      <c r="V9" s="27" t="s">
        <v>0</v>
      </c>
      <c r="W9" s="27">
        <f t="shared" si="0"/>
        <v>55824.226774999996</v>
      </c>
      <c r="X9" s="27">
        <f t="shared" si="1"/>
        <v>55824.226774999996</v>
      </c>
      <c r="Y9" s="27">
        <f t="shared" si="2"/>
        <v>0</v>
      </c>
      <c r="Z9" s="19"/>
      <c r="AA9" s="19"/>
      <c r="AB9" s="2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2:44">
      <c r="B10" s="21"/>
      <c r="C10" s="9" t="s">
        <v>28</v>
      </c>
      <c r="D10" s="27">
        <v>2874.5691979999997</v>
      </c>
      <c r="E10" s="27">
        <v>1451.37988</v>
      </c>
      <c r="F10" s="27">
        <v>3545.4257579999999</v>
      </c>
      <c r="G10" s="27">
        <v>1999.939695</v>
      </c>
      <c r="H10" s="27" t="s">
        <v>0</v>
      </c>
      <c r="I10" s="27" t="s">
        <v>0</v>
      </c>
      <c r="J10" s="27" t="s">
        <v>0</v>
      </c>
      <c r="K10" s="27" t="s">
        <v>0</v>
      </c>
      <c r="L10" s="27">
        <v>333.263036</v>
      </c>
      <c r="M10" s="27" t="s">
        <v>0</v>
      </c>
      <c r="N10" s="27" t="s">
        <v>0</v>
      </c>
      <c r="O10" s="27" t="s">
        <v>0</v>
      </c>
      <c r="P10" s="27">
        <v>2466.0598309999996</v>
      </c>
      <c r="Q10" s="27" t="s">
        <v>0</v>
      </c>
      <c r="R10" s="27" t="s">
        <v>0</v>
      </c>
      <c r="S10" s="27" t="s">
        <v>0</v>
      </c>
      <c r="T10" s="27" t="s">
        <v>0</v>
      </c>
      <c r="U10" s="27" t="s">
        <v>0</v>
      </c>
      <c r="V10" s="27" t="s">
        <v>0</v>
      </c>
      <c r="W10" s="27">
        <f t="shared" si="0"/>
        <v>12670.637397999999</v>
      </c>
      <c r="X10" s="27">
        <f>SUM(D10:F10,H10,J10:M10,O10:R10,T10:V10)</f>
        <v>10670.697702999998</v>
      </c>
      <c r="Y10" s="27">
        <f t="shared" si="2"/>
        <v>1999.939695</v>
      </c>
      <c r="Z10" s="19"/>
      <c r="AA10" s="2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2:44">
      <c r="B11" s="21"/>
      <c r="C11" s="9" t="s">
        <v>98</v>
      </c>
      <c r="D11" s="27" t="s">
        <v>0</v>
      </c>
      <c r="E11" s="27" t="s">
        <v>0</v>
      </c>
      <c r="F11" s="27" t="s">
        <v>0</v>
      </c>
      <c r="G11" s="27">
        <v>921.62529500000005</v>
      </c>
      <c r="H11" s="27">
        <v>-9.9999999999999995E-7</v>
      </c>
      <c r="I11" s="27">
        <v>4367.8920990000006</v>
      </c>
      <c r="J11" s="27" t="s">
        <v>0</v>
      </c>
      <c r="K11" s="27" t="s">
        <v>0</v>
      </c>
      <c r="L11" s="27" t="s">
        <v>0</v>
      </c>
      <c r="M11" s="27" t="s">
        <v>0</v>
      </c>
      <c r="N11" s="27">
        <v>206.04823999999999</v>
      </c>
      <c r="O11" s="27" t="s">
        <v>0</v>
      </c>
      <c r="P11" s="27" t="s">
        <v>0</v>
      </c>
      <c r="Q11" s="27" t="s">
        <v>0</v>
      </c>
      <c r="R11" s="27" t="s">
        <v>0</v>
      </c>
      <c r="S11" s="27">
        <v>200.03025500000001</v>
      </c>
      <c r="T11" s="27" t="s">
        <v>0</v>
      </c>
      <c r="U11" s="27" t="s">
        <v>0</v>
      </c>
      <c r="V11" s="27" t="s">
        <v>0</v>
      </c>
      <c r="W11" s="27">
        <f t="shared" si="0"/>
        <v>5695.5958880000007</v>
      </c>
      <c r="X11" s="27">
        <f t="shared" si="1"/>
        <v>-9.9999999999999995E-7</v>
      </c>
      <c r="Y11" s="27">
        <f t="shared" si="2"/>
        <v>5695.5958890000002</v>
      </c>
      <c r="Z11" s="19"/>
      <c r="AA11" s="19"/>
      <c r="AB11" s="19"/>
      <c r="AC11" s="2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2:44">
      <c r="B12" s="21"/>
      <c r="C12" s="9" t="s">
        <v>44</v>
      </c>
      <c r="D12" s="27">
        <v>12941.320755000001</v>
      </c>
      <c r="E12" s="27">
        <v>2082.9749539999998</v>
      </c>
      <c r="F12" s="27">
        <v>2209.4074259999998</v>
      </c>
      <c r="G12" s="27">
        <v>1045.1970490000001</v>
      </c>
      <c r="H12" s="27">
        <v>4644.8233700000001</v>
      </c>
      <c r="I12" s="27">
        <v>3053.51755</v>
      </c>
      <c r="J12" s="27" t="s">
        <v>0</v>
      </c>
      <c r="K12" s="27">
        <v>1488.0818689999999</v>
      </c>
      <c r="L12" s="27" t="s">
        <v>0</v>
      </c>
      <c r="M12" s="27">
        <v>8763.5389829999986</v>
      </c>
      <c r="N12" s="27" t="s">
        <v>0</v>
      </c>
      <c r="O12" s="27" t="s">
        <v>0</v>
      </c>
      <c r="P12" s="27">
        <v>3455.5005610000003</v>
      </c>
      <c r="Q12" s="27">
        <v>1222.4732590000001</v>
      </c>
      <c r="R12" s="27" t="s">
        <v>0</v>
      </c>
      <c r="S12" s="27" t="s">
        <v>0</v>
      </c>
      <c r="T12" s="27">
        <v>6812.3239620000004</v>
      </c>
      <c r="U12" s="27">
        <v>3048.0867330000001</v>
      </c>
      <c r="V12" s="27">
        <v>4474.723747</v>
      </c>
      <c r="W12" s="27">
        <f t="shared" si="0"/>
        <v>55241.970217999988</v>
      </c>
      <c r="X12" s="27">
        <f t="shared" si="1"/>
        <v>51143.255619000003</v>
      </c>
      <c r="Y12" s="27">
        <f t="shared" si="2"/>
        <v>4098.7145989999999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9"/>
      <c r="AK12" s="19"/>
      <c r="AL12" s="19"/>
      <c r="AM12" s="19"/>
      <c r="AN12" s="19"/>
      <c r="AO12" s="19"/>
      <c r="AP12" s="19"/>
      <c r="AQ12" s="19"/>
      <c r="AR12" s="19"/>
    </row>
    <row r="13" spans="2:44">
      <c r="B13" s="21"/>
      <c r="C13" s="9" t="s">
        <v>68</v>
      </c>
      <c r="D13" s="27" t="s">
        <v>0</v>
      </c>
      <c r="E13" s="27" t="s">
        <v>0</v>
      </c>
      <c r="F13" s="27" t="s">
        <v>0</v>
      </c>
      <c r="G13" s="27" t="s">
        <v>0</v>
      </c>
      <c r="H13" s="27" t="s">
        <v>0</v>
      </c>
      <c r="I13" s="27">
        <v>23.248718</v>
      </c>
      <c r="J13" s="27" t="s">
        <v>0</v>
      </c>
      <c r="K13" s="27" t="s">
        <v>0</v>
      </c>
      <c r="L13" s="27" t="s">
        <v>0</v>
      </c>
      <c r="M13" s="27" t="s">
        <v>0</v>
      </c>
      <c r="N13" s="27" t="s">
        <v>0</v>
      </c>
      <c r="O13" s="27" t="s">
        <v>0</v>
      </c>
      <c r="P13" s="27" t="s">
        <v>0</v>
      </c>
      <c r="Q13" s="27" t="s">
        <v>0</v>
      </c>
      <c r="R13" s="27" t="s">
        <v>0</v>
      </c>
      <c r="S13" s="27" t="s">
        <v>0</v>
      </c>
      <c r="T13" s="27" t="s">
        <v>0</v>
      </c>
      <c r="U13" s="27" t="s">
        <v>0</v>
      </c>
      <c r="V13" s="27" t="s">
        <v>0</v>
      </c>
      <c r="W13" s="27">
        <f t="shared" si="0"/>
        <v>23.248718</v>
      </c>
      <c r="X13" s="27">
        <f t="shared" si="1"/>
        <v>0</v>
      </c>
      <c r="Y13" s="27">
        <f t="shared" si="2"/>
        <v>23.248718</v>
      </c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2:44">
      <c r="B14" s="21"/>
      <c r="C14" s="9" t="s">
        <v>50</v>
      </c>
      <c r="D14" s="27">
        <v>6849.146068</v>
      </c>
      <c r="E14" s="27">
        <v>5360.4630880000004</v>
      </c>
      <c r="F14" s="27">
        <v>1185.9513489999999</v>
      </c>
      <c r="G14" s="27">
        <v>6.0848199999999997</v>
      </c>
      <c r="H14" s="27">
        <v>2573.7643110000004</v>
      </c>
      <c r="I14" s="27">
        <v>1138.116575</v>
      </c>
      <c r="J14" s="27">
        <v>72.912354999999991</v>
      </c>
      <c r="K14" s="27">
        <v>8524.252144</v>
      </c>
      <c r="L14" s="27">
        <v>12456.885193</v>
      </c>
      <c r="M14" s="27">
        <v>3052.8779989999998</v>
      </c>
      <c r="N14" s="27" t="s">
        <v>0</v>
      </c>
      <c r="O14" s="27">
        <v>91.370704000000003</v>
      </c>
      <c r="P14" s="27">
        <v>8706.7693639999998</v>
      </c>
      <c r="Q14" s="27">
        <v>975.14605500000005</v>
      </c>
      <c r="R14" s="27" t="s">
        <v>0</v>
      </c>
      <c r="S14" s="27" t="s">
        <v>0</v>
      </c>
      <c r="T14" s="27">
        <v>524.57987000000003</v>
      </c>
      <c r="U14" s="27">
        <v>2397.5924070000001</v>
      </c>
      <c r="V14" s="27">
        <v>329.143597</v>
      </c>
      <c r="W14" s="27">
        <f t="shared" si="0"/>
        <v>54245.055898999999</v>
      </c>
      <c r="X14" s="27">
        <f t="shared" si="1"/>
        <v>53100.854504000003</v>
      </c>
      <c r="Y14" s="27">
        <f t="shared" si="2"/>
        <v>1144.201395</v>
      </c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2:44">
      <c r="B15" s="21"/>
      <c r="C15" s="9" t="s">
        <v>51</v>
      </c>
      <c r="D15" s="27">
        <v>1763.316546</v>
      </c>
      <c r="E15" s="27">
        <v>328.12453099999999</v>
      </c>
      <c r="F15" s="27">
        <v>0.468169</v>
      </c>
      <c r="G15" s="27">
        <v>121.04503299999999</v>
      </c>
      <c r="H15" s="27">
        <v>540.961142</v>
      </c>
      <c r="I15" s="27">
        <v>278.920098</v>
      </c>
      <c r="J15" s="27">
        <v>2.0740129999999999</v>
      </c>
      <c r="K15" s="27">
        <v>1969.5148359999998</v>
      </c>
      <c r="L15" s="27">
        <v>864.25749499999995</v>
      </c>
      <c r="M15" s="27">
        <v>410.85935899999998</v>
      </c>
      <c r="N15" s="27" t="s">
        <v>0</v>
      </c>
      <c r="O15" s="27">
        <v>1194.242017</v>
      </c>
      <c r="P15" s="27">
        <v>20.293183000000003</v>
      </c>
      <c r="Q15" s="27">
        <v>139.55488</v>
      </c>
      <c r="R15" s="27">
        <v>91.676293999999999</v>
      </c>
      <c r="S15" s="27">
        <v>8.0373E-2</v>
      </c>
      <c r="T15" s="27">
        <v>1184.823169</v>
      </c>
      <c r="U15" s="27">
        <v>311.12923999999998</v>
      </c>
      <c r="V15" s="27">
        <v>30.678502999999999</v>
      </c>
      <c r="W15" s="27">
        <f t="shared" si="0"/>
        <v>9252.0188809999981</v>
      </c>
      <c r="X15" s="27">
        <f t="shared" si="1"/>
        <v>8851.9733769999984</v>
      </c>
      <c r="Y15" s="27">
        <f t="shared" si="2"/>
        <v>400.04550399999999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29"/>
      <c r="AN15" s="19"/>
      <c r="AO15" s="19"/>
      <c r="AP15" s="19"/>
      <c r="AQ15" s="19"/>
      <c r="AR15" s="19"/>
    </row>
    <row r="16" spans="2:44">
      <c r="B16" s="21"/>
      <c r="C16" s="9" t="s">
        <v>66</v>
      </c>
      <c r="D16" s="27">
        <v>2239.979241</v>
      </c>
      <c r="E16" s="27" t="s">
        <v>0</v>
      </c>
      <c r="F16" s="27" t="s">
        <v>0</v>
      </c>
      <c r="G16" s="27" t="s">
        <v>0</v>
      </c>
      <c r="H16" s="27">
        <v>87.782623000000001</v>
      </c>
      <c r="I16" s="27" t="s">
        <v>0</v>
      </c>
      <c r="J16" s="27" t="s">
        <v>0</v>
      </c>
      <c r="K16" s="27">
        <v>723.96888200000001</v>
      </c>
      <c r="L16" s="27" t="s">
        <v>0</v>
      </c>
      <c r="M16" s="27">
        <v>28.856235000000002</v>
      </c>
      <c r="N16" s="27" t="s">
        <v>0</v>
      </c>
      <c r="O16" s="27">
        <v>2043.335562</v>
      </c>
      <c r="P16" s="27" t="s">
        <v>0</v>
      </c>
      <c r="Q16" s="27" t="s">
        <v>0</v>
      </c>
      <c r="R16" s="27" t="s">
        <v>0</v>
      </c>
      <c r="S16" s="27" t="s">
        <v>0</v>
      </c>
      <c r="T16" s="27">
        <v>42.508601999999996</v>
      </c>
      <c r="U16" s="27" t="s">
        <v>0</v>
      </c>
      <c r="V16" s="27" t="s">
        <v>0</v>
      </c>
      <c r="W16" s="27">
        <f t="shared" si="0"/>
        <v>5166.4311450000005</v>
      </c>
      <c r="X16" s="27">
        <f t="shared" si="1"/>
        <v>5166.4311450000005</v>
      </c>
      <c r="Y16" s="27">
        <f t="shared" si="2"/>
        <v>0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2:45">
      <c r="B17" s="21"/>
      <c r="C17" s="9" t="s">
        <v>75</v>
      </c>
      <c r="D17" s="27">
        <v>1428.9951389999999</v>
      </c>
      <c r="E17" s="27">
        <v>57.642563000000003</v>
      </c>
      <c r="F17" s="27">
        <v>255.52084599999998</v>
      </c>
      <c r="G17" s="27">
        <v>1.139367</v>
      </c>
      <c r="H17" s="27">
        <v>35.938586999999998</v>
      </c>
      <c r="I17" s="27">
        <v>9.773575000000001</v>
      </c>
      <c r="J17" s="27">
        <v>72.909684999999996</v>
      </c>
      <c r="K17" s="27">
        <v>275.06766899999997</v>
      </c>
      <c r="L17" s="27">
        <v>271.95207900000003</v>
      </c>
      <c r="M17" s="27">
        <v>155.41232300000001</v>
      </c>
      <c r="N17" s="27" t="s">
        <v>0</v>
      </c>
      <c r="O17" s="27">
        <v>233.488392</v>
      </c>
      <c r="P17" s="27">
        <v>257.88558499999999</v>
      </c>
      <c r="Q17" s="27">
        <v>6.8119219999999991</v>
      </c>
      <c r="R17" s="27">
        <v>162.571606</v>
      </c>
      <c r="S17" s="27" t="s">
        <v>0</v>
      </c>
      <c r="T17" s="27">
        <v>46.567340999999999</v>
      </c>
      <c r="U17" s="27">
        <v>292.374281</v>
      </c>
      <c r="V17" s="27">
        <v>53.664268999999997</v>
      </c>
      <c r="W17" s="27">
        <f t="shared" si="0"/>
        <v>3617.7152289999999</v>
      </c>
      <c r="X17" s="27">
        <f t="shared" si="1"/>
        <v>3606.802287</v>
      </c>
      <c r="Y17" s="27">
        <f t="shared" si="2"/>
        <v>10.912942000000001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2:45" ht="11.25" customHeight="1">
      <c r="B18" s="21"/>
      <c r="C18" s="9" t="s">
        <v>73</v>
      </c>
      <c r="D18" s="27">
        <v>5196.1051749999997</v>
      </c>
      <c r="E18" s="27">
        <v>3038.4455839999996</v>
      </c>
      <c r="F18" s="27">
        <v>358.82596100000001</v>
      </c>
      <c r="G18" s="27">
        <v>34.42747</v>
      </c>
      <c r="H18" s="27">
        <v>1616.6030800000001</v>
      </c>
      <c r="I18" s="27" t="s">
        <v>0</v>
      </c>
      <c r="J18" s="27">
        <v>1583.3344010000001</v>
      </c>
      <c r="K18" s="27">
        <v>1311.4678409999999</v>
      </c>
      <c r="L18" s="27">
        <v>2820.453156</v>
      </c>
      <c r="M18" s="27">
        <v>5383.192489</v>
      </c>
      <c r="N18" s="27" t="s">
        <v>0</v>
      </c>
      <c r="O18" s="27">
        <v>53.929693</v>
      </c>
      <c r="P18" s="27">
        <v>2520.2165110000001</v>
      </c>
      <c r="Q18" s="27">
        <v>85.782925000000006</v>
      </c>
      <c r="R18" s="27">
        <v>844.18293299999993</v>
      </c>
      <c r="S18" s="27" t="s">
        <v>0</v>
      </c>
      <c r="T18" s="27">
        <v>1779.42471</v>
      </c>
      <c r="U18" s="27">
        <v>909.88024100000007</v>
      </c>
      <c r="V18" s="27">
        <v>2078.8668790000002</v>
      </c>
      <c r="W18" s="27">
        <f t="shared" si="0"/>
        <v>29615.139048999998</v>
      </c>
      <c r="X18" s="27">
        <f t="shared" si="1"/>
        <v>29580.711578999995</v>
      </c>
      <c r="Y18" s="27">
        <f t="shared" si="2"/>
        <v>34.42747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2:45">
      <c r="B19" s="21"/>
      <c r="C19" s="9" t="s">
        <v>90</v>
      </c>
      <c r="D19" s="27">
        <v>5.4454009999999995</v>
      </c>
      <c r="E19" s="27">
        <v>376.11670299999997</v>
      </c>
      <c r="F19" s="27">
        <v>639.28295800000001</v>
      </c>
      <c r="G19" s="27">
        <v>145.46326099999999</v>
      </c>
      <c r="H19" s="27">
        <v>59.737607000000004</v>
      </c>
      <c r="I19" s="27" t="s">
        <v>0</v>
      </c>
      <c r="J19" s="27">
        <v>37.915873500000004</v>
      </c>
      <c r="K19" s="27" t="s">
        <v>0</v>
      </c>
      <c r="L19" s="27" t="s">
        <v>0</v>
      </c>
      <c r="M19" s="27">
        <v>143.91106150000002</v>
      </c>
      <c r="N19" s="27" t="s">
        <v>0</v>
      </c>
      <c r="O19" s="27" t="s">
        <v>0</v>
      </c>
      <c r="P19" s="27">
        <v>165.92364449999999</v>
      </c>
      <c r="Q19" s="27" t="s">
        <v>0</v>
      </c>
      <c r="R19" s="27">
        <v>83.303767999999991</v>
      </c>
      <c r="S19" s="27">
        <v>5.3969984999999996</v>
      </c>
      <c r="T19" s="27" t="s">
        <v>0</v>
      </c>
      <c r="U19" s="27" t="s">
        <v>0</v>
      </c>
      <c r="V19" s="27">
        <v>559.96603000000005</v>
      </c>
      <c r="W19" s="27">
        <f t="shared" si="0"/>
        <v>2222.4633060000001</v>
      </c>
      <c r="X19" s="27">
        <f t="shared" si="1"/>
        <v>2071.6030464999999</v>
      </c>
      <c r="Y19" s="27">
        <f t="shared" si="2"/>
        <v>150.86025949999998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2:45">
      <c r="B20" s="21"/>
      <c r="C20" s="9" t="s">
        <v>91</v>
      </c>
      <c r="D20" s="27" t="s">
        <v>0</v>
      </c>
      <c r="E20" s="27" t="s">
        <v>0</v>
      </c>
      <c r="F20" s="27" t="s">
        <v>0</v>
      </c>
      <c r="G20" s="27">
        <v>145.46326099999999</v>
      </c>
      <c r="H20" s="27" t="s">
        <v>0</v>
      </c>
      <c r="I20" s="27" t="s">
        <v>0</v>
      </c>
      <c r="J20" s="27">
        <v>37.915873500000004</v>
      </c>
      <c r="K20" s="27" t="s">
        <v>0</v>
      </c>
      <c r="L20" s="27" t="s">
        <v>0</v>
      </c>
      <c r="M20" s="27">
        <v>136.77803549999999</v>
      </c>
      <c r="N20" s="27" t="s">
        <v>0</v>
      </c>
      <c r="O20" s="27" t="s">
        <v>0</v>
      </c>
      <c r="P20" s="27">
        <v>165.92364550000002</v>
      </c>
      <c r="Q20" s="27" t="s">
        <v>0</v>
      </c>
      <c r="R20" s="27">
        <v>83.303767999999991</v>
      </c>
      <c r="S20" s="27">
        <v>5.3969984999999996</v>
      </c>
      <c r="T20" s="27" t="s">
        <v>0</v>
      </c>
      <c r="U20" s="27" t="s">
        <v>0</v>
      </c>
      <c r="V20" s="27">
        <v>315.03216900000001</v>
      </c>
      <c r="W20" s="27">
        <f t="shared" si="0"/>
        <v>889.81375099999991</v>
      </c>
      <c r="X20" s="27">
        <f t="shared" si="1"/>
        <v>738.95349149999993</v>
      </c>
      <c r="Y20" s="27">
        <f t="shared" si="2"/>
        <v>150.86025949999998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2:45">
      <c r="B21" s="21"/>
      <c r="C21" s="30" t="s">
        <v>72</v>
      </c>
      <c r="D21" s="31">
        <f t="shared" ref="D21:W21" si="3">SUM(D7:D20)</f>
        <v>34014.728319999995</v>
      </c>
      <c r="E21" s="31">
        <f t="shared" si="3"/>
        <v>15351.781039999998</v>
      </c>
      <c r="F21" s="31">
        <f t="shared" si="3"/>
        <v>10119.446393</v>
      </c>
      <c r="G21" s="31">
        <f t="shared" si="3"/>
        <v>4420.3852509999997</v>
      </c>
      <c r="H21" s="32">
        <f t="shared" si="3"/>
        <v>18868.894099000001</v>
      </c>
      <c r="I21" s="32">
        <f t="shared" si="3"/>
        <v>8874.978133999999</v>
      </c>
      <c r="J21" s="32">
        <f t="shared" si="3"/>
        <v>2297.3781010000002</v>
      </c>
      <c r="K21" s="32">
        <f t="shared" si="3"/>
        <v>22849.410529000001</v>
      </c>
      <c r="L21" s="32">
        <f t="shared" si="3"/>
        <v>22402.66958527</v>
      </c>
      <c r="M21" s="32">
        <f t="shared" si="3"/>
        <v>45206.96278999999</v>
      </c>
      <c r="N21" s="32">
        <f t="shared" si="3"/>
        <v>206.04823999999999</v>
      </c>
      <c r="O21" s="32">
        <f t="shared" si="3"/>
        <v>21032.355769383998</v>
      </c>
      <c r="P21" s="32">
        <f t="shared" si="3"/>
        <v>24855.8133882</v>
      </c>
      <c r="Q21" s="32">
        <f t="shared" si="3"/>
        <v>2582.7015880000004</v>
      </c>
      <c r="R21" s="32">
        <f>SUM(R7:R20)</f>
        <v>1362.0298559999999</v>
      </c>
      <c r="S21" s="32">
        <f t="shared" si="3"/>
        <v>210.90462500000001</v>
      </c>
      <c r="T21" s="32">
        <f t="shared" si="3"/>
        <v>10472.484349999999</v>
      </c>
      <c r="U21" s="32">
        <f t="shared" si="3"/>
        <v>7469.4806870000002</v>
      </c>
      <c r="V21" s="32">
        <f t="shared" si="3"/>
        <v>8230.3838329999999</v>
      </c>
      <c r="W21" s="32">
        <f t="shared" si="3"/>
        <v>260828.83657885395</v>
      </c>
      <c r="X21" s="32">
        <f t="shared" si="1"/>
        <v>247116.52032885404</v>
      </c>
      <c r="Y21" s="32">
        <f t="shared" si="2"/>
        <v>13712.316249999998</v>
      </c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>
        <f>MIN(X21:AP21)</f>
        <v>13712.316249999998</v>
      </c>
    </row>
    <row r="22" spans="2:45">
      <c r="B22" s="21"/>
      <c r="C22" s="9" t="s">
        <v>101</v>
      </c>
      <c r="D22" s="27">
        <v>-157.493021</v>
      </c>
      <c r="E22" s="27">
        <v>-166.33647300000001</v>
      </c>
      <c r="F22" s="27">
        <v>-12.338201</v>
      </c>
      <c r="G22" s="27" t="s">
        <v>0</v>
      </c>
      <c r="H22" s="27">
        <v>-1083.1125749999999</v>
      </c>
      <c r="I22" s="27" t="s">
        <v>0</v>
      </c>
      <c r="J22" s="27">
        <v>-390.91580699999997</v>
      </c>
      <c r="K22" s="27">
        <v>-61.020177245999996</v>
      </c>
      <c r="L22" s="27">
        <v>-649.86677099999997</v>
      </c>
      <c r="M22" s="27">
        <v>-174.85968499999998</v>
      </c>
      <c r="N22" s="27" t="s">
        <v>0</v>
      </c>
      <c r="O22" s="27">
        <v>-18.01878</v>
      </c>
      <c r="P22" s="27">
        <v>-313.34913299999999</v>
      </c>
      <c r="Q22" s="27" t="s">
        <v>0</v>
      </c>
      <c r="R22" s="27" t="s">
        <v>0</v>
      </c>
      <c r="S22" s="27" t="s">
        <v>0</v>
      </c>
      <c r="T22" s="27" t="s">
        <v>0</v>
      </c>
      <c r="U22" s="27" t="s">
        <v>0</v>
      </c>
      <c r="V22" s="27" t="s">
        <v>0</v>
      </c>
      <c r="W22" s="27">
        <f>SUM(D22:V22)</f>
        <v>-3027.310623246</v>
      </c>
      <c r="X22" s="27">
        <f t="shared" si="1"/>
        <v>-3027.310623246</v>
      </c>
      <c r="Y22" s="27">
        <f t="shared" si="2"/>
        <v>0</v>
      </c>
    </row>
    <row r="23" spans="2:45">
      <c r="B23" s="21"/>
      <c r="C23" s="9" t="s">
        <v>102</v>
      </c>
      <c r="D23" s="27">
        <v>6013.4668700000002</v>
      </c>
      <c r="E23" s="27">
        <v>-4376.6265519999997</v>
      </c>
      <c r="F23" s="27">
        <v>-714.01270399999999</v>
      </c>
      <c r="G23" s="27">
        <v>1694.8405220000002</v>
      </c>
      <c r="H23" s="27">
        <v>9424.4505200000003</v>
      </c>
      <c r="I23" s="27" t="s">
        <v>0</v>
      </c>
      <c r="J23" s="27">
        <v>2281.8385929999999</v>
      </c>
      <c r="K23" s="27">
        <v>-10653.17433</v>
      </c>
      <c r="L23" s="27">
        <v>-7570.5796519999994</v>
      </c>
      <c r="M23" s="27">
        <v>1993.3810060000001</v>
      </c>
      <c r="N23" s="27" t="s">
        <v>0</v>
      </c>
      <c r="O23" s="27">
        <v>-16048.017949999999</v>
      </c>
      <c r="P23" s="27">
        <v>-6093.1612350000005</v>
      </c>
      <c r="Q23" s="27">
        <v>-881.39406499999996</v>
      </c>
      <c r="R23" s="27">
        <v>27093.174369</v>
      </c>
      <c r="S23" s="27" t="s">
        <v>0</v>
      </c>
      <c r="T23" s="27">
        <v>-1036.0622450000001</v>
      </c>
      <c r="U23" s="27">
        <v>-2319.7845790000001</v>
      </c>
      <c r="V23" s="27">
        <v>8053.9864859999998</v>
      </c>
      <c r="W23" s="27">
        <f>SUM(D23:V23)</f>
        <v>6862.3250540000026</v>
      </c>
      <c r="X23" s="27">
        <f t="shared" si="1"/>
        <v>5167.4845320000004</v>
      </c>
      <c r="Y23" s="27">
        <f t="shared" si="2"/>
        <v>1694.8405220000002</v>
      </c>
    </row>
    <row r="24" spans="2:45">
      <c r="B24" s="21"/>
      <c r="C24" s="23" t="s">
        <v>40</v>
      </c>
      <c r="D24" s="34">
        <f t="shared" ref="D24:V24" si="4">SUM(D21:D23)</f>
        <v>39870.702168999997</v>
      </c>
      <c r="E24" s="34">
        <f t="shared" si="4"/>
        <v>10808.818014999999</v>
      </c>
      <c r="F24" s="34">
        <f t="shared" si="4"/>
        <v>9393.095487999999</v>
      </c>
      <c r="G24" s="34">
        <f t="shared" si="4"/>
        <v>6115.2257730000001</v>
      </c>
      <c r="H24" s="35">
        <f t="shared" si="4"/>
        <v>27210.232044000004</v>
      </c>
      <c r="I24" s="35">
        <f t="shared" si="4"/>
        <v>8874.978133999999</v>
      </c>
      <c r="J24" s="35">
        <f t="shared" si="4"/>
        <v>4188.3008870000003</v>
      </c>
      <c r="K24" s="35">
        <f t="shared" si="4"/>
        <v>12135.216021754002</v>
      </c>
      <c r="L24" s="35">
        <f t="shared" si="4"/>
        <v>14182.223162269998</v>
      </c>
      <c r="M24" s="35">
        <f t="shared" si="4"/>
        <v>47025.484110999991</v>
      </c>
      <c r="N24" s="35">
        <f t="shared" si="4"/>
        <v>206.04823999999999</v>
      </c>
      <c r="O24" s="35">
        <f t="shared" si="4"/>
        <v>4966.3190393839996</v>
      </c>
      <c r="P24" s="35">
        <f t="shared" si="4"/>
        <v>18449.303020200001</v>
      </c>
      <c r="Q24" s="35">
        <f t="shared" si="4"/>
        <v>1701.3075230000004</v>
      </c>
      <c r="R24" s="35">
        <f t="shared" si="4"/>
        <v>28455.204225000001</v>
      </c>
      <c r="S24" s="35">
        <f t="shared" si="4"/>
        <v>210.90462500000001</v>
      </c>
      <c r="T24" s="35">
        <f t="shared" si="4"/>
        <v>9436.4221049999978</v>
      </c>
      <c r="U24" s="35">
        <f t="shared" si="4"/>
        <v>5149.6961080000001</v>
      </c>
      <c r="V24" s="35">
        <f t="shared" si="4"/>
        <v>16284.370319</v>
      </c>
      <c r="W24" s="35">
        <f>W21+W22+W23</f>
        <v>264663.85100960796</v>
      </c>
      <c r="X24" s="35">
        <f t="shared" si="1"/>
        <v>249256.694237608</v>
      </c>
      <c r="Y24" s="35">
        <f t="shared" si="2"/>
        <v>15407.156771999998</v>
      </c>
    </row>
    <row r="25" spans="2:45">
      <c r="B25" s="21"/>
      <c r="C25" s="21"/>
      <c r="D25" s="36"/>
      <c r="E25" s="36"/>
      <c r="F25" s="36"/>
      <c r="G25" s="37"/>
      <c r="H25" s="36"/>
      <c r="I25" s="37"/>
      <c r="J25" s="36"/>
      <c r="K25" s="36"/>
      <c r="L25" s="36"/>
      <c r="M25" s="36"/>
      <c r="N25" s="37"/>
      <c r="O25" s="36"/>
      <c r="P25" s="36"/>
      <c r="Q25" s="36"/>
      <c r="R25" s="36"/>
      <c r="S25" s="37"/>
      <c r="T25" s="36"/>
      <c r="U25" s="36"/>
      <c r="V25" s="36"/>
      <c r="W25" s="485">
        <f>SUM(W7,W13:W17,W20)</f>
        <v>97913.298888511985</v>
      </c>
      <c r="X25" s="160">
        <f>SUM(X7,X13:X17,X20)</f>
        <v>96180.520551011999</v>
      </c>
      <c r="Y25" s="160">
        <f>SUM(Y7,Y13:Y17,Y20)</f>
        <v>1732.7783374999999</v>
      </c>
    </row>
    <row r="26" spans="2:45">
      <c r="C26" s="22" t="s">
        <v>369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22"/>
      <c r="O26" s="38"/>
      <c r="P26" s="38"/>
      <c r="Q26" s="38"/>
      <c r="R26" s="38"/>
      <c r="S26" s="38"/>
      <c r="T26" s="38"/>
      <c r="U26" s="38"/>
      <c r="V26" s="38"/>
      <c r="W26" s="39">
        <f>SUM(W8:W12,W18:W19)</f>
        <v>162915.53769034197</v>
      </c>
      <c r="X26" s="28">
        <f>SUM(X8:X12,X18:X19)</f>
        <v>150935.99977784202</v>
      </c>
      <c r="Y26" s="33"/>
    </row>
    <row r="27" spans="2:45" ht="81.75">
      <c r="C27" s="23"/>
      <c r="D27" s="24" t="s">
        <v>87</v>
      </c>
      <c r="E27" s="24" t="s">
        <v>71</v>
      </c>
      <c r="F27" s="24" t="s">
        <v>74</v>
      </c>
      <c r="G27" s="24" t="s">
        <v>37</v>
      </c>
      <c r="H27" s="24" t="s">
        <v>81</v>
      </c>
      <c r="I27" s="24" t="s">
        <v>38</v>
      </c>
      <c r="J27" s="24" t="s">
        <v>88</v>
      </c>
      <c r="K27" s="24" t="s">
        <v>83</v>
      </c>
      <c r="L27" s="24" t="s">
        <v>80</v>
      </c>
      <c r="M27" s="24" t="s">
        <v>65</v>
      </c>
      <c r="N27" s="24" t="s">
        <v>42</v>
      </c>
      <c r="O27" s="24" t="s">
        <v>92</v>
      </c>
      <c r="P27" s="24" t="s">
        <v>93</v>
      </c>
      <c r="Q27" s="24" t="s">
        <v>94</v>
      </c>
      <c r="R27" s="24" t="s">
        <v>82</v>
      </c>
      <c r="S27" s="24" t="s">
        <v>39</v>
      </c>
      <c r="T27" s="24" t="s">
        <v>95</v>
      </c>
      <c r="U27" s="24" t="s">
        <v>96</v>
      </c>
      <c r="V27" s="24" t="s">
        <v>70</v>
      </c>
      <c r="W27" s="25" t="s">
        <v>41</v>
      </c>
      <c r="X27" s="25" t="s">
        <v>99</v>
      </c>
      <c r="Y27" s="25" t="s">
        <v>100</v>
      </c>
      <c r="Z27" s="26"/>
      <c r="AA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</row>
    <row r="28" spans="2:45">
      <c r="C28" s="9" t="s">
        <v>26</v>
      </c>
      <c r="D28" s="27">
        <v>544.20019095199996</v>
      </c>
      <c r="E28" s="27">
        <v>3465.6555400000002</v>
      </c>
      <c r="F28" s="27">
        <v>1489.9929920000002</v>
      </c>
      <c r="G28" s="27" t="s">
        <v>0</v>
      </c>
      <c r="H28" s="27">
        <v>429.74229099999997</v>
      </c>
      <c r="I28" s="27">
        <v>3.4808159999999999</v>
      </c>
      <c r="J28" s="27">
        <v>190.43102899999997</v>
      </c>
      <c r="K28" s="27">
        <v>688.96324600000003</v>
      </c>
      <c r="L28" s="27">
        <v>8025.6253167200002</v>
      </c>
      <c r="M28" s="27">
        <v>5133.3696879999998</v>
      </c>
      <c r="N28" s="27" t="s">
        <v>0</v>
      </c>
      <c r="O28" s="27">
        <v>1421.6456993740001</v>
      </c>
      <c r="P28" s="27">
        <v>7916.6319083999988</v>
      </c>
      <c r="Q28" s="27">
        <v>139.037465</v>
      </c>
      <c r="R28" s="27">
        <v>118.03509299999999</v>
      </c>
      <c r="S28" s="27" t="s">
        <v>0</v>
      </c>
      <c r="T28" s="27">
        <v>93.143084000000002</v>
      </c>
      <c r="U28" s="27">
        <v>537.65373599999998</v>
      </c>
      <c r="V28" s="27">
        <v>351.05447299999997</v>
      </c>
      <c r="W28" s="27">
        <f t="shared" ref="W28:W41" si="5">SUM(D28:V28)</f>
        <v>30548.662568445998</v>
      </c>
      <c r="X28" s="27">
        <f t="shared" ref="X28:X45" si="6">SUM(D28:F28,H28,J28:M28,O28:R28,T28:V28)</f>
        <v>30545.181752445998</v>
      </c>
      <c r="Y28" s="27">
        <f t="shared" ref="Y28:Y45" si="7">SUM(G28,I28,N28,S28)</f>
        <v>3.4808159999999999</v>
      </c>
      <c r="Z28" s="19">
        <f>((W28/W7)-1)*100</f>
        <v>23.583655094333512</v>
      </c>
      <c r="AA28" s="19">
        <f>((X28/X7)-1)*100</f>
        <v>23.587120027906838</v>
      </c>
      <c r="AB28" s="511"/>
      <c r="AC28" s="511"/>
      <c r="AD28" s="40"/>
      <c r="AE28" s="40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20"/>
    </row>
    <row r="29" spans="2:45">
      <c r="C29" s="9" t="s">
        <v>67</v>
      </c>
      <c r="D29" s="27">
        <v>224.24611004799999</v>
      </c>
      <c r="E29" s="27">
        <v>231.13484199999999</v>
      </c>
      <c r="F29" s="27">
        <v>10.652131000000001</v>
      </c>
      <c r="G29" s="27" t="s">
        <v>0</v>
      </c>
      <c r="H29" s="27">
        <v>1331.7219359999999</v>
      </c>
      <c r="I29" s="27" t="s">
        <v>0</v>
      </c>
      <c r="J29" s="27">
        <v>372.53057000000001</v>
      </c>
      <c r="K29" s="27">
        <v>26.533919000000001</v>
      </c>
      <c r="L29" s="27">
        <v>330.77202620999998</v>
      </c>
      <c r="M29" s="27">
        <v>174.98311699999996</v>
      </c>
      <c r="N29" s="27" t="s">
        <v>0</v>
      </c>
      <c r="O29" s="27">
        <v>22.136226600000001</v>
      </c>
      <c r="P29" s="27">
        <v>21.209515600000003</v>
      </c>
      <c r="Q29" s="27" t="s">
        <v>0</v>
      </c>
      <c r="R29" s="27" t="s">
        <v>0</v>
      </c>
      <c r="S29" s="27" t="s">
        <v>0</v>
      </c>
      <c r="T29" s="27" t="s">
        <v>0</v>
      </c>
      <c r="U29" s="27" t="s">
        <v>0</v>
      </c>
      <c r="V29" s="27" t="s">
        <v>0</v>
      </c>
      <c r="W29" s="27">
        <f t="shared" si="5"/>
        <v>2745.920393458</v>
      </c>
      <c r="X29" s="27">
        <f t="shared" si="6"/>
        <v>2745.920393458</v>
      </c>
      <c r="Y29" s="27">
        <f t="shared" si="7"/>
        <v>0</v>
      </c>
      <c r="Z29" s="19">
        <f t="shared" ref="Z29:Z45" si="8">((W29/W8)-1)*100</f>
        <v>66.874017364750742</v>
      </c>
      <c r="AA29" s="19">
        <f t="shared" ref="AA29:AA45" si="9">((X29/X8)-1)*100</f>
        <v>66.874017364750742</v>
      </c>
      <c r="AB29" s="511"/>
      <c r="AC29" s="511"/>
      <c r="AD29" s="40"/>
      <c r="AE29" s="40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20"/>
    </row>
    <row r="30" spans="2:45">
      <c r="C30" s="9" t="s">
        <v>27</v>
      </c>
      <c r="D30" s="27" t="s">
        <v>0</v>
      </c>
      <c r="E30" s="27" t="s">
        <v>0</v>
      </c>
      <c r="F30" s="27" t="s">
        <v>0</v>
      </c>
      <c r="G30" s="27" t="s">
        <v>0</v>
      </c>
      <c r="H30" s="27">
        <v>8892.1178049999999</v>
      </c>
      <c r="I30" s="27" t="s">
        <v>0</v>
      </c>
      <c r="J30" s="27" t="s">
        <v>0</v>
      </c>
      <c r="K30" s="27">
        <v>7715.0490689999997</v>
      </c>
      <c r="L30" s="27" t="s">
        <v>0</v>
      </c>
      <c r="M30" s="27">
        <v>23886.899638999999</v>
      </c>
      <c r="N30" s="27" t="s">
        <v>0</v>
      </c>
      <c r="O30" s="27">
        <v>15262.729104</v>
      </c>
      <c r="P30" s="27" t="s">
        <v>0</v>
      </c>
      <c r="Q30" s="27" t="s">
        <v>0</v>
      </c>
      <c r="R30" s="27" t="s">
        <v>0</v>
      </c>
      <c r="S30" s="27" t="s">
        <v>0</v>
      </c>
      <c r="T30" s="27" t="s">
        <v>0</v>
      </c>
      <c r="U30" s="27" t="s">
        <v>0</v>
      </c>
      <c r="V30" s="27" t="s">
        <v>0</v>
      </c>
      <c r="W30" s="27">
        <f t="shared" si="5"/>
        <v>55756.795616999996</v>
      </c>
      <c r="X30" s="27">
        <f t="shared" si="6"/>
        <v>55756.795616999996</v>
      </c>
      <c r="Y30" s="27">
        <f t="shared" si="7"/>
        <v>0</v>
      </c>
      <c r="Z30" s="19">
        <f t="shared" si="8"/>
        <v>-0.12079192475299427</v>
      </c>
      <c r="AA30" s="19">
        <f t="shared" si="9"/>
        <v>-0.12079192475299427</v>
      </c>
      <c r="AB30" s="511"/>
      <c r="AC30" s="511"/>
      <c r="AD30" s="40"/>
      <c r="AE30" s="40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20"/>
      <c r="AS30" s="19"/>
    </row>
    <row r="31" spans="2:45">
      <c r="C31" s="9" t="s">
        <v>28</v>
      </c>
      <c r="D31" s="27">
        <v>179.12049500000001</v>
      </c>
      <c r="E31" s="27">
        <v>151.06663800000001</v>
      </c>
      <c r="F31" s="27">
        <v>2827.4526569999998</v>
      </c>
      <c r="G31" s="27">
        <v>221.661767</v>
      </c>
      <c r="H31" s="27" t="s">
        <v>0</v>
      </c>
      <c r="I31" s="27" t="s">
        <v>0</v>
      </c>
      <c r="J31" s="27" t="s">
        <v>0</v>
      </c>
      <c r="K31" s="27" t="s">
        <v>0</v>
      </c>
      <c r="L31" s="27">
        <v>298.61264899999998</v>
      </c>
      <c r="M31" s="27" t="s">
        <v>0</v>
      </c>
      <c r="N31" s="27" t="s">
        <v>0</v>
      </c>
      <c r="O31" s="27" t="s">
        <v>0</v>
      </c>
      <c r="P31" s="27">
        <v>1344.0802240000003</v>
      </c>
      <c r="Q31" s="27" t="s">
        <v>0</v>
      </c>
      <c r="R31" s="27" t="s">
        <v>0</v>
      </c>
      <c r="S31" s="27" t="s">
        <v>0</v>
      </c>
      <c r="T31" s="27" t="s">
        <v>0</v>
      </c>
      <c r="U31" s="27" t="s">
        <v>0</v>
      </c>
      <c r="V31" s="27" t="s">
        <v>0</v>
      </c>
      <c r="W31" s="27">
        <f t="shared" si="5"/>
        <v>5021.9944300000006</v>
      </c>
      <c r="X31" s="27">
        <f t="shared" si="6"/>
        <v>4800.3326630000001</v>
      </c>
      <c r="Y31" s="27">
        <f t="shared" si="7"/>
        <v>221.661767</v>
      </c>
      <c r="Z31" s="19">
        <f t="shared" si="8"/>
        <v>-60.365100253025162</v>
      </c>
      <c r="AA31" s="19">
        <f t="shared" si="9"/>
        <v>-55.013881972774684</v>
      </c>
      <c r="AB31" s="511"/>
      <c r="AC31" s="511"/>
      <c r="AD31" s="40"/>
      <c r="AE31" s="40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20"/>
    </row>
    <row r="32" spans="2:45">
      <c r="C32" s="9" t="s">
        <v>98</v>
      </c>
      <c r="D32" s="27" t="s">
        <v>0</v>
      </c>
      <c r="E32" s="27" t="s">
        <v>0</v>
      </c>
      <c r="F32" s="27" t="s">
        <v>0</v>
      </c>
      <c r="G32" s="27">
        <v>496.76100700000001</v>
      </c>
      <c r="H32" s="27">
        <v>0</v>
      </c>
      <c r="I32" s="27">
        <v>3300.7750339999998</v>
      </c>
      <c r="J32" s="27" t="s">
        <v>0</v>
      </c>
      <c r="K32" s="27" t="s">
        <v>0</v>
      </c>
      <c r="L32" s="27" t="s">
        <v>0</v>
      </c>
      <c r="M32" s="27" t="s">
        <v>0</v>
      </c>
      <c r="N32" s="27">
        <v>199.19810200000001</v>
      </c>
      <c r="O32" s="27" t="s">
        <v>0</v>
      </c>
      <c r="P32" s="27" t="s">
        <v>0</v>
      </c>
      <c r="Q32" s="27" t="s">
        <v>0</v>
      </c>
      <c r="R32" s="27" t="s">
        <v>0</v>
      </c>
      <c r="S32" s="27">
        <v>196.882395</v>
      </c>
      <c r="T32" s="27" t="s">
        <v>0</v>
      </c>
      <c r="U32" s="27" t="s">
        <v>0</v>
      </c>
      <c r="V32" s="27" t="s">
        <v>0</v>
      </c>
      <c r="W32" s="27">
        <f t="shared" si="5"/>
        <v>4193.6165379999993</v>
      </c>
      <c r="X32" s="27">
        <f t="shared" si="6"/>
        <v>0</v>
      </c>
      <c r="Y32" s="27">
        <f t="shared" si="7"/>
        <v>4193.6165379999993</v>
      </c>
      <c r="Z32" s="19">
        <f t="shared" si="8"/>
        <v>-26.370890413143744</v>
      </c>
      <c r="AA32" s="19">
        <f t="shared" si="9"/>
        <v>-100</v>
      </c>
      <c r="AB32" s="511"/>
      <c r="AC32" s="511"/>
      <c r="AD32" s="40"/>
      <c r="AE32" s="40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20"/>
    </row>
    <row r="33" spans="1:45">
      <c r="C33" s="9" t="s">
        <v>44</v>
      </c>
      <c r="D33" s="27">
        <v>8152.1105889999999</v>
      </c>
      <c r="E33" s="27">
        <v>2226.4868810000003</v>
      </c>
      <c r="F33" s="27">
        <v>2513.1851849999994</v>
      </c>
      <c r="G33" s="27">
        <v>2412.1366459999999</v>
      </c>
      <c r="H33" s="27">
        <v>4080.5276409999997</v>
      </c>
      <c r="I33" s="27">
        <v>3254.2698949999999</v>
      </c>
      <c r="J33" s="27" t="s">
        <v>0</v>
      </c>
      <c r="K33" s="27">
        <v>2050.078919</v>
      </c>
      <c r="L33" s="27" t="s">
        <v>0</v>
      </c>
      <c r="M33" s="27">
        <v>5264.2652199999993</v>
      </c>
      <c r="N33" s="27" t="s">
        <v>0</v>
      </c>
      <c r="O33" s="27" t="s">
        <v>0</v>
      </c>
      <c r="P33" s="27">
        <v>2212.326262</v>
      </c>
      <c r="Q33" s="27">
        <v>635.11292900000001</v>
      </c>
      <c r="R33" s="27" t="s">
        <v>0</v>
      </c>
      <c r="S33" s="27" t="s">
        <v>0</v>
      </c>
      <c r="T33" s="27">
        <v>6129.6527040000001</v>
      </c>
      <c r="U33" s="27">
        <v>2265.9167929999999</v>
      </c>
      <c r="V33" s="27">
        <v>2827.7378720000002</v>
      </c>
      <c r="W33" s="27">
        <f t="shared" si="5"/>
        <v>44023.807535999993</v>
      </c>
      <c r="X33" s="27">
        <f t="shared" si="6"/>
        <v>38357.400994999989</v>
      </c>
      <c r="Y33" s="27">
        <f t="shared" si="7"/>
        <v>5666.4065410000003</v>
      </c>
      <c r="Z33" s="19">
        <f t="shared" si="8"/>
        <v>-20.307318217887669</v>
      </c>
      <c r="AA33" s="19">
        <f t="shared" si="9"/>
        <v>-25.000079618024941</v>
      </c>
      <c r="AB33" s="511"/>
      <c r="AC33" s="511"/>
      <c r="AD33" s="40"/>
      <c r="AE33" s="40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20"/>
      <c r="AS33" s="19"/>
    </row>
    <row r="34" spans="1:45">
      <c r="C34" s="9" t="s">
        <v>68</v>
      </c>
      <c r="D34" s="27" t="s">
        <v>0</v>
      </c>
      <c r="E34" s="27" t="s">
        <v>0</v>
      </c>
      <c r="F34" s="27" t="s">
        <v>0</v>
      </c>
      <c r="G34" s="27" t="s">
        <v>0</v>
      </c>
      <c r="H34" s="27" t="s">
        <v>0</v>
      </c>
      <c r="I34" s="27">
        <v>19.540226999999998</v>
      </c>
      <c r="J34" s="27" t="s">
        <v>0</v>
      </c>
      <c r="K34" s="27" t="s">
        <v>0</v>
      </c>
      <c r="L34" s="27" t="s">
        <v>0</v>
      </c>
      <c r="M34" s="27" t="s">
        <v>0</v>
      </c>
      <c r="N34" s="27" t="s">
        <v>0</v>
      </c>
      <c r="O34" s="27" t="s">
        <v>0</v>
      </c>
      <c r="P34" s="27" t="s">
        <v>0</v>
      </c>
      <c r="Q34" s="27" t="s">
        <v>0</v>
      </c>
      <c r="R34" s="27" t="s">
        <v>0</v>
      </c>
      <c r="S34" s="27" t="s">
        <v>0</v>
      </c>
      <c r="T34" s="27" t="s">
        <v>0</v>
      </c>
      <c r="U34" s="27" t="s">
        <v>0</v>
      </c>
      <c r="V34" s="27" t="s">
        <v>0</v>
      </c>
      <c r="W34" s="27">
        <f t="shared" si="5"/>
        <v>19.540226999999998</v>
      </c>
      <c r="X34" s="27">
        <f t="shared" si="6"/>
        <v>0</v>
      </c>
      <c r="Y34" s="27">
        <f t="shared" si="7"/>
        <v>19.540226999999998</v>
      </c>
      <c r="Z34" s="19">
        <f t="shared" si="8"/>
        <v>-15.951378480310197</v>
      </c>
      <c r="AA34" s="19"/>
      <c r="AB34" s="511"/>
      <c r="AC34" s="511"/>
      <c r="AD34" s="40"/>
      <c r="AE34" s="40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</row>
    <row r="35" spans="1:45">
      <c r="C35" s="9" t="s">
        <v>50</v>
      </c>
      <c r="D35" s="27">
        <v>6723.3734599999998</v>
      </c>
      <c r="E35" s="27">
        <v>7307.1758680000003</v>
      </c>
      <c r="F35" s="27">
        <v>1153.037926</v>
      </c>
      <c r="G35" s="27">
        <v>3.6404489999999998</v>
      </c>
      <c r="H35" s="27">
        <v>2197.8215540000001</v>
      </c>
      <c r="I35" s="27">
        <v>1100.2950619999999</v>
      </c>
      <c r="J35" s="27">
        <v>74.181139999999999</v>
      </c>
      <c r="K35" s="27">
        <v>7159.5552239999997</v>
      </c>
      <c r="L35" s="27">
        <v>12572.567245</v>
      </c>
      <c r="M35" s="27">
        <v>2555.6992760000003</v>
      </c>
      <c r="N35" s="27" t="s">
        <v>0</v>
      </c>
      <c r="O35" s="27">
        <v>116.65244699999998</v>
      </c>
      <c r="P35" s="27">
        <v>9992.3113269999994</v>
      </c>
      <c r="Q35" s="27">
        <v>790.32388800000001</v>
      </c>
      <c r="R35" s="27" t="s">
        <v>0</v>
      </c>
      <c r="S35" s="27" t="s">
        <v>0</v>
      </c>
      <c r="T35" s="27">
        <v>428.03059100000002</v>
      </c>
      <c r="U35" s="27">
        <v>2377.9041809999999</v>
      </c>
      <c r="V35" s="27">
        <v>326.15065899999996</v>
      </c>
      <c r="W35" s="27">
        <f t="shared" si="5"/>
        <v>54878.720297000007</v>
      </c>
      <c r="X35" s="27">
        <f t="shared" si="6"/>
        <v>53774.784786000004</v>
      </c>
      <c r="Y35" s="27">
        <f t="shared" si="7"/>
        <v>1103.9355109999999</v>
      </c>
      <c r="Z35" s="19">
        <f t="shared" si="8"/>
        <v>1.1681514333395482</v>
      </c>
      <c r="AA35" s="19">
        <f t="shared" si="9"/>
        <v>1.269151482203057</v>
      </c>
      <c r="AB35" s="511"/>
      <c r="AC35" s="511"/>
      <c r="AD35" s="40"/>
      <c r="AE35" s="40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20"/>
    </row>
    <row r="36" spans="1:45">
      <c r="C36" s="9" t="s">
        <v>51</v>
      </c>
      <c r="D36" s="27">
        <v>3471.5170930000004</v>
      </c>
      <c r="E36" s="27">
        <v>1505.6942789999998</v>
      </c>
      <c r="F36" s="27">
        <v>0.499556</v>
      </c>
      <c r="G36" s="27">
        <v>118.258939</v>
      </c>
      <c r="H36" s="27">
        <v>523.40373299999999</v>
      </c>
      <c r="I36" s="27">
        <v>257.85846700000002</v>
      </c>
      <c r="J36" s="27">
        <v>2.1858049999999998</v>
      </c>
      <c r="K36" s="27">
        <v>3077.9460579999995</v>
      </c>
      <c r="L36" s="27">
        <v>1113.163957</v>
      </c>
      <c r="M36" s="27">
        <v>377.49318100000005</v>
      </c>
      <c r="N36" s="27" t="s">
        <v>0</v>
      </c>
      <c r="O36" s="27">
        <v>2378.4609780000001</v>
      </c>
      <c r="P36" s="27">
        <v>21.471682000000001</v>
      </c>
      <c r="Q36" s="27">
        <v>142.76296699999997</v>
      </c>
      <c r="R36" s="27">
        <v>81.44856200000001</v>
      </c>
      <c r="S36" s="27">
        <v>7.6707000000000011E-2</v>
      </c>
      <c r="T36" s="27">
        <v>1849.9502080000002</v>
      </c>
      <c r="U36" s="27">
        <v>277.90386599999999</v>
      </c>
      <c r="V36" s="27">
        <v>61.358144000000003</v>
      </c>
      <c r="W36" s="27">
        <f t="shared" si="5"/>
        <v>15261.454182000001</v>
      </c>
      <c r="X36" s="27">
        <f t="shared" si="6"/>
        <v>14885.260069</v>
      </c>
      <c r="Y36" s="27">
        <f t="shared" si="7"/>
        <v>376.19411300000002</v>
      </c>
      <c r="Z36" s="19">
        <f t="shared" si="8"/>
        <v>64.952691712951591</v>
      </c>
      <c r="AA36" s="19">
        <f t="shared" si="9"/>
        <v>68.15753318549551</v>
      </c>
      <c r="AB36" s="511"/>
      <c r="AC36" s="511"/>
      <c r="AD36" s="40"/>
      <c r="AE36" s="40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0"/>
    </row>
    <row r="37" spans="1:45">
      <c r="C37" s="9" t="s">
        <v>66</v>
      </c>
      <c r="D37" s="27">
        <v>1978.46597</v>
      </c>
      <c r="E37" s="27" t="s">
        <v>0</v>
      </c>
      <c r="F37" s="27" t="s">
        <v>0</v>
      </c>
      <c r="G37" s="27" t="s">
        <v>0</v>
      </c>
      <c r="H37" s="27">
        <v>86.550899000000001</v>
      </c>
      <c r="I37" s="27" t="s">
        <v>0</v>
      </c>
      <c r="J37" s="27" t="s">
        <v>0</v>
      </c>
      <c r="K37" s="27">
        <v>597.41286300000002</v>
      </c>
      <c r="L37" s="27" t="s">
        <v>0</v>
      </c>
      <c r="M37" s="27">
        <v>59.896735</v>
      </c>
      <c r="N37" s="27" t="s">
        <v>0</v>
      </c>
      <c r="O37" s="27">
        <v>1776.4687749999998</v>
      </c>
      <c r="P37" s="27" t="s">
        <v>0</v>
      </c>
      <c r="Q37" s="27" t="s">
        <v>0</v>
      </c>
      <c r="R37" s="27" t="s">
        <v>0</v>
      </c>
      <c r="S37" s="27" t="s">
        <v>0</v>
      </c>
      <c r="T37" s="27">
        <v>39.506</v>
      </c>
      <c r="U37" s="27" t="s">
        <v>0</v>
      </c>
      <c r="V37" s="27" t="s">
        <v>0</v>
      </c>
      <c r="W37" s="27">
        <f t="shared" si="5"/>
        <v>4538.3012420000005</v>
      </c>
      <c r="X37" s="27">
        <f t="shared" si="6"/>
        <v>4538.3012420000005</v>
      </c>
      <c r="Y37" s="27">
        <f t="shared" si="7"/>
        <v>0</v>
      </c>
      <c r="Z37" s="19">
        <f t="shared" si="8"/>
        <v>-12.15790717752806</v>
      </c>
      <c r="AA37" s="19">
        <f t="shared" si="9"/>
        <v>-12.15790717752806</v>
      </c>
      <c r="AB37" s="511"/>
      <c r="AC37" s="511"/>
      <c r="AD37" s="40"/>
      <c r="AE37" s="40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</row>
    <row r="38" spans="1:45">
      <c r="C38" s="9" t="s">
        <v>75</v>
      </c>
      <c r="D38" s="27">
        <v>1676.5019890000001</v>
      </c>
      <c r="E38" s="27">
        <v>43.439266000000003</v>
      </c>
      <c r="F38" s="27">
        <v>264.33009199999998</v>
      </c>
      <c r="G38" s="27">
        <v>0.62939999999999996</v>
      </c>
      <c r="H38" s="27">
        <v>36.186279999999996</v>
      </c>
      <c r="I38" s="27">
        <v>9.1839200000000005</v>
      </c>
      <c r="J38" s="27">
        <v>79.167837000000006</v>
      </c>
      <c r="K38" s="27">
        <v>488.81467200000003</v>
      </c>
      <c r="L38" s="27">
        <v>417.23659700000002</v>
      </c>
      <c r="M38" s="27">
        <v>149.65908199999998</v>
      </c>
      <c r="N38" s="27" t="s">
        <v>0</v>
      </c>
      <c r="O38" s="27">
        <v>261.34132399999999</v>
      </c>
      <c r="P38" s="27">
        <v>460.64787800000005</v>
      </c>
      <c r="Q38" s="27">
        <v>7.4396610000000001</v>
      </c>
      <c r="R38" s="27">
        <v>177.32846800000002</v>
      </c>
      <c r="S38" s="27" t="s">
        <v>0</v>
      </c>
      <c r="T38" s="27">
        <v>45.491807000000001</v>
      </c>
      <c r="U38" s="27">
        <v>304.64960300000001</v>
      </c>
      <c r="V38" s="27">
        <v>55.701898999999997</v>
      </c>
      <c r="W38" s="27">
        <f t="shared" si="5"/>
        <v>4477.7497750000002</v>
      </c>
      <c r="X38" s="27">
        <f t="shared" si="6"/>
        <v>4467.936455</v>
      </c>
      <c r="Y38" s="27">
        <f t="shared" si="7"/>
        <v>9.8133200000000009</v>
      </c>
      <c r="Z38" s="19">
        <f t="shared" si="8"/>
        <v>23.772864682821627</v>
      </c>
      <c r="AA38" s="19">
        <f t="shared" si="9"/>
        <v>23.875280635808238</v>
      </c>
      <c r="AB38" s="511"/>
      <c r="AC38" s="511"/>
      <c r="AD38" s="40"/>
      <c r="AE38" s="40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20"/>
    </row>
    <row r="39" spans="1:45">
      <c r="C39" s="9" t="s">
        <v>73</v>
      </c>
      <c r="D39" s="27">
        <v>5023.6299760000002</v>
      </c>
      <c r="E39" s="27">
        <v>2797.4378469999997</v>
      </c>
      <c r="F39" s="27">
        <v>347.49268900000004</v>
      </c>
      <c r="G39" s="27">
        <v>33.823183</v>
      </c>
      <c r="H39" s="27">
        <v>1466.0983349999999</v>
      </c>
      <c r="I39" s="27" t="s">
        <v>0</v>
      </c>
      <c r="J39" s="27">
        <v>833.9123689999999</v>
      </c>
      <c r="K39" s="27">
        <v>1117.527063</v>
      </c>
      <c r="L39" s="27">
        <v>2666.3474109999997</v>
      </c>
      <c r="M39" s="27">
        <v>5080.4525989999993</v>
      </c>
      <c r="N39" s="27" t="s">
        <v>0</v>
      </c>
      <c r="O39" s="27">
        <v>54.697241000000005</v>
      </c>
      <c r="P39" s="27">
        <v>2257.707598</v>
      </c>
      <c r="Q39" s="27">
        <v>76.273712000000003</v>
      </c>
      <c r="R39" s="27">
        <v>740.96140300000002</v>
      </c>
      <c r="S39" s="27" t="s">
        <v>0</v>
      </c>
      <c r="T39" s="27">
        <v>1682.6470430000002</v>
      </c>
      <c r="U39" s="27">
        <v>843.17652899999996</v>
      </c>
      <c r="V39" s="27">
        <v>1930.3700940000001</v>
      </c>
      <c r="W39" s="27">
        <f t="shared" si="5"/>
        <v>26952.555092000002</v>
      </c>
      <c r="X39" s="27">
        <f t="shared" si="6"/>
        <v>26918.731909000002</v>
      </c>
      <c r="Y39" s="27">
        <f t="shared" si="7"/>
        <v>33.823183</v>
      </c>
      <c r="Z39" s="19">
        <f t="shared" si="8"/>
        <v>-8.9906177803001146</v>
      </c>
      <c r="AA39" s="19">
        <f t="shared" si="9"/>
        <v>-8.9990386569665617</v>
      </c>
      <c r="AB39" s="511"/>
      <c r="AC39" s="511"/>
      <c r="AD39" s="40"/>
      <c r="AE39" s="40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20"/>
    </row>
    <row r="40" spans="1:45">
      <c r="C40" s="9" t="s">
        <v>90</v>
      </c>
      <c r="D40" s="27">
        <v>3.5324000000000001E-2</v>
      </c>
      <c r="E40" s="27">
        <v>304.81112800000005</v>
      </c>
      <c r="F40" s="27">
        <v>726.13497600000005</v>
      </c>
      <c r="G40" s="27">
        <v>114.0013445</v>
      </c>
      <c r="H40" s="27">
        <v>58.893954000000001</v>
      </c>
      <c r="I40" s="27" t="s">
        <v>0</v>
      </c>
      <c r="J40" s="27">
        <v>40.703454499999999</v>
      </c>
      <c r="K40" s="27" t="s">
        <v>0</v>
      </c>
      <c r="L40" s="27" t="s">
        <v>0</v>
      </c>
      <c r="M40" s="27">
        <v>122.269283</v>
      </c>
      <c r="N40" s="27" t="s">
        <v>0</v>
      </c>
      <c r="O40" s="27" t="s">
        <v>0</v>
      </c>
      <c r="P40" s="27">
        <v>163.25247700000003</v>
      </c>
      <c r="Q40" s="27" t="s">
        <v>0</v>
      </c>
      <c r="R40" s="27">
        <v>82.589032500000002</v>
      </c>
      <c r="S40" s="27">
        <v>5.5255555000000003</v>
      </c>
      <c r="T40" s="27" t="s">
        <v>0</v>
      </c>
      <c r="U40" s="27" t="s">
        <v>0</v>
      </c>
      <c r="V40" s="27">
        <v>396.54984249999995</v>
      </c>
      <c r="W40" s="27">
        <f t="shared" si="5"/>
        <v>2014.7663714999999</v>
      </c>
      <c r="X40" s="27">
        <f t="shared" si="6"/>
        <v>1895.2394715</v>
      </c>
      <c r="Y40" s="27">
        <f t="shared" si="7"/>
        <v>119.5269</v>
      </c>
      <c r="Z40" s="19">
        <f t="shared" si="8"/>
        <v>-9.345348197168402</v>
      </c>
      <c r="AA40" s="19">
        <f t="shared" si="9"/>
        <v>-8.5133865437188039</v>
      </c>
      <c r="AB40" s="511"/>
      <c r="AC40" s="511"/>
      <c r="AD40" s="40"/>
      <c r="AE40" s="40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20"/>
    </row>
    <row r="41" spans="1:45">
      <c r="C41" s="9" t="s">
        <v>91</v>
      </c>
      <c r="D41" s="27" t="s">
        <v>0</v>
      </c>
      <c r="E41" s="27" t="s">
        <v>0</v>
      </c>
      <c r="F41" s="27" t="s">
        <v>0</v>
      </c>
      <c r="G41" s="27">
        <v>114.0013445</v>
      </c>
      <c r="H41" s="27" t="s">
        <v>0</v>
      </c>
      <c r="I41" s="27" t="s">
        <v>0</v>
      </c>
      <c r="J41" s="27">
        <v>40.703454499999999</v>
      </c>
      <c r="K41" s="27" t="s">
        <v>0</v>
      </c>
      <c r="L41" s="27" t="s">
        <v>0</v>
      </c>
      <c r="M41" s="27">
        <v>114.893747</v>
      </c>
      <c r="N41" s="27" t="s">
        <v>0</v>
      </c>
      <c r="O41" s="27" t="s">
        <v>0</v>
      </c>
      <c r="P41" s="27">
        <v>163.25247700000003</v>
      </c>
      <c r="Q41" s="27" t="s">
        <v>0</v>
      </c>
      <c r="R41" s="27">
        <v>82.589032500000002</v>
      </c>
      <c r="S41" s="27">
        <v>5.5255555000000003</v>
      </c>
      <c r="T41" s="27" t="s">
        <v>0</v>
      </c>
      <c r="U41" s="27" t="s">
        <v>0</v>
      </c>
      <c r="V41" s="27">
        <v>204.4398305</v>
      </c>
      <c r="W41" s="27">
        <f t="shared" si="5"/>
        <v>725.40544150000005</v>
      </c>
      <c r="X41" s="27">
        <f t="shared" si="6"/>
        <v>605.87854149999998</v>
      </c>
      <c r="Y41" s="27">
        <f t="shared" si="7"/>
        <v>119.5269</v>
      </c>
      <c r="Z41" s="19">
        <f t="shared" si="8"/>
        <v>-18.476710358233138</v>
      </c>
      <c r="AA41" s="19">
        <f t="shared" si="9"/>
        <v>-18.008569081914938</v>
      </c>
      <c r="AB41" s="511"/>
      <c r="AC41" s="511"/>
      <c r="AD41" s="40"/>
      <c r="AE41" s="40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20"/>
    </row>
    <row r="42" spans="1:45">
      <c r="C42" s="30" t="s">
        <v>72</v>
      </c>
      <c r="D42" s="31">
        <f t="shared" ref="D42:W42" si="10">SUM(D28:D41)</f>
        <v>27973.201197000002</v>
      </c>
      <c r="E42" s="31">
        <f t="shared" si="10"/>
        <v>18032.902289000001</v>
      </c>
      <c r="F42" s="31">
        <f t="shared" si="10"/>
        <v>9332.7782039999984</v>
      </c>
      <c r="G42" s="31">
        <f t="shared" si="10"/>
        <v>3514.9140799999996</v>
      </c>
      <c r="H42" s="31">
        <f t="shared" si="10"/>
        <v>19103.064428000001</v>
      </c>
      <c r="I42" s="31">
        <f t="shared" si="10"/>
        <v>7945.403421</v>
      </c>
      <c r="J42" s="31">
        <f t="shared" si="10"/>
        <v>1633.8156589999996</v>
      </c>
      <c r="K42" s="31">
        <f t="shared" si="10"/>
        <v>22921.881033000001</v>
      </c>
      <c r="L42" s="31">
        <f t="shared" si="10"/>
        <v>25424.325201930002</v>
      </c>
      <c r="M42" s="31">
        <f t="shared" si="10"/>
        <v>42919.881566999997</v>
      </c>
      <c r="N42" s="31">
        <f t="shared" si="10"/>
        <v>199.19810200000001</v>
      </c>
      <c r="O42" s="31">
        <f>SUM(O28:O41)</f>
        <v>21294.131794974004</v>
      </c>
      <c r="P42" s="31">
        <f t="shared" si="10"/>
        <v>24552.891349000005</v>
      </c>
      <c r="Q42" s="31">
        <f t="shared" si="10"/>
        <v>1790.9506219999998</v>
      </c>
      <c r="R42" s="31">
        <f t="shared" si="10"/>
        <v>1282.951591</v>
      </c>
      <c r="S42" s="31">
        <f t="shared" si="10"/>
        <v>208.01021299999999</v>
      </c>
      <c r="T42" s="31">
        <f t="shared" si="10"/>
        <v>10268.421437000001</v>
      </c>
      <c r="U42" s="31">
        <f t="shared" si="10"/>
        <v>6607.2047079999993</v>
      </c>
      <c r="V42" s="32">
        <f t="shared" si="10"/>
        <v>6153.3628140000001</v>
      </c>
      <c r="W42" s="32">
        <f t="shared" si="10"/>
        <v>251159.28971090404</v>
      </c>
      <c r="X42" s="32">
        <f t="shared" si="6"/>
        <v>239291.76389490403</v>
      </c>
      <c r="Y42" s="32">
        <f t="shared" si="7"/>
        <v>11867.525815999999</v>
      </c>
      <c r="Z42" s="19">
        <f t="shared" si="8"/>
        <v>-3.7072384306811923</v>
      </c>
      <c r="AA42" s="19">
        <f t="shared" si="9"/>
        <v>-3.1664238487726704</v>
      </c>
      <c r="AB42" s="511"/>
      <c r="AC42" s="511"/>
      <c r="AD42" s="40"/>
      <c r="AE42" s="4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20"/>
    </row>
    <row r="43" spans="1:45">
      <c r="C43" s="9" t="s">
        <v>101</v>
      </c>
      <c r="D43" s="27">
        <v>-319.36630600000001</v>
      </c>
      <c r="E43" s="27">
        <v>-295.71434600000003</v>
      </c>
      <c r="F43" s="27">
        <v>-15.824041000000001</v>
      </c>
      <c r="G43" s="27" t="s">
        <v>0</v>
      </c>
      <c r="H43" s="27">
        <v>-1741.6118199999999</v>
      </c>
      <c r="I43" s="27" t="s">
        <v>0</v>
      </c>
      <c r="J43" s="27">
        <v>-543.49018899999999</v>
      </c>
      <c r="K43" s="27">
        <v>-22.942472413000001</v>
      </c>
      <c r="L43" s="27">
        <v>-1023.0822609999999</v>
      </c>
      <c r="M43" s="27">
        <v>-326.08300500000001</v>
      </c>
      <c r="N43" s="27" t="s">
        <v>0</v>
      </c>
      <c r="O43" s="27">
        <v>-63.472688999999995</v>
      </c>
      <c r="P43" s="27">
        <v>-268.38798200000002</v>
      </c>
      <c r="Q43" s="27" t="s">
        <v>0</v>
      </c>
      <c r="R43" s="27" t="s">
        <v>0</v>
      </c>
      <c r="S43" s="27" t="s">
        <v>0</v>
      </c>
      <c r="T43" s="27" t="s">
        <v>0</v>
      </c>
      <c r="U43" s="27" t="s">
        <v>0</v>
      </c>
      <c r="V43" s="27" t="s">
        <v>0</v>
      </c>
      <c r="W43" s="27">
        <f>SUM(D43:V43)</f>
        <v>-4619.9751114130004</v>
      </c>
      <c r="X43" s="27">
        <f t="shared" si="6"/>
        <v>-4619.9751114130004</v>
      </c>
      <c r="Y43" s="27">
        <f t="shared" si="7"/>
        <v>0</v>
      </c>
      <c r="Z43" s="19">
        <f t="shared" si="8"/>
        <v>52.609880067717782</v>
      </c>
      <c r="AA43" s="19">
        <f t="shared" si="9"/>
        <v>52.609880067717782</v>
      </c>
      <c r="AB43" s="511"/>
      <c r="AC43" s="511"/>
      <c r="AD43" s="40"/>
      <c r="AE43" s="40"/>
      <c r="AF43" s="19"/>
      <c r="AG43" s="2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41"/>
    </row>
    <row r="44" spans="1:45">
      <c r="C44" s="9" t="s">
        <v>102</v>
      </c>
      <c r="D44" s="27">
        <v>11393.70182</v>
      </c>
      <c r="E44" s="27">
        <v>-7631.7207520000002</v>
      </c>
      <c r="F44" s="27">
        <v>-599.25807999999995</v>
      </c>
      <c r="G44" s="27">
        <v>1426.5375250000002</v>
      </c>
      <c r="H44" s="27">
        <v>8383.7208499999997</v>
      </c>
      <c r="I44" s="27" t="s">
        <v>0</v>
      </c>
      <c r="J44" s="27">
        <v>2837.1045450000001</v>
      </c>
      <c r="K44" s="27">
        <v>-11158.934329</v>
      </c>
      <c r="L44" s="27">
        <v>-10908.669033</v>
      </c>
      <c r="M44" s="27">
        <v>1276.2432220000001</v>
      </c>
      <c r="N44" s="27" t="s">
        <v>0</v>
      </c>
      <c r="O44" s="27">
        <v>-16270.228675999999</v>
      </c>
      <c r="P44" s="27">
        <v>-6901.0386490000001</v>
      </c>
      <c r="Q44" s="27">
        <v>-166.55968200000001</v>
      </c>
      <c r="R44" s="27">
        <v>25568.617604000003</v>
      </c>
      <c r="S44" s="27" t="s">
        <v>0</v>
      </c>
      <c r="T44" s="27">
        <v>-1074.9186990000001</v>
      </c>
      <c r="U44" s="27">
        <v>-1754.04585</v>
      </c>
      <c r="V44" s="27">
        <v>8859.2675710000003</v>
      </c>
      <c r="W44" s="27">
        <f>SUM(D44:V44)</f>
        <v>3279.8193870000068</v>
      </c>
      <c r="X44" s="27">
        <f t="shared" si="6"/>
        <v>1853.2818620000071</v>
      </c>
      <c r="Y44" s="27">
        <f t="shared" si="7"/>
        <v>1426.5375250000002</v>
      </c>
      <c r="Z44" s="19">
        <f t="shared" si="8"/>
        <v>-52.205420740187435</v>
      </c>
      <c r="AA44" s="19">
        <f t="shared" si="9"/>
        <v>-64.13570567026504</v>
      </c>
      <c r="AB44" s="511"/>
      <c r="AC44" s="511"/>
      <c r="AD44" s="40"/>
      <c r="AE44" s="40"/>
    </row>
    <row r="45" spans="1:45">
      <c r="C45" s="23" t="s">
        <v>40</v>
      </c>
      <c r="D45" s="34">
        <f t="shared" ref="D45:V45" si="11">SUM(D42:D44)</f>
        <v>39047.536711000001</v>
      </c>
      <c r="E45" s="34">
        <f t="shared" si="11"/>
        <v>10105.467191</v>
      </c>
      <c r="F45" s="34">
        <f t="shared" si="11"/>
        <v>8717.6960829999989</v>
      </c>
      <c r="G45" s="34">
        <f t="shared" si="11"/>
        <v>4941.4516050000002</v>
      </c>
      <c r="H45" s="34">
        <f t="shared" si="11"/>
        <v>25745.173458000005</v>
      </c>
      <c r="I45" s="34">
        <f t="shared" si="11"/>
        <v>7945.403421</v>
      </c>
      <c r="J45" s="34">
        <f t="shared" si="11"/>
        <v>3927.4300149999999</v>
      </c>
      <c r="K45" s="34">
        <f t="shared" si="11"/>
        <v>11740.004231587001</v>
      </c>
      <c r="L45" s="34">
        <f t="shared" si="11"/>
        <v>13492.573907930002</v>
      </c>
      <c r="M45" s="34">
        <f t="shared" si="11"/>
        <v>43870.041783999994</v>
      </c>
      <c r="N45" s="34">
        <f t="shared" si="11"/>
        <v>199.19810200000001</v>
      </c>
      <c r="O45" s="34">
        <f>SUM(O42:O44)</f>
        <v>4960.430429974007</v>
      </c>
      <c r="P45" s="34">
        <f t="shared" si="11"/>
        <v>17383.464718000003</v>
      </c>
      <c r="Q45" s="34">
        <f t="shared" si="11"/>
        <v>1624.3909399999998</v>
      </c>
      <c r="R45" s="34">
        <f>SUM(R42:R44)</f>
        <v>26851.569195000004</v>
      </c>
      <c r="S45" s="34">
        <f t="shared" si="11"/>
        <v>208.01021299999999</v>
      </c>
      <c r="T45" s="34">
        <f t="shared" si="11"/>
        <v>9193.502738000001</v>
      </c>
      <c r="U45" s="34">
        <f t="shared" si="11"/>
        <v>4853.1588579999989</v>
      </c>
      <c r="V45" s="34">
        <f t="shared" si="11"/>
        <v>15012.630385</v>
      </c>
      <c r="W45" s="35">
        <f>W42+W43+W44</f>
        <v>249819.13398649104</v>
      </c>
      <c r="X45" s="35">
        <f t="shared" si="6"/>
        <v>236525.07064549104</v>
      </c>
      <c r="Y45" s="35">
        <f t="shared" si="7"/>
        <v>13294.063341000001</v>
      </c>
      <c r="Z45" s="19">
        <f t="shared" si="8"/>
        <v>-5.6088948175162852</v>
      </c>
      <c r="AA45" s="19">
        <f t="shared" si="9"/>
        <v>-5.1078361730900301</v>
      </c>
      <c r="AB45" s="511"/>
      <c r="AC45" s="511"/>
      <c r="AD45" s="40"/>
      <c r="AE45" s="40"/>
    </row>
    <row r="46" spans="1:45" s="482" customFormat="1">
      <c r="A46" s="481"/>
      <c r="B46" s="481"/>
      <c r="D46" s="483">
        <f>((D45/D24)-1)*100</f>
        <v>-2.0645873115322733</v>
      </c>
      <c r="E46" s="483">
        <f t="shared" ref="E46:V46" si="12">((E45/E24)-1)*100</f>
        <v>-6.507194616690926</v>
      </c>
      <c r="F46" s="483">
        <f t="shared" si="12"/>
        <v>-7.1903815506064621</v>
      </c>
      <c r="G46" s="483">
        <f t="shared" si="12"/>
        <v>-19.194289983248993</v>
      </c>
      <c r="H46" s="483">
        <f t="shared" si="12"/>
        <v>-5.3842193761190371</v>
      </c>
      <c r="I46" s="483">
        <f t="shared" si="12"/>
        <v>-10.474107079078909</v>
      </c>
      <c r="J46" s="483">
        <f t="shared" si="12"/>
        <v>-6.2285609137995195</v>
      </c>
      <c r="K46" s="483">
        <f t="shared" si="12"/>
        <v>-3.2567346923081608</v>
      </c>
      <c r="L46" s="483">
        <f t="shared" si="12"/>
        <v>-4.8627725459483688</v>
      </c>
      <c r="M46" s="483">
        <f t="shared" si="12"/>
        <v>-6.7100687779243717</v>
      </c>
      <c r="N46" s="483">
        <f t="shared" si="12"/>
        <v>-3.3245311874539607</v>
      </c>
      <c r="O46" s="483">
        <f t="shared" si="12"/>
        <v>-0.11857090459341801</v>
      </c>
      <c r="P46" s="483">
        <f t="shared" si="12"/>
        <v>-5.7771196073532982</v>
      </c>
      <c r="Q46" s="483">
        <f t="shared" si="12"/>
        <v>-4.5210276190614689</v>
      </c>
      <c r="R46" s="483">
        <f t="shared" si="12"/>
        <v>-5.6356475860084849</v>
      </c>
      <c r="S46" s="483">
        <f t="shared" si="12"/>
        <v>-1.3723795767873859</v>
      </c>
      <c r="T46" s="483">
        <f t="shared" si="12"/>
        <v>-2.5742740659225438</v>
      </c>
      <c r="U46" s="483">
        <f t="shared" si="12"/>
        <v>-5.7583446436641932</v>
      </c>
      <c r="V46" s="483">
        <f t="shared" si="12"/>
        <v>-7.8095738986983188</v>
      </c>
      <c r="W46" s="160">
        <f>SUM(W28,W34:W38,W41)</f>
        <v>110449.833732946</v>
      </c>
      <c r="X46" s="160">
        <f>SUM(X28,X34:X38,X41)</f>
        <v>108817.342845946</v>
      </c>
      <c r="Y46" s="160">
        <f>SUM(Y28,Y34:Y38,Y41)</f>
        <v>1632.4908869999999</v>
      </c>
      <c r="AD46" s="484"/>
      <c r="AE46" s="484"/>
    </row>
    <row r="47" spans="1:45">
      <c r="C47" s="22" t="s">
        <v>312</v>
      </c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7"/>
      <c r="T47" s="507"/>
      <c r="U47" s="507"/>
      <c r="V47" s="507"/>
      <c r="W47" s="507"/>
    </row>
    <row r="48" spans="1:45" ht="81.75">
      <c r="C48" s="23"/>
      <c r="D48" s="24" t="s">
        <v>87</v>
      </c>
      <c r="E48" s="25" t="s">
        <v>71</v>
      </c>
      <c r="F48" s="24" t="s">
        <v>74</v>
      </c>
      <c r="G48" s="24" t="s">
        <v>37</v>
      </c>
      <c r="H48" s="24" t="s">
        <v>81</v>
      </c>
      <c r="I48" s="24" t="s">
        <v>38</v>
      </c>
      <c r="J48" s="24" t="s">
        <v>88</v>
      </c>
      <c r="K48" s="24" t="s">
        <v>83</v>
      </c>
      <c r="L48" s="24" t="s">
        <v>80</v>
      </c>
      <c r="M48" s="24" t="s">
        <v>65</v>
      </c>
      <c r="N48" s="24" t="s">
        <v>42</v>
      </c>
      <c r="O48" s="24" t="s">
        <v>92</v>
      </c>
      <c r="P48" s="24" t="s">
        <v>93</v>
      </c>
      <c r="Q48" s="24" t="s">
        <v>94</v>
      </c>
      <c r="R48" s="24" t="s">
        <v>82</v>
      </c>
      <c r="S48" s="24" t="s">
        <v>39</v>
      </c>
      <c r="T48" s="24" t="s">
        <v>95</v>
      </c>
      <c r="U48" s="24" t="s">
        <v>96</v>
      </c>
      <c r="V48" s="24" t="s">
        <v>70</v>
      </c>
      <c r="W48" s="25" t="s">
        <v>41</v>
      </c>
      <c r="X48" s="25" t="s">
        <v>99</v>
      </c>
      <c r="Y48" s="25" t="s">
        <v>100</v>
      </c>
      <c r="Z48" s="418"/>
    </row>
    <row r="49" spans="3:26">
      <c r="C49" s="9" t="s">
        <v>26</v>
      </c>
      <c r="D49" s="27">
        <v>621.678</v>
      </c>
      <c r="E49" s="27">
        <v>1333.8544999999999</v>
      </c>
      <c r="F49" s="27">
        <v>804.75179999999989</v>
      </c>
      <c r="G49" s="27" t="s">
        <v>0</v>
      </c>
      <c r="H49" s="27">
        <v>639.78399999999988</v>
      </c>
      <c r="I49" s="27">
        <v>2.02</v>
      </c>
      <c r="J49" s="27">
        <v>98.912000000000006</v>
      </c>
      <c r="K49" s="27">
        <v>650.24199999999996</v>
      </c>
      <c r="L49" s="27">
        <v>4399.3154999999997</v>
      </c>
      <c r="M49" s="27">
        <v>1912.8127999999997</v>
      </c>
      <c r="N49" s="27" t="s">
        <v>0</v>
      </c>
      <c r="O49" s="27">
        <v>2277.8123000000001</v>
      </c>
      <c r="P49" s="27">
        <v>3720.2476900000001</v>
      </c>
      <c r="Q49" s="27">
        <v>52.205539999999999</v>
      </c>
      <c r="R49" s="27">
        <v>108.51659999999998</v>
      </c>
      <c r="S49" s="27" t="s">
        <v>0</v>
      </c>
      <c r="T49" s="27">
        <v>33.592999999999996</v>
      </c>
      <c r="U49" s="27">
        <v>254.77500000000001</v>
      </c>
      <c r="V49" s="27">
        <v>174.35149999999999</v>
      </c>
      <c r="W49" s="27">
        <f t="shared" ref="W49:W62" si="13">SUM(D49:V49)</f>
        <v>17084.872229999997</v>
      </c>
      <c r="X49" s="27">
        <f t="shared" ref="X49:X63" si="14">SUM(D49:F49,H49,J49:M49,O49:R49,T49:V49)</f>
        <v>17082.85223</v>
      </c>
      <c r="Y49" s="27">
        <f t="shared" ref="Y49:Y63" si="15">SUM(G49,I49,N49,S49)</f>
        <v>2.02</v>
      </c>
      <c r="Z49" s="416"/>
    </row>
    <row r="50" spans="3:26">
      <c r="C50" s="9" t="s">
        <v>67</v>
      </c>
      <c r="D50" s="27">
        <v>582.88</v>
      </c>
      <c r="E50" s="27">
        <v>219.14</v>
      </c>
      <c r="F50" s="27" t="s">
        <v>0</v>
      </c>
      <c r="G50" s="27" t="s">
        <v>0</v>
      </c>
      <c r="H50" s="27">
        <v>1511.95</v>
      </c>
      <c r="I50" s="27" t="s">
        <v>0</v>
      </c>
      <c r="J50" s="27">
        <v>360.6</v>
      </c>
      <c r="K50" s="27">
        <v>215</v>
      </c>
      <c r="L50" s="27" t="s">
        <v>0</v>
      </c>
      <c r="M50" s="27">
        <v>439.32</v>
      </c>
      <c r="N50" s="27" t="s">
        <v>0</v>
      </c>
      <c r="O50" s="27" t="s">
        <v>0</v>
      </c>
      <c r="P50" s="27" t="s">
        <v>0</v>
      </c>
      <c r="Q50" s="27" t="s">
        <v>0</v>
      </c>
      <c r="R50" s="27" t="s">
        <v>0</v>
      </c>
      <c r="S50" s="27" t="s">
        <v>0</v>
      </c>
      <c r="T50" s="27" t="s">
        <v>0</v>
      </c>
      <c r="U50" s="27" t="s">
        <v>0</v>
      </c>
      <c r="V50" s="27" t="s">
        <v>0</v>
      </c>
      <c r="W50" s="27">
        <f t="shared" si="13"/>
        <v>3328.8900000000003</v>
      </c>
      <c r="X50" s="27">
        <f t="shared" si="14"/>
        <v>3328.8900000000003</v>
      </c>
      <c r="Y50" s="27">
        <f t="shared" si="15"/>
        <v>0</v>
      </c>
      <c r="Z50" s="416"/>
    </row>
    <row r="51" spans="3:26">
      <c r="C51" s="9" t="s">
        <v>103</v>
      </c>
      <c r="D51" s="27" t="s">
        <v>0</v>
      </c>
      <c r="E51" s="27" t="s">
        <v>0</v>
      </c>
      <c r="F51" s="27" t="s">
        <v>0</v>
      </c>
      <c r="G51" s="27" t="s">
        <v>0</v>
      </c>
      <c r="H51" s="27">
        <v>1063.94</v>
      </c>
      <c r="I51" s="27" t="s">
        <v>0</v>
      </c>
      <c r="J51" s="27" t="s">
        <v>0</v>
      </c>
      <c r="K51" s="27">
        <v>1003.41</v>
      </c>
      <c r="L51" s="27" t="s">
        <v>0</v>
      </c>
      <c r="M51" s="27">
        <v>3032.81</v>
      </c>
      <c r="N51" s="27" t="s">
        <v>0</v>
      </c>
      <c r="O51" s="27">
        <v>2017.13</v>
      </c>
      <c r="P51" s="27" t="s">
        <v>0</v>
      </c>
      <c r="Q51" s="27" t="s">
        <v>0</v>
      </c>
      <c r="R51" s="27" t="s">
        <v>0</v>
      </c>
      <c r="S51" s="27" t="s">
        <v>0</v>
      </c>
      <c r="T51" s="27" t="s">
        <v>0</v>
      </c>
      <c r="U51" s="27" t="s">
        <v>0</v>
      </c>
      <c r="V51" s="27" t="s">
        <v>0</v>
      </c>
      <c r="W51" s="18">
        <f t="shared" si="13"/>
        <v>7117.29</v>
      </c>
      <c r="X51" s="18">
        <f t="shared" si="14"/>
        <v>7117.29</v>
      </c>
      <c r="Y51" s="18">
        <f t="shared" si="15"/>
        <v>0</v>
      </c>
      <c r="Z51" s="417"/>
    </row>
    <row r="52" spans="3:26">
      <c r="C52" s="9" t="s">
        <v>104</v>
      </c>
      <c r="D52" s="27">
        <v>1989.4</v>
      </c>
      <c r="E52" s="27">
        <v>1055.77</v>
      </c>
      <c r="F52" s="27">
        <v>2099.4349999999999</v>
      </c>
      <c r="G52" s="27">
        <v>468.4</v>
      </c>
      <c r="H52" s="27" t="s">
        <v>0</v>
      </c>
      <c r="I52" s="27" t="s">
        <v>0</v>
      </c>
      <c r="J52" s="27" t="s">
        <v>0</v>
      </c>
      <c r="K52" s="27" t="s">
        <v>0</v>
      </c>
      <c r="L52" s="27">
        <v>2110.0499999999997</v>
      </c>
      <c r="M52" s="27" t="s">
        <v>0</v>
      </c>
      <c r="N52" s="27" t="s">
        <v>0</v>
      </c>
      <c r="O52" s="27" t="s">
        <v>0</v>
      </c>
      <c r="P52" s="27">
        <v>1960.39</v>
      </c>
      <c r="Q52" s="27" t="s">
        <v>0</v>
      </c>
      <c r="R52" s="27" t="s">
        <v>0</v>
      </c>
      <c r="S52" s="27" t="s">
        <v>0</v>
      </c>
      <c r="T52" s="27" t="s">
        <v>0</v>
      </c>
      <c r="U52" s="27" t="s">
        <v>0</v>
      </c>
      <c r="V52" s="27" t="s">
        <v>0</v>
      </c>
      <c r="W52" s="27">
        <f t="shared" si="13"/>
        <v>9683.4449999999979</v>
      </c>
      <c r="X52" s="27">
        <f t="shared" si="14"/>
        <v>9215.0449999999983</v>
      </c>
      <c r="Y52" s="27">
        <f t="shared" si="15"/>
        <v>468.4</v>
      </c>
      <c r="Z52" s="416"/>
    </row>
    <row r="53" spans="3:26">
      <c r="C53" s="9" t="s">
        <v>105</v>
      </c>
      <c r="D53" s="27" t="s">
        <v>0</v>
      </c>
      <c r="E53" s="27" t="s">
        <v>0</v>
      </c>
      <c r="F53" s="27" t="s">
        <v>0</v>
      </c>
      <c r="G53" s="27">
        <v>744.8</v>
      </c>
      <c r="H53" s="27" t="s">
        <v>0</v>
      </c>
      <c r="I53" s="27">
        <v>1535.7</v>
      </c>
      <c r="J53" s="27" t="s">
        <v>0</v>
      </c>
      <c r="K53" s="27" t="s">
        <v>0</v>
      </c>
      <c r="L53" s="27" t="s">
        <v>0</v>
      </c>
      <c r="M53" s="27" t="s">
        <v>0</v>
      </c>
      <c r="N53" s="27">
        <v>90.82</v>
      </c>
      <c r="O53" s="27" t="s">
        <v>0</v>
      </c>
      <c r="P53" s="27" t="s">
        <v>0</v>
      </c>
      <c r="Q53" s="27" t="s">
        <v>0</v>
      </c>
      <c r="R53" s="27" t="s">
        <v>0</v>
      </c>
      <c r="S53" s="27">
        <v>76.14</v>
      </c>
      <c r="T53" s="27" t="s">
        <v>0</v>
      </c>
      <c r="U53" s="27" t="s">
        <v>0</v>
      </c>
      <c r="V53" s="27" t="s">
        <v>0</v>
      </c>
      <c r="W53" s="27">
        <f t="shared" si="13"/>
        <v>2447.46</v>
      </c>
      <c r="X53" s="27">
        <f t="shared" si="14"/>
        <v>0</v>
      </c>
      <c r="Y53" s="27">
        <f t="shared" si="15"/>
        <v>2447.46</v>
      </c>
      <c r="Z53" s="416"/>
    </row>
    <row r="54" spans="3:26">
      <c r="C54" s="9" t="s">
        <v>106</v>
      </c>
      <c r="D54" s="27">
        <v>5951.72</v>
      </c>
      <c r="E54" s="27">
        <v>1869.68</v>
      </c>
      <c r="F54" s="27">
        <v>854.17</v>
      </c>
      <c r="G54" s="27">
        <v>857.95</v>
      </c>
      <c r="H54" s="27">
        <v>2853.54</v>
      </c>
      <c r="I54" s="27">
        <v>864.2</v>
      </c>
      <c r="J54" s="27" t="s">
        <v>0</v>
      </c>
      <c r="K54" s="27">
        <v>758.74</v>
      </c>
      <c r="L54" s="27" t="s">
        <v>0</v>
      </c>
      <c r="M54" s="27">
        <v>3788.23</v>
      </c>
      <c r="N54" s="27" t="s">
        <v>0</v>
      </c>
      <c r="O54" s="27" t="s">
        <v>0</v>
      </c>
      <c r="P54" s="27">
        <v>1246.98</v>
      </c>
      <c r="Q54" s="27">
        <v>784.7</v>
      </c>
      <c r="R54" s="27" t="s">
        <v>0</v>
      </c>
      <c r="S54" s="27" t="s">
        <v>0</v>
      </c>
      <c r="T54" s="27">
        <v>3263.71</v>
      </c>
      <c r="U54" s="27">
        <v>1222.32</v>
      </c>
      <c r="V54" s="27">
        <v>1968.07</v>
      </c>
      <c r="W54" s="18">
        <f t="shared" si="13"/>
        <v>26284.010000000002</v>
      </c>
      <c r="X54" s="18">
        <f t="shared" si="14"/>
        <v>24561.86</v>
      </c>
      <c r="Y54" s="18">
        <f t="shared" si="15"/>
        <v>1722.15</v>
      </c>
      <c r="Z54" s="417"/>
    </row>
    <row r="55" spans="3:26">
      <c r="C55" s="9" t="s">
        <v>68</v>
      </c>
      <c r="D55" s="27" t="s">
        <v>0</v>
      </c>
      <c r="E55" s="27" t="s">
        <v>0</v>
      </c>
      <c r="F55" s="27" t="s">
        <v>0</v>
      </c>
      <c r="G55" s="27" t="s">
        <v>0</v>
      </c>
      <c r="H55" s="27" t="s">
        <v>0</v>
      </c>
      <c r="I55" s="27">
        <v>11.39</v>
      </c>
      <c r="J55" s="27" t="s">
        <v>0</v>
      </c>
      <c r="K55" s="27" t="s">
        <v>0</v>
      </c>
      <c r="L55" s="27" t="s">
        <v>0</v>
      </c>
      <c r="M55" s="27" t="s">
        <v>0</v>
      </c>
      <c r="N55" s="27" t="s">
        <v>0</v>
      </c>
      <c r="O55" s="27" t="s">
        <v>0</v>
      </c>
      <c r="P55" s="27" t="s">
        <v>0</v>
      </c>
      <c r="Q55" s="27" t="s">
        <v>0</v>
      </c>
      <c r="R55" s="27" t="s">
        <v>0</v>
      </c>
      <c r="S55" s="27" t="s">
        <v>0</v>
      </c>
      <c r="T55" s="27" t="s">
        <v>0</v>
      </c>
      <c r="U55" s="27" t="s">
        <v>0</v>
      </c>
      <c r="V55" s="27" t="s">
        <v>0</v>
      </c>
      <c r="W55" s="27">
        <f t="shared" si="13"/>
        <v>11.39</v>
      </c>
      <c r="X55" s="27">
        <f t="shared" si="14"/>
        <v>0</v>
      </c>
      <c r="Y55" s="27">
        <f t="shared" si="15"/>
        <v>11.39</v>
      </c>
      <c r="Z55" s="416"/>
    </row>
    <row r="56" spans="3:26">
      <c r="C56" s="9" t="s">
        <v>50</v>
      </c>
      <c r="D56" s="27">
        <v>3450.9055000000003</v>
      </c>
      <c r="E56" s="27">
        <v>3257.8890000000006</v>
      </c>
      <c r="F56" s="27">
        <v>518.45000000000005</v>
      </c>
      <c r="G56" s="27">
        <v>3.6374999999999909</v>
      </c>
      <c r="H56" s="27">
        <v>1205.2399999999998</v>
      </c>
      <c r="I56" s="27">
        <v>430.315</v>
      </c>
      <c r="J56" s="27">
        <v>35.310500000000005</v>
      </c>
      <c r="K56" s="27">
        <v>3812.5241999999985</v>
      </c>
      <c r="L56" s="27">
        <v>6080.9170000000022</v>
      </c>
      <c r="M56" s="27">
        <v>1271.1599999999999</v>
      </c>
      <c r="N56" s="27" t="s">
        <v>0</v>
      </c>
      <c r="O56" s="27">
        <v>39.375</v>
      </c>
      <c r="P56" s="27">
        <v>3805.1650000000009</v>
      </c>
      <c r="Q56" s="27">
        <v>448.12</v>
      </c>
      <c r="R56" s="27" t="s">
        <v>0</v>
      </c>
      <c r="S56" s="27" t="s">
        <v>0</v>
      </c>
      <c r="T56" s="27">
        <v>262.77</v>
      </c>
      <c r="U56" s="27">
        <v>1099.837</v>
      </c>
      <c r="V56" s="27">
        <v>154.28380000000001</v>
      </c>
      <c r="W56" s="18">
        <f t="shared" si="13"/>
        <v>25875.8995</v>
      </c>
      <c r="X56" s="18">
        <f t="shared" si="14"/>
        <v>25441.947</v>
      </c>
      <c r="Y56" s="18">
        <f t="shared" si="15"/>
        <v>433.95249999999999</v>
      </c>
      <c r="Z56" s="417"/>
    </row>
    <row r="57" spans="3:26">
      <c r="C57" s="9" t="s">
        <v>51</v>
      </c>
      <c r="D57" s="27">
        <v>1783.8418390000547</v>
      </c>
      <c r="E57" s="27">
        <v>938.44108999999992</v>
      </c>
      <c r="F57" s="27">
        <v>0.79648500000000033</v>
      </c>
      <c r="G57" s="27">
        <v>81.253994999999847</v>
      </c>
      <c r="H57" s="27">
        <v>364.31811499999554</v>
      </c>
      <c r="I57" s="27">
        <v>167.10714499999966</v>
      </c>
      <c r="J57" s="27">
        <v>2.1730549999999984</v>
      </c>
      <c r="K57" s="27">
        <v>1746.2266700000782</v>
      </c>
      <c r="L57" s="27">
        <v>803.15181500000335</v>
      </c>
      <c r="M57" s="27">
        <v>273.94674999999921</v>
      </c>
      <c r="N57" s="27" t="s">
        <v>0</v>
      </c>
      <c r="O57" s="27">
        <v>1247.1097640000107</v>
      </c>
      <c r="P57" s="27">
        <v>18.09610499999998</v>
      </c>
      <c r="Q57" s="27">
        <v>96.602979999999761</v>
      </c>
      <c r="R57" s="27">
        <v>63.470686000000001</v>
      </c>
      <c r="S57" s="27">
        <v>5.9700000000000003E-2</v>
      </c>
      <c r="T57" s="27">
        <v>1114.1248609999893</v>
      </c>
      <c r="U57" s="27">
        <v>162.2296099999964</v>
      </c>
      <c r="V57" s="27">
        <v>50.903415000000123</v>
      </c>
      <c r="W57" s="18">
        <f t="shared" si="13"/>
        <v>8913.8540800001265</v>
      </c>
      <c r="X57" s="18">
        <f t="shared" si="14"/>
        <v>8665.4332400001276</v>
      </c>
      <c r="Y57" s="18">
        <f t="shared" si="15"/>
        <v>248.42083999999952</v>
      </c>
      <c r="Z57" s="417"/>
    </row>
    <row r="58" spans="3:26">
      <c r="C58" s="9" t="s">
        <v>66</v>
      </c>
      <c r="D58" s="27">
        <v>1000.0229999999998</v>
      </c>
      <c r="E58" s="27" t="s">
        <v>0</v>
      </c>
      <c r="F58" s="27" t="s">
        <v>0</v>
      </c>
      <c r="G58" s="27" t="s">
        <v>0</v>
      </c>
      <c r="H58" s="27">
        <v>49.9</v>
      </c>
      <c r="I58" s="27" t="s">
        <v>0</v>
      </c>
      <c r="J58" s="27" t="s">
        <v>0</v>
      </c>
      <c r="K58" s="27">
        <v>349.4</v>
      </c>
      <c r="L58" s="27" t="s">
        <v>0</v>
      </c>
      <c r="M58" s="27">
        <v>24.29</v>
      </c>
      <c r="N58" s="27" t="s">
        <v>0</v>
      </c>
      <c r="O58" s="27">
        <v>848.99999999999989</v>
      </c>
      <c r="P58" s="27" t="s">
        <v>0</v>
      </c>
      <c r="Q58" s="27" t="s">
        <v>0</v>
      </c>
      <c r="R58" s="27" t="s">
        <v>0</v>
      </c>
      <c r="S58" s="27" t="s">
        <v>0</v>
      </c>
      <c r="T58" s="27">
        <v>31.4</v>
      </c>
      <c r="U58" s="27" t="s">
        <v>0</v>
      </c>
      <c r="V58" s="27" t="s">
        <v>0</v>
      </c>
      <c r="W58" s="18">
        <f t="shared" si="13"/>
        <v>2304.0129999999999</v>
      </c>
      <c r="X58" s="18">
        <f t="shared" si="14"/>
        <v>2304.0129999999999</v>
      </c>
      <c r="Y58" s="18">
        <f t="shared" si="15"/>
        <v>0</v>
      </c>
      <c r="Z58" s="417"/>
    </row>
    <row r="59" spans="3:26">
      <c r="C59" s="9" t="s">
        <v>75</v>
      </c>
      <c r="D59" s="27">
        <v>277.92200000000003</v>
      </c>
      <c r="E59" s="27">
        <v>42.335000000000001</v>
      </c>
      <c r="F59" s="27">
        <v>90.860000000000014</v>
      </c>
      <c r="G59" s="27">
        <v>2.13</v>
      </c>
      <c r="H59" s="27">
        <v>13.222999999999999</v>
      </c>
      <c r="I59" s="27">
        <v>3.6960000000000002</v>
      </c>
      <c r="J59" s="27">
        <v>12.862</v>
      </c>
      <c r="K59" s="27">
        <v>140.40300000000002</v>
      </c>
      <c r="L59" s="27">
        <v>96.394999999999996</v>
      </c>
      <c r="M59" s="27">
        <v>73.095999999999989</v>
      </c>
      <c r="N59" s="27" t="s">
        <v>0</v>
      </c>
      <c r="O59" s="27">
        <v>35.799999999999997</v>
      </c>
      <c r="P59" s="27">
        <v>115.73400000000001</v>
      </c>
      <c r="Q59" s="27">
        <v>4.1269999999999998</v>
      </c>
      <c r="R59" s="27">
        <v>45.084000000000003</v>
      </c>
      <c r="S59" s="27" t="s">
        <v>0</v>
      </c>
      <c r="T59" s="27">
        <v>15.536999999999999</v>
      </c>
      <c r="U59" s="27">
        <v>52.111000000000004</v>
      </c>
      <c r="V59" s="27">
        <v>56.276999999999994</v>
      </c>
      <c r="W59" s="18">
        <f t="shared" si="13"/>
        <v>1077.5919999999999</v>
      </c>
      <c r="X59" s="18">
        <f t="shared" si="14"/>
        <v>1071.7659999999998</v>
      </c>
      <c r="Y59" s="18">
        <f t="shared" si="15"/>
        <v>5.8260000000000005</v>
      </c>
      <c r="Z59" s="417"/>
    </row>
    <row r="60" spans="3:26">
      <c r="C60" s="9" t="s">
        <v>73</v>
      </c>
      <c r="D60" s="27">
        <v>847.56950000000006</v>
      </c>
      <c r="E60" s="27">
        <v>478.25900000000001</v>
      </c>
      <c r="F60" s="27">
        <v>66.693999999999974</v>
      </c>
      <c r="G60" s="27">
        <v>11.523</v>
      </c>
      <c r="H60" s="27">
        <v>457.7849999999998</v>
      </c>
      <c r="I60" s="27" t="s">
        <v>0</v>
      </c>
      <c r="J60" s="27">
        <v>285.18950000000001</v>
      </c>
      <c r="K60" s="27">
        <v>349.97199999999998</v>
      </c>
      <c r="L60" s="27">
        <v>592.50900000000001</v>
      </c>
      <c r="M60" s="27">
        <v>975.9030000000007</v>
      </c>
      <c r="N60" s="27" t="s">
        <v>0</v>
      </c>
      <c r="O60" s="27">
        <v>18.077000000000002</v>
      </c>
      <c r="P60" s="27">
        <v>483.65059999999994</v>
      </c>
      <c r="Q60" s="27">
        <v>22.917000000000005</v>
      </c>
      <c r="R60" s="27">
        <v>211.02189999999996</v>
      </c>
      <c r="S60" s="27" t="s">
        <v>0</v>
      </c>
      <c r="T60" s="27">
        <v>308.14199999999994</v>
      </c>
      <c r="U60" s="27">
        <v>142.25549999999993</v>
      </c>
      <c r="V60" s="27">
        <v>398.93749999999977</v>
      </c>
      <c r="W60" s="18">
        <f t="shared" si="13"/>
        <v>5650.4055000000008</v>
      </c>
      <c r="X60" s="18">
        <f t="shared" si="14"/>
        <v>5638.8825000000015</v>
      </c>
      <c r="Y60" s="18">
        <f t="shared" si="15"/>
        <v>11.523</v>
      </c>
      <c r="Z60" s="417"/>
    </row>
    <row r="61" spans="3:26">
      <c r="C61" s="10" t="s">
        <v>90</v>
      </c>
      <c r="D61" s="27">
        <v>83.540999999999997</v>
      </c>
      <c r="E61" s="27">
        <v>49.9</v>
      </c>
      <c r="F61" s="27">
        <v>74.387</v>
      </c>
      <c r="G61" s="27">
        <v>37.400000000000006</v>
      </c>
      <c r="H61" s="27">
        <v>63.087999999999994</v>
      </c>
      <c r="I61" s="27" t="s">
        <v>0</v>
      </c>
      <c r="J61" s="27">
        <v>4.9669999999999996</v>
      </c>
      <c r="K61" s="27">
        <v>0.68</v>
      </c>
      <c r="L61" s="27" t="s">
        <v>0</v>
      </c>
      <c r="M61" s="27">
        <v>32.374500000000005</v>
      </c>
      <c r="N61" s="27" t="s">
        <v>0</v>
      </c>
      <c r="O61" s="27" t="s">
        <v>0</v>
      </c>
      <c r="P61" s="27">
        <v>40.68</v>
      </c>
      <c r="Q61" s="27" t="s">
        <v>0</v>
      </c>
      <c r="R61" s="27">
        <v>14.9</v>
      </c>
      <c r="S61" s="27">
        <v>1.0840000000000001</v>
      </c>
      <c r="T61" s="27">
        <v>9.68</v>
      </c>
      <c r="U61" s="27" t="s">
        <v>0</v>
      </c>
      <c r="V61" s="27">
        <v>73.975999999999999</v>
      </c>
      <c r="W61" s="18">
        <f t="shared" si="13"/>
        <v>486.65750000000003</v>
      </c>
      <c r="X61" s="18">
        <f t="shared" si="14"/>
        <v>448.17349999999999</v>
      </c>
      <c r="Y61" s="18">
        <f t="shared" si="15"/>
        <v>38.484000000000009</v>
      </c>
      <c r="Z61" s="417"/>
    </row>
    <row r="62" spans="3:26">
      <c r="C62" s="10" t="s">
        <v>91</v>
      </c>
      <c r="D62" s="27" t="s">
        <v>0</v>
      </c>
      <c r="E62" s="27" t="s">
        <v>0</v>
      </c>
      <c r="F62" s="27" t="s">
        <v>0</v>
      </c>
      <c r="G62" s="27">
        <v>37.400000000000006</v>
      </c>
      <c r="H62" s="27" t="s">
        <v>0</v>
      </c>
      <c r="I62" s="27" t="s">
        <v>0</v>
      </c>
      <c r="J62" s="27">
        <v>4.9669999999999996</v>
      </c>
      <c r="K62" s="27" t="s">
        <v>0</v>
      </c>
      <c r="L62" s="27" t="s">
        <v>0</v>
      </c>
      <c r="M62" s="27">
        <v>27.174500000000002</v>
      </c>
      <c r="N62" s="27" t="s">
        <v>0</v>
      </c>
      <c r="O62" s="27" t="s">
        <v>0</v>
      </c>
      <c r="P62" s="27">
        <v>25</v>
      </c>
      <c r="Q62" s="27" t="s">
        <v>0</v>
      </c>
      <c r="R62" s="27">
        <v>14.9</v>
      </c>
      <c r="S62" s="27">
        <v>1.0840000000000001</v>
      </c>
      <c r="T62" s="27" t="s">
        <v>0</v>
      </c>
      <c r="U62" s="27" t="s">
        <v>0</v>
      </c>
      <c r="V62" s="27">
        <v>46.795999999999999</v>
      </c>
      <c r="W62" s="27">
        <f t="shared" si="13"/>
        <v>157.32150000000001</v>
      </c>
      <c r="X62" s="27">
        <f t="shared" si="14"/>
        <v>118.83750000000001</v>
      </c>
      <c r="Y62" s="27">
        <f t="shared" si="15"/>
        <v>38.484000000000009</v>
      </c>
      <c r="Z62" s="416"/>
    </row>
    <row r="63" spans="3:26">
      <c r="C63" s="30" t="s">
        <v>32</v>
      </c>
      <c r="D63" s="32">
        <f t="shared" ref="D63:V63" si="16">SUM(D49:D62)</f>
        <v>16589.480839000058</v>
      </c>
      <c r="E63" s="32">
        <f t="shared" si="16"/>
        <v>9245.2685899999997</v>
      </c>
      <c r="F63" s="32">
        <f t="shared" si="16"/>
        <v>4509.5442849999999</v>
      </c>
      <c r="G63" s="32">
        <f t="shared" si="16"/>
        <v>2244.4944949999999</v>
      </c>
      <c r="H63" s="32">
        <f t="shared" si="16"/>
        <v>8222.7681149999953</v>
      </c>
      <c r="I63" s="32">
        <f t="shared" si="16"/>
        <v>3014.4281449999994</v>
      </c>
      <c r="J63" s="32">
        <f t="shared" si="16"/>
        <v>804.98105499999997</v>
      </c>
      <c r="K63" s="32">
        <f t="shared" si="16"/>
        <v>9026.597870000076</v>
      </c>
      <c r="L63" s="32">
        <f t="shared" si="16"/>
        <v>14082.338315000005</v>
      </c>
      <c r="M63" s="32">
        <f t="shared" si="16"/>
        <v>11851.117549999999</v>
      </c>
      <c r="N63" s="32">
        <f t="shared" si="16"/>
        <v>90.82</v>
      </c>
      <c r="O63" s="32">
        <f t="shared" si="16"/>
        <v>6484.3040640000117</v>
      </c>
      <c r="P63" s="32">
        <f t="shared" si="16"/>
        <v>11415.943395000002</v>
      </c>
      <c r="Q63" s="32">
        <f t="shared" si="16"/>
        <v>1408.6725199999996</v>
      </c>
      <c r="R63" s="32">
        <f t="shared" si="16"/>
        <v>457.8931859999999</v>
      </c>
      <c r="S63" s="32">
        <f t="shared" si="16"/>
        <v>78.367700000000013</v>
      </c>
      <c r="T63" s="32">
        <f t="shared" si="16"/>
        <v>5038.9568609999897</v>
      </c>
      <c r="U63" s="32">
        <f t="shared" si="16"/>
        <v>2933.5281099999956</v>
      </c>
      <c r="V63" s="32">
        <f t="shared" si="16"/>
        <v>2923.5952150000003</v>
      </c>
      <c r="W63" s="32">
        <f>SUM(W49:W62)</f>
        <v>110423.10031000014</v>
      </c>
      <c r="X63" s="32">
        <f t="shared" si="14"/>
        <v>104994.98997000011</v>
      </c>
      <c r="Y63" s="32">
        <f t="shared" si="15"/>
        <v>5428.1103399999984</v>
      </c>
      <c r="Z63" s="419"/>
    </row>
    <row r="64" spans="3:26"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160">
        <f>SUM(W49,W55:W59,W62)</f>
        <v>55424.942310000115</v>
      </c>
      <c r="X64" s="160">
        <f t="shared" ref="X64:Y64" si="17">SUM(X49,X55:X59,X62)</f>
        <v>54684.848970000137</v>
      </c>
      <c r="Y64" s="160">
        <f t="shared" si="17"/>
        <v>740.09333999999956</v>
      </c>
    </row>
    <row r="65" spans="3:32">
      <c r="C65" s="22" t="s">
        <v>370</v>
      </c>
      <c r="D65" s="479"/>
      <c r="E65" s="479"/>
      <c r="F65" s="479"/>
      <c r="G65" s="479"/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  <c r="T65" s="479"/>
      <c r="U65" s="479"/>
      <c r="V65" s="479"/>
      <c r="W65" s="38"/>
      <c r="X65" s="38"/>
      <c r="Y65" s="38"/>
    </row>
    <row r="66" spans="3:32" ht="81.75">
      <c r="C66" s="23"/>
      <c r="D66" s="24" t="s">
        <v>87</v>
      </c>
      <c r="E66" s="24" t="s">
        <v>71</v>
      </c>
      <c r="F66" s="24" t="s">
        <v>74</v>
      </c>
      <c r="G66" s="24" t="s">
        <v>37</v>
      </c>
      <c r="H66" s="24" t="s">
        <v>81</v>
      </c>
      <c r="I66" s="24" t="s">
        <v>38</v>
      </c>
      <c r="J66" s="24" t="s">
        <v>88</v>
      </c>
      <c r="K66" s="24" t="s">
        <v>83</v>
      </c>
      <c r="L66" s="24" t="s">
        <v>80</v>
      </c>
      <c r="M66" s="24" t="s">
        <v>65</v>
      </c>
      <c r="N66" s="24" t="s">
        <v>42</v>
      </c>
      <c r="O66" s="24" t="s">
        <v>92</v>
      </c>
      <c r="P66" s="24" t="s">
        <v>93</v>
      </c>
      <c r="Q66" s="24" t="s">
        <v>94</v>
      </c>
      <c r="R66" s="24" t="s">
        <v>82</v>
      </c>
      <c r="S66" s="24" t="s">
        <v>39</v>
      </c>
      <c r="T66" s="24" t="s">
        <v>95</v>
      </c>
      <c r="U66" s="24" t="s">
        <v>96</v>
      </c>
      <c r="V66" s="24" t="s">
        <v>70</v>
      </c>
      <c r="W66" s="25" t="s">
        <v>41</v>
      </c>
      <c r="X66" s="25" t="s">
        <v>99</v>
      </c>
      <c r="Y66" s="25" t="s">
        <v>100</v>
      </c>
      <c r="Z66" s="476" t="s">
        <v>41</v>
      </c>
      <c r="AA66" s="26" t="s">
        <v>99</v>
      </c>
      <c r="AB66" s="26" t="s">
        <v>100</v>
      </c>
      <c r="AC66" s="26"/>
      <c r="AD66" s="476" t="s">
        <v>41</v>
      </c>
      <c r="AE66" s="26" t="s">
        <v>99</v>
      </c>
      <c r="AF66" s="26" t="s">
        <v>100</v>
      </c>
    </row>
    <row r="67" spans="3:32">
      <c r="C67" s="9" t="s">
        <v>26</v>
      </c>
      <c r="D67" s="27">
        <v>621.678</v>
      </c>
      <c r="E67" s="27">
        <v>1333.8544999999999</v>
      </c>
      <c r="F67" s="27">
        <v>804.75179999999989</v>
      </c>
      <c r="G67" s="27" t="s">
        <v>0</v>
      </c>
      <c r="H67" s="27">
        <v>639.78399999999988</v>
      </c>
      <c r="I67" s="27">
        <v>2.02</v>
      </c>
      <c r="J67" s="27">
        <v>98.912000000000006</v>
      </c>
      <c r="K67" s="27">
        <v>650.24199999999996</v>
      </c>
      <c r="L67" s="27">
        <v>4399.3154999999997</v>
      </c>
      <c r="M67" s="27">
        <v>1913.2828</v>
      </c>
      <c r="N67" s="27" t="s">
        <v>0</v>
      </c>
      <c r="O67" s="27">
        <v>2277.8123000000001</v>
      </c>
      <c r="P67" s="27">
        <v>3720.2476900000001</v>
      </c>
      <c r="Q67" s="27">
        <v>52.205539999999999</v>
      </c>
      <c r="R67" s="27">
        <v>108.51659999999998</v>
      </c>
      <c r="S67" s="27" t="s">
        <v>0</v>
      </c>
      <c r="T67" s="27">
        <v>33.592999999999996</v>
      </c>
      <c r="U67" s="27">
        <v>254.77500000000001</v>
      </c>
      <c r="V67" s="27">
        <v>173.7765</v>
      </c>
      <c r="W67" s="27">
        <f t="shared" ref="W67:W80" si="18">SUM(D67:V67)</f>
        <v>17084.767229999998</v>
      </c>
      <c r="X67" s="27">
        <f t="shared" ref="X67:X81" si="19">SUM(D67:F67,H67,J67:M67,O67:R67,T67:V67)</f>
        <v>17082.747230000001</v>
      </c>
      <c r="Y67" s="27">
        <f t="shared" ref="Y67:Y81" si="20">SUM(G67,I67,N67,S67)</f>
        <v>2.02</v>
      </c>
      <c r="Z67" s="416">
        <f>((W67/W49)-1)*100</f>
        <v>-6.1457878399728827E-4</v>
      </c>
      <c r="AA67" s="416">
        <f>((X67/X49)-1)*100</f>
        <v>-6.1465145624328699E-4</v>
      </c>
      <c r="AB67" s="416">
        <f>((Y67/Y49)-1)*100</f>
        <v>0</v>
      </c>
      <c r="AC67" s="41"/>
      <c r="AD67" s="19">
        <f>(W67/W$81)*100</f>
        <v>15.466715116536786</v>
      </c>
      <c r="AE67" s="19">
        <f>(X67/X$81)*100</f>
        <v>16.234629471662508</v>
      </c>
      <c r="AF67" s="19">
        <f>ROUND((Y67/Y$81)*100,1)</f>
        <v>0</v>
      </c>
    </row>
    <row r="68" spans="3:32">
      <c r="C68" s="9" t="s">
        <v>67</v>
      </c>
      <c r="D68" s="27">
        <v>582.88</v>
      </c>
      <c r="E68" s="27">
        <v>219.14</v>
      </c>
      <c r="F68" s="27" t="s">
        <v>0</v>
      </c>
      <c r="G68" s="27" t="s">
        <v>0</v>
      </c>
      <c r="H68" s="27">
        <v>1511.95</v>
      </c>
      <c r="I68" s="27" t="s">
        <v>0</v>
      </c>
      <c r="J68" s="27">
        <v>360.6</v>
      </c>
      <c r="K68" s="27">
        <v>215</v>
      </c>
      <c r="L68" s="27" t="s">
        <v>0</v>
      </c>
      <c r="M68" s="27">
        <v>439.32</v>
      </c>
      <c r="N68" s="27" t="s">
        <v>0</v>
      </c>
      <c r="O68" s="27" t="s">
        <v>0</v>
      </c>
      <c r="P68" s="27" t="s">
        <v>0</v>
      </c>
      <c r="Q68" s="27" t="s">
        <v>0</v>
      </c>
      <c r="R68" s="27" t="s">
        <v>0</v>
      </c>
      <c r="S68" s="27" t="s">
        <v>0</v>
      </c>
      <c r="T68" s="27" t="s">
        <v>0</v>
      </c>
      <c r="U68" s="27" t="s">
        <v>0</v>
      </c>
      <c r="V68" s="27" t="s">
        <v>0</v>
      </c>
      <c r="W68" s="27">
        <f t="shared" si="18"/>
        <v>3328.8900000000003</v>
      </c>
      <c r="X68" s="27">
        <f t="shared" si="19"/>
        <v>3328.8900000000003</v>
      </c>
      <c r="Y68" s="27">
        <f t="shared" si="20"/>
        <v>0</v>
      </c>
      <c r="Z68" s="416">
        <f t="shared" ref="Z68:AB81" si="21">((W68/W50)-1)*100</f>
        <v>0</v>
      </c>
      <c r="AA68" s="416">
        <f t="shared" si="21"/>
        <v>0</v>
      </c>
      <c r="AB68" s="416"/>
      <c r="AC68" s="41"/>
      <c r="AD68" s="19">
        <f t="shared" ref="AD68:AD80" si="22">(W68/W$81)*100</f>
        <v>3.0136198281870388</v>
      </c>
      <c r="AE68" s="19">
        <f t="shared" ref="AE68:AE80" si="23">(X68/X$81)*100</f>
        <v>3.1636185312754641</v>
      </c>
      <c r="AF68" s="19">
        <f t="shared" ref="AF68:AF80" si="24">ROUND((Y68/Y$81)*100,1)</f>
        <v>0</v>
      </c>
    </row>
    <row r="69" spans="3:32">
      <c r="C69" s="9" t="s">
        <v>103</v>
      </c>
      <c r="D69" s="27" t="s">
        <v>0</v>
      </c>
      <c r="E69" s="27" t="s">
        <v>0</v>
      </c>
      <c r="F69" s="27" t="s">
        <v>0</v>
      </c>
      <c r="G69" s="27" t="s">
        <v>0</v>
      </c>
      <c r="H69" s="27">
        <v>1063.94</v>
      </c>
      <c r="I69" s="27" t="s">
        <v>0</v>
      </c>
      <c r="J69" s="27" t="s">
        <v>0</v>
      </c>
      <c r="K69" s="27">
        <v>1003.41</v>
      </c>
      <c r="L69" s="27" t="s">
        <v>0</v>
      </c>
      <c r="M69" s="27">
        <v>3032.81</v>
      </c>
      <c r="N69" s="27" t="s">
        <v>0</v>
      </c>
      <c r="O69" s="27">
        <v>2017.13</v>
      </c>
      <c r="P69" s="27" t="s">
        <v>0</v>
      </c>
      <c r="Q69" s="27" t="s">
        <v>0</v>
      </c>
      <c r="R69" s="27" t="s">
        <v>0</v>
      </c>
      <c r="S69" s="27" t="s">
        <v>0</v>
      </c>
      <c r="T69" s="27" t="s">
        <v>0</v>
      </c>
      <c r="U69" s="27" t="s">
        <v>0</v>
      </c>
      <c r="V69" s="27" t="s">
        <v>0</v>
      </c>
      <c r="W69" s="18">
        <f t="shared" si="18"/>
        <v>7117.29</v>
      </c>
      <c r="X69" s="18">
        <f t="shared" si="19"/>
        <v>7117.29</v>
      </c>
      <c r="Y69" s="18">
        <f t="shared" si="20"/>
        <v>0</v>
      </c>
      <c r="Z69" s="416">
        <f t="shared" si="21"/>
        <v>0</v>
      </c>
      <c r="AA69" s="416">
        <f t="shared" si="21"/>
        <v>0</v>
      </c>
      <c r="AB69" s="416"/>
      <c r="AC69" s="41"/>
      <c r="AD69" s="19">
        <f t="shared" si="22"/>
        <v>6.4432307066191212</v>
      </c>
      <c r="AE69" s="19">
        <f t="shared" si="23"/>
        <v>6.7639334842729992</v>
      </c>
      <c r="AF69" s="19">
        <f t="shared" si="24"/>
        <v>0</v>
      </c>
    </row>
    <row r="70" spans="3:32">
      <c r="C70" s="9" t="s">
        <v>104</v>
      </c>
      <c r="D70" s="27">
        <v>1989.4</v>
      </c>
      <c r="E70" s="27" t="s">
        <v>0</v>
      </c>
      <c r="F70" s="27">
        <v>2099.4349999999999</v>
      </c>
      <c r="G70" s="27">
        <v>241.19999999999996</v>
      </c>
      <c r="H70" s="27" t="s">
        <v>0</v>
      </c>
      <c r="I70" s="27" t="s">
        <v>0</v>
      </c>
      <c r="J70" s="27" t="s">
        <v>0</v>
      </c>
      <c r="K70" s="27" t="s">
        <v>0</v>
      </c>
      <c r="L70" s="27" t="s">
        <v>0</v>
      </c>
      <c r="M70" s="27" t="s">
        <v>0</v>
      </c>
      <c r="N70" s="27" t="s">
        <v>0</v>
      </c>
      <c r="O70" s="27" t="s">
        <v>0</v>
      </c>
      <c r="P70" s="27">
        <v>1403.19</v>
      </c>
      <c r="Q70" s="27" t="s">
        <v>0</v>
      </c>
      <c r="R70" s="27" t="s">
        <v>0</v>
      </c>
      <c r="S70" s="27" t="s">
        <v>0</v>
      </c>
      <c r="T70" s="27" t="s">
        <v>0</v>
      </c>
      <c r="U70" s="27" t="s">
        <v>0</v>
      </c>
      <c r="V70" s="27" t="s">
        <v>0</v>
      </c>
      <c r="W70" s="27">
        <f t="shared" si="18"/>
        <v>5733.2250000000004</v>
      </c>
      <c r="X70" s="27">
        <f t="shared" si="19"/>
        <v>5492.0249999999996</v>
      </c>
      <c r="Y70" s="27">
        <f t="shared" si="20"/>
        <v>241.19999999999996</v>
      </c>
      <c r="Z70" s="416">
        <f t="shared" si="21"/>
        <v>-40.79353990237977</v>
      </c>
      <c r="AA70" s="416">
        <f t="shared" si="21"/>
        <v>-40.401539004964157</v>
      </c>
      <c r="AB70" s="416">
        <f t="shared" si="21"/>
        <v>-48.505550811272421</v>
      </c>
      <c r="AC70" s="41"/>
      <c r="AD70" s="19">
        <f t="shared" si="22"/>
        <v>5.1902467607693969</v>
      </c>
      <c r="AE70" s="19">
        <f t="shared" si="23"/>
        <v>5.2193590248485613</v>
      </c>
      <c r="AF70" s="19">
        <f t="shared" si="24"/>
        <v>4.5999999999999996</v>
      </c>
    </row>
    <row r="71" spans="3:32">
      <c r="C71" s="9" t="s">
        <v>105</v>
      </c>
      <c r="D71" s="27" t="s">
        <v>0</v>
      </c>
      <c r="E71" s="27" t="s">
        <v>0</v>
      </c>
      <c r="F71" s="27" t="s">
        <v>0</v>
      </c>
      <c r="G71" s="27">
        <v>744.8</v>
      </c>
      <c r="H71" s="27" t="s">
        <v>0</v>
      </c>
      <c r="I71" s="27">
        <v>1535.7</v>
      </c>
      <c r="J71" s="27" t="s">
        <v>0</v>
      </c>
      <c r="K71" s="27" t="s">
        <v>0</v>
      </c>
      <c r="L71" s="27" t="s">
        <v>0</v>
      </c>
      <c r="M71" s="27" t="s">
        <v>0</v>
      </c>
      <c r="N71" s="27">
        <v>90.82</v>
      </c>
      <c r="O71" s="27" t="s">
        <v>0</v>
      </c>
      <c r="P71" s="27" t="s">
        <v>0</v>
      </c>
      <c r="Q71" s="27" t="s">
        <v>0</v>
      </c>
      <c r="R71" s="27" t="s">
        <v>0</v>
      </c>
      <c r="S71" s="27">
        <v>76.14</v>
      </c>
      <c r="T71" s="27" t="s">
        <v>0</v>
      </c>
      <c r="U71" s="27" t="s">
        <v>0</v>
      </c>
      <c r="V71" s="27" t="s">
        <v>0</v>
      </c>
      <c r="W71" s="27">
        <f t="shared" si="18"/>
        <v>2447.46</v>
      </c>
      <c r="X71" s="27">
        <f t="shared" si="19"/>
        <v>0</v>
      </c>
      <c r="Y71" s="27">
        <f t="shared" si="20"/>
        <v>2447.46</v>
      </c>
      <c r="Z71" s="416">
        <f t="shared" si="21"/>
        <v>0</v>
      </c>
      <c r="AA71" s="416"/>
      <c r="AB71" s="416">
        <f t="shared" si="21"/>
        <v>0</v>
      </c>
      <c r="AC71" s="41"/>
      <c r="AD71" s="19">
        <f t="shared" si="22"/>
        <v>2.2156676804264035</v>
      </c>
      <c r="AE71" s="19">
        <f t="shared" si="23"/>
        <v>0</v>
      </c>
      <c r="AF71" s="19">
        <f>100-SUM(AF67:AF70,AF72:AF80)</f>
        <v>46.799999999999983</v>
      </c>
    </row>
    <row r="72" spans="3:32">
      <c r="C72" s="9" t="s">
        <v>106</v>
      </c>
      <c r="D72" s="27">
        <v>5951.72</v>
      </c>
      <c r="E72" s="27">
        <v>1869.68</v>
      </c>
      <c r="F72" s="27">
        <v>854.17</v>
      </c>
      <c r="G72" s="27">
        <v>857.95</v>
      </c>
      <c r="H72" s="27">
        <v>2853.54</v>
      </c>
      <c r="I72" s="27">
        <v>864.2</v>
      </c>
      <c r="J72" s="27" t="s">
        <v>0</v>
      </c>
      <c r="K72" s="27">
        <v>758.74</v>
      </c>
      <c r="L72" s="27" t="s">
        <v>0</v>
      </c>
      <c r="M72" s="27">
        <v>3788.23</v>
      </c>
      <c r="N72" s="27" t="s">
        <v>0</v>
      </c>
      <c r="O72" s="27" t="s">
        <v>0</v>
      </c>
      <c r="P72" s="27">
        <v>1246.98</v>
      </c>
      <c r="Q72" s="27">
        <v>784.7</v>
      </c>
      <c r="R72" s="27" t="s">
        <v>0</v>
      </c>
      <c r="S72" s="27" t="s">
        <v>0</v>
      </c>
      <c r="T72" s="27">
        <v>3263.71</v>
      </c>
      <c r="U72" s="27">
        <v>1222.32</v>
      </c>
      <c r="V72" s="27">
        <v>1968.07</v>
      </c>
      <c r="W72" s="18">
        <f t="shared" si="18"/>
        <v>26284.010000000002</v>
      </c>
      <c r="X72" s="18">
        <f t="shared" si="19"/>
        <v>24561.86</v>
      </c>
      <c r="Y72" s="18">
        <f t="shared" si="20"/>
        <v>1722.15</v>
      </c>
      <c r="Z72" s="416">
        <f t="shared" si="21"/>
        <v>0</v>
      </c>
      <c r="AA72" s="416">
        <f t="shared" si="21"/>
        <v>0</v>
      </c>
      <c r="AB72" s="416">
        <f t="shared" si="21"/>
        <v>0</v>
      </c>
      <c r="AC72" s="41"/>
      <c r="AD72" s="19">
        <f t="shared" si="22"/>
        <v>23.794722475139285</v>
      </c>
      <c r="AE72" s="19">
        <f t="shared" si="23"/>
        <v>23.342422086218999</v>
      </c>
      <c r="AF72" s="19">
        <f t="shared" si="24"/>
        <v>32.9</v>
      </c>
    </row>
    <row r="73" spans="3:32">
      <c r="C73" s="9" t="s">
        <v>68</v>
      </c>
      <c r="D73" s="27" t="s">
        <v>0</v>
      </c>
      <c r="E73" s="27" t="s">
        <v>0</v>
      </c>
      <c r="F73" s="27" t="s">
        <v>0</v>
      </c>
      <c r="G73" s="27" t="s">
        <v>0</v>
      </c>
      <c r="H73" s="27" t="s">
        <v>0</v>
      </c>
      <c r="I73" s="27">
        <v>11.39</v>
      </c>
      <c r="J73" s="27" t="s">
        <v>0</v>
      </c>
      <c r="K73" s="27" t="s">
        <v>0</v>
      </c>
      <c r="L73" s="27" t="s">
        <v>0</v>
      </c>
      <c r="M73" s="27" t="s">
        <v>0</v>
      </c>
      <c r="N73" s="27" t="s">
        <v>0</v>
      </c>
      <c r="O73" s="27" t="s">
        <v>0</v>
      </c>
      <c r="P73" s="27" t="s">
        <v>0</v>
      </c>
      <c r="Q73" s="27" t="s">
        <v>0</v>
      </c>
      <c r="R73" s="27" t="s">
        <v>0</v>
      </c>
      <c r="S73" s="27" t="s">
        <v>0</v>
      </c>
      <c r="T73" s="27" t="s">
        <v>0</v>
      </c>
      <c r="U73" s="27" t="s">
        <v>0</v>
      </c>
      <c r="V73" s="27" t="s">
        <v>0</v>
      </c>
      <c r="W73" s="27">
        <f t="shared" si="18"/>
        <v>11.39</v>
      </c>
      <c r="X73" s="27">
        <f t="shared" si="19"/>
        <v>0</v>
      </c>
      <c r="Y73" s="27">
        <f t="shared" si="20"/>
        <v>11.39</v>
      </c>
      <c r="Z73" s="416">
        <f t="shared" si="21"/>
        <v>0</v>
      </c>
      <c r="AA73" s="416"/>
      <c r="AB73" s="416">
        <f t="shared" si="21"/>
        <v>0</v>
      </c>
      <c r="AC73" s="41"/>
      <c r="AD73" s="19">
        <f t="shared" si="22"/>
        <v>1.0311283894346275E-2</v>
      </c>
      <c r="AE73" s="19">
        <f t="shared" si="23"/>
        <v>0</v>
      </c>
      <c r="AF73" s="19">
        <f t="shared" si="24"/>
        <v>0.2</v>
      </c>
    </row>
    <row r="74" spans="3:32">
      <c r="C74" s="9" t="s">
        <v>50</v>
      </c>
      <c r="D74" s="27">
        <v>3474.5305000000003</v>
      </c>
      <c r="E74" s="27">
        <v>4074.7140000000018</v>
      </c>
      <c r="F74" s="27">
        <v>519.45000000000005</v>
      </c>
      <c r="G74" s="27">
        <v>3.6374999999999909</v>
      </c>
      <c r="H74" s="27">
        <v>1255.0299999999997</v>
      </c>
      <c r="I74" s="27">
        <v>444.71500000000003</v>
      </c>
      <c r="J74" s="27">
        <v>35.307000000000002</v>
      </c>
      <c r="K74" s="27">
        <v>3877.5241999999985</v>
      </c>
      <c r="L74" s="27">
        <v>6267.5170000000026</v>
      </c>
      <c r="M74" s="27">
        <v>1271.1599999999999</v>
      </c>
      <c r="N74" s="27" t="s">
        <v>0</v>
      </c>
      <c r="O74" s="27">
        <v>39.375</v>
      </c>
      <c r="P74" s="27">
        <v>3828.6600000000008</v>
      </c>
      <c r="Q74" s="27">
        <v>448.12</v>
      </c>
      <c r="R74" s="27" t="s">
        <v>0</v>
      </c>
      <c r="S74" s="27" t="s">
        <v>0</v>
      </c>
      <c r="T74" s="27">
        <v>262.77</v>
      </c>
      <c r="U74" s="27">
        <v>1302.2920000000001</v>
      </c>
      <c r="V74" s="27">
        <v>154.28380000000001</v>
      </c>
      <c r="W74" s="18">
        <f t="shared" si="18"/>
        <v>27259.086000000003</v>
      </c>
      <c r="X74" s="18">
        <f t="shared" si="19"/>
        <v>26810.733500000006</v>
      </c>
      <c r="Y74" s="18">
        <f t="shared" si="20"/>
        <v>448.35250000000002</v>
      </c>
      <c r="Z74" s="416">
        <f t="shared" si="21"/>
        <v>5.3454624833428666</v>
      </c>
      <c r="AA74" s="416">
        <f t="shared" si="21"/>
        <v>5.3800383280415032</v>
      </c>
      <c r="AB74" s="416">
        <f t="shared" si="21"/>
        <v>3.3183355321146912</v>
      </c>
      <c r="AC74" s="41"/>
      <c r="AD74" s="19">
        <f t="shared" si="22"/>
        <v>24.677451663424062</v>
      </c>
      <c r="AE74" s="19">
        <f t="shared" si="23"/>
        <v>25.479644367247911</v>
      </c>
      <c r="AF74" s="19">
        <f t="shared" si="24"/>
        <v>8.6</v>
      </c>
    </row>
    <row r="75" spans="3:32">
      <c r="C75" s="9" t="s">
        <v>51</v>
      </c>
      <c r="D75" s="27">
        <v>2546.8783290000547</v>
      </c>
      <c r="E75" s="27">
        <v>1114.8382499999998</v>
      </c>
      <c r="F75" s="27">
        <v>0.80448500000000034</v>
      </c>
      <c r="G75" s="27">
        <v>103.32712499999984</v>
      </c>
      <c r="H75" s="27">
        <v>364.31811499999554</v>
      </c>
      <c r="I75" s="27">
        <v>167.10714499999966</v>
      </c>
      <c r="J75" s="27">
        <v>2.1538149999999985</v>
      </c>
      <c r="K75" s="27">
        <v>1947.4046900000781</v>
      </c>
      <c r="L75" s="27">
        <v>839.84976500000334</v>
      </c>
      <c r="M75" s="27">
        <v>278.31573999999921</v>
      </c>
      <c r="N75" s="27" t="s">
        <v>0</v>
      </c>
      <c r="O75" s="27">
        <v>2567.8652190000107</v>
      </c>
      <c r="P75" s="27">
        <v>18.072594999999982</v>
      </c>
      <c r="Q75" s="27">
        <v>98.800779999999762</v>
      </c>
      <c r="R75" s="27">
        <v>63.441562000000005</v>
      </c>
      <c r="S75" s="27">
        <v>5.9700000000000003E-2</v>
      </c>
      <c r="T75" s="27">
        <v>1220.7897809999895</v>
      </c>
      <c r="U75" s="27">
        <v>162.94732999999644</v>
      </c>
      <c r="V75" s="27">
        <v>50.197910000000121</v>
      </c>
      <c r="W75" s="18">
        <f>SUM(D75:V75)</f>
        <v>11547.172336000127</v>
      </c>
      <c r="X75" s="18">
        <f t="shared" si="19"/>
        <v>11276.678366000127</v>
      </c>
      <c r="Y75" s="18">
        <f t="shared" si="20"/>
        <v>270.49396999999954</v>
      </c>
      <c r="Z75" s="416">
        <f>((W75/W57)-1)*100</f>
        <v>29.541859585836548</v>
      </c>
      <c r="AA75" s="416">
        <f t="shared" si="21"/>
        <v>30.134040084070413</v>
      </c>
      <c r="AB75" s="416">
        <f t="shared" si="21"/>
        <v>8.885377732399613</v>
      </c>
      <c r="AC75" s="41"/>
      <c r="AD75" s="19">
        <f t="shared" si="22"/>
        <v>10.45357086333968</v>
      </c>
      <c r="AE75" s="19">
        <f t="shared" si="23"/>
        <v>10.716818113518658</v>
      </c>
      <c r="AF75" s="19">
        <f t="shared" si="24"/>
        <v>5.2</v>
      </c>
    </row>
    <row r="76" spans="3:32">
      <c r="C76" s="9" t="s">
        <v>66</v>
      </c>
      <c r="D76" s="27">
        <v>1000.0229999999998</v>
      </c>
      <c r="E76" s="27" t="s">
        <v>0</v>
      </c>
      <c r="F76" s="27" t="s">
        <v>0</v>
      </c>
      <c r="G76" s="27" t="s">
        <v>0</v>
      </c>
      <c r="H76" s="27">
        <v>49.9</v>
      </c>
      <c r="I76" s="27" t="s">
        <v>0</v>
      </c>
      <c r="J76" s="27" t="s">
        <v>0</v>
      </c>
      <c r="K76" s="27">
        <v>349.4</v>
      </c>
      <c r="L76" s="27" t="s">
        <v>0</v>
      </c>
      <c r="M76" s="27">
        <v>24.29</v>
      </c>
      <c r="N76" s="27" t="s">
        <v>0</v>
      </c>
      <c r="O76" s="27">
        <v>848.99999999999989</v>
      </c>
      <c r="P76" s="27" t="s">
        <v>0</v>
      </c>
      <c r="Q76" s="27" t="s">
        <v>0</v>
      </c>
      <c r="R76" s="27" t="s">
        <v>0</v>
      </c>
      <c r="S76" s="27" t="s">
        <v>0</v>
      </c>
      <c r="T76" s="27">
        <v>31.4</v>
      </c>
      <c r="U76" s="27" t="s">
        <v>0</v>
      </c>
      <c r="V76" s="27" t="s">
        <v>0</v>
      </c>
      <c r="W76" s="18">
        <f t="shared" si="18"/>
        <v>2304.0129999999999</v>
      </c>
      <c r="X76" s="18">
        <f t="shared" si="19"/>
        <v>2304.0129999999999</v>
      </c>
      <c r="Y76" s="18">
        <f t="shared" si="20"/>
        <v>0</v>
      </c>
      <c r="Z76" s="416">
        <f t="shared" si="21"/>
        <v>0</v>
      </c>
      <c r="AA76" s="416">
        <f t="shared" si="21"/>
        <v>0</v>
      </c>
      <c r="AB76" s="416"/>
      <c r="AC76" s="41"/>
      <c r="AD76" s="19">
        <f t="shared" si="22"/>
        <v>2.0858061579687832</v>
      </c>
      <c r="AE76" s="19">
        <f t="shared" si="23"/>
        <v>2.1896242360365092</v>
      </c>
      <c r="AF76" s="19">
        <f t="shared" si="24"/>
        <v>0</v>
      </c>
    </row>
    <row r="77" spans="3:32">
      <c r="C77" s="9" t="s">
        <v>75</v>
      </c>
      <c r="D77" s="27">
        <v>277.92200000000003</v>
      </c>
      <c r="E77" s="27">
        <v>42.335000000000001</v>
      </c>
      <c r="F77" s="27">
        <v>90.860000000000014</v>
      </c>
      <c r="G77" s="27">
        <v>2.13</v>
      </c>
      <c r="H77" s="27">
        <v>13.222999999999999</v>
      </c>
      <c r="I77" s="27">
        <v>3.6960000000000002</v>
      </c>
      <c r="J77" s="27">
        <v>12.862</v>
      </c>
      <c r="K77" s="27">
        <v>140.40300000000002</v>
      </c>
      <c r="L77" s="27">
        <v>96.394999999999996</v>
      </c>
      <c r="M77" s="27">
        <v>73.095999999999989</v>
      </c>
      <c r="N77" s="27" t="s">
        <v>0</v>
      </c>
      <c r="O77" s="27">
        <v>35.799999999999997</v>
      </c>
      <c r="P77" s="27">
        <v>115.73400000000001</v>
      </c>
      <c r="Q77" s="27">
        <v>3.6269999999999998</v>
      </c>
      <c r="R77" s="27">
        <v>45.084000000000003</v>
      </c>
      <c r="S77" s="27" t="s">
        <v>0</v>
      </c>
      <c r="T77" s="27">
        <v>15.536999999999999</v>
      </c>
      <c r="U77" s="27">
        <v>52.111000000000004</v>
      </c>
      <c r="V77" s="27">
        <v>55.604999999999997</v>
      </c>
      <c r="W77" s="18">
        <f t="shared" si="18"/>
        <v>1076.4199999999998</v>
      </c>
      <c r="X77" s="18">
        <f t="shared" si="19"/>
        <v>1070.5939999999998</v>
      </c>
      <c r="Y77" s="18">
        <f t="shared" si="20"/>
        <v>5.8260000000000005</v>
      </c>
      <c r="Z77" s="416">
        <f t="shared" si="21"/>
        <v>-0.10876101530078452</v>
      </c>
      <c r="AA77" s="416">
        <f t="shared" si="21"/>
        <v>-0.10935222800499966</v>
      </c>
      <c r="AB77" s="416">
        <f t="shared" si="21"/>
        <v>0</v>
      </c>
      <c r="AC77" s="41"/>
      <c r="AD77" s="19">
        <f t="shared" si="22"/>
        <v>0.97447517204145873</v>
      </c>
      <c r="AE77" s="19">
        <f t="shared" si="23"/>
        <v>1.0174415549544513</v>
      </c>
      <c r="AF77" s="19">
        <f t="shared" si="24"/>
        <v>0.1</v>
      </c>
    </row>
    <row r="78" spans="3:32">
      <c r="C78" s="9" t="s">
        <v>73</v>
      </c>
      <c r="D78" s="27">
        <v>847.56950000000006</v>
      </c>
      <c r="E78" s="27">
        <v>478.25900000000001</v>
      </c>
      <c r="F78" s="27">
        <v>66.693999999999974</v>
      </c>
      <c r="G78" s="27">
        <v>11.523</v>
      </c>
      <c r="H78" s="27">
        <v>449.72899999999976</v>
      </c>
      <c r="I78" s="27" t="s">
        <v>0</v>
      </c>
      <c r="J78" s="27">
        <v>280.72950000000003</v>
      </c>
      <c r="K78" s="27">
        <v>348.88200000000001</v>
      </c>
      <c r="L78" s="27">
        <v>591.51900000000001</v>
      </c>
      <c r="M78" s="27">
        <v>974.72500000000048</v>
      </c>
      <c r="N78" s="27" t="s">
        <v>0</v>
      </c>
      <c r="O78" s="27">
        <v>18.077000000000002</v>
      </c>
      <c r="P78" s="27">
        <v>483.65059999999994</v>
      </c>
      <c r="Q78" s="27">
        <v>22.917000000000005</v>
      </c>
      <c r="R78" s="27">
        <v>210.00889999999998</v>
      </c>
      <c r="S78" s="27" t="s">
        <v>0</v>
      </c>
      <c r="T78" s="27">
        <v>308.14199999999994</v>
      </c>
      <c r="U78" s="27">
        <v>142.12549999999993</v>
      </c>
      <c r="V78" s="27">
        <v>398.93749999999977</v>
      </c>
      <c r="W78" s="18">
        <f t="shared" si="18"/>
        <v>5633.4885000000004</v>
      </c>
      <c r="X78" s="18">
        <f t="shared" si="19"/>
        <v>5621.9655000000002</v>
      </c>
      <c r="Y78" s="18">
        <f t="shared" si="20"/>
        <v>11.523</v>
      </c>
      <c r="Z78" s="416">
        <f t="shared" si="21"/>
        <v>-0.29939444169095886</v>
      </c>
      <c r="AA78" s="416">
        <f t="shared" si="21"/>
        <v>-0.30000625123862701</v>
      </c>
      <c r="AB78" s="416">
        <f t="shared" si="21"/>
        <v>0</v>
      </c>
      <c r="AC78" s="41"/>
      <c r="AD78" s="19">
        <f t="shared" si="22"/>
        <v>5.0999560350337978</v>
      </c>
      <c r="AE78" s="19">
        <f t="shared" si="23"/>
        <v>5.3428482881655235</v>
      </c>
      <c r="AF78" s="19">
        <f t="shared" si="24"/>
        <v>0.2</v>
      </c>
    </row>
    <row r="79" spans="3:32">
      <c r="C79" s="10" t="s">
        <v>90</v>
      </c>
      <c r="D79" s="27">
        <v>83.540999999999997</v>
      </c>
      <c r="E79" s="27">
        <v>49.9</v>
      </c>
      <c r="F79" s="27">
        <v>74.387</v>
      </c>
      <c r="G79" s="27">
        <v>37.400000000000006</v>
      </c>
      <c r="H79" s="27">
        <v>63.087999999999994</v>
      </c>
      <c r="I79" s="27" t="s">
        <v>0</v>
      </c>
      <c r="J79" s="27">
        <v>4.9669999999999996</v>
      </c>
      <c r="K79" s="27">
        <v>0.68</v>
      </c>
      <c r="L79" s="27" t="s">
        <v>0</v>
      </c>
      <c r="M79" s="27">
        <v>32.374500000000005</v>
      </c>
      <c r="N79" s="27" t="s">
        <v>0</v>
      </c>
      <c r="O79" s="27" t="s">
        <v>0</v>
      </c>
      <c r="P79" s="27">
        <v>40.68</v>
      </c>
      <c r="Q79" s="27" t="s">
        <v>0</v>
      </c>
      <c r="R79" s="27">
        <v>14.9</v>
      </c>
      <c r="S79" s="27">
        <v>1.0840000000000001</v>
      </c>
      <c r="T79" s="27" t="s">
        <v>0</v>
      </c>
      <c r="U79" s="27" t="s">
        <v>0</v>
      </c>
      <c r="V79" s="27">
        <v>73.975999999999999</v>
      </c>
      <c r="W79" s="18">
        <f t="shared" si="18"/>
        <v>476.97750000000002</v>
      </c>
      <c r="X79" s="18">
        <f t="shared" si="19"/>
        <v>438.49349999999998</v>
      </c>
      <c r="Y79" s="18">
        <f t="shared" si="20"/>
        <v>38.484000000000009</v>
      </c>
      <c r="Z79" s="416">
        <f t="shared" si="21"/>
        <v>-1.9890785614112616</v>
      </c>
      <c r="AA79" s="416">
        <f t="shared" si="21"/>
        <v>-2.1598778151764919</v>
      </c>
      <c r="AB79" s="416">
        <f t="shared" si="21"/>
        <v>0</v>
      </c>
      <c r="AC79" s="41"/>
      <c r="AD79" s="19">
        <f t="shared" si="22"/>
        <v>0.43180425054570237</v>
      </c>
      <c r="AE79" s="19">
        <f t="shared" si="23"/>
        <v>0.4167233409466331</v>
      </c>
      <c r="AF79" s="19">
        <f t="shared" si="24"/>
        <v>0.7</v>
      </c>
    </row>
    <row r="80" spans="3:32">
      <c r="C80" s="10" t="s">
        <v>91</v>
      </c>
      <c r="D80" s="27" t="s">
        <v>0</v>
      </c>
      <c r="E80" s="27" t="s">
        <v>0</v>
      </c>
      <c r="F80" s="27" t="s">
        <v>0</v>
      </c>
      <c r="G80" s="27">
        <v>37.400000000000006</v>
      </c>
      <c r="H80" s="27" t="s">
        <v>0</v>
      </c>
      <c r="I80" s="27" t="s">
        <v>0</v>
      </c>
      <c r="J80" s="27">
        <v>4.9669999999999996</v>
      </c>
      <c r="K80" s="27" t="s">
        <v>0</v>
      </c>
      <c r="L80" s="27" t="s">
        <v>0</v>
      </c>
      <c r="M80" s="27">
        <v>27.174500000000002</v>
      </c>
      <c r="N80" s="27" t="s">
        <v>0</v>
      </c>
      <c r="O80" s="27" t="s">
        <v>0</v>
      </c>
      <c r="P80" s="27">
        <v>25</v>
      </c>
      <c r="Q80" s="27" t="s">
        <v>0</v>
      </c>
      <c r="R80" s="27">
        <v>14.9</v>
      </c>
      <c r="S80" s="27">
        <v>1.0840000000000001</v>
      </c>
      <c r="T80" s="27" t="s">
        <v>0</v>
      </c>
      <c r="U80" s="27" t="s">
        <v>0</v>
      </c>
      <c r="V80" s="27">
        <v>46.795999999999999</v>
      </c>
      <c r="W80" s="27">
        <f t="shared" si="18"/>
        <v>157.32150000000001</v>
      </c>
      <c r="X80" s="27">
        <f t="shared" si="19"/>
        <v>118.83750000000001</v>
      </c>
      <c r="Y80" s="27">
        <f t="shared" si="20"/>
        <v>38.484000000000009</v>
      </c>
      <c r="Z80" s="416">
        <f t="shared" si="21"/>
        <v>0</v>
      </c>
      <c r="AA80" s="416">
        <f t="shared" si="21"/>
        <v>0</v>
      </c>
      <c r="AB80" s="416">
        <f t="shared" si="21"/>
        <v>0</v>
      </c>
      <c r="AC80" s="41"/>
      <c r="AD80" s="19">
        <f t="shared" si="22"/>
        <v>0.14242200607413499</v>
      </c>
      <c r="AE80" s="19">
        <f t="shared" si="23"/>
        <v>0.1129375008517698</v>
      </c>
      <c r="AF80" s="19">
        <f t="shared" si="24"/>
        <v>0.7</v>
      </c>
    </row>
    <row r="81" spans="2:32">
      <c r="C81" s="30" t="s">
        <v>32</v>
      </c>
      <c r="D81" s="32">
        <f t="shared" ref="D81:W81" si="25">SUM(D67:D80)</f>
        <v>17376.142329000057</v>
      </c>
      <c r="E81" s="32">
        <f t="shared" si="25"/>
        <v>9182.7207500000004</v>
      </c>
      <c r="F81" s="32">
        <f t="shared" si="25"/>
        <v>4510.5522849999998</v>
      </c>
      <c r="G81" s="32">
        <f t="shared" si="25"/>
        <v>2039.3676249999999</v>
      </c>
      <c r="H81" s="32">
        <f t="shared" si="25"/>
        <v>8264.5021149999939</v>
      </c>
      <c r="I81" s="32">
        <f t="shared" si="25"/>
        <v>3028.8281449999995</v>
      </c>
      <c r="J81" s="32">
        <f t="shared" si="25"/>
        <v>800.49831500000005</v>
      </c>
      <c r="K81" s="32">
        <f t="shared" si="25"/>
        <v>9291.6858900000752</v>
      </c>
      <c r="L81" s="32">
        <f t="shared" si="25"/>
        <v>12194.596265000006</v>
      </c>
      <c r="M81" s="32">
        <f t="shared" si="25"/>
        <v>11854.778539999999</v>
      </c>
      <c r="N81" s="32">
        <f t="shared" si="25"/>
        <v>90.82</v>
      </c>
      <c r="O81" s="32">
        <f t="shared" si="25"/>
        <v>7805.0595190000113</v>
      </c>
      <c r="P81" s="32">
        <f t="shared" si="25"/>
        <v>10882.214885000001</v>
      </c>
      <c r="Q81" s="32">
        <f t="shared" si="25"/>
        <v>1410.3703199999998</v>
      </c>
      <c r="R81" s="32">
        <f t="shared" si="25"/>
        <v>456.85106199999996</v>
      </c>
      <c r="S81" s="32">
        <f t="shared" si="25"/>
        <v>78.367700000000013</v>
      </c>
      <c r="T81" s="32">
        <f t="shared" si="25"/>
        <v>5135.9417809999886</v>
      </c>
      <c r="U81" s="32">
        <f t="shared" si="25"/>
        <v>3136.5708299999965</v>
      </c>
      <c r="V81" s="32">
        <f t="shared" si="25"/>
        <v>2921.6427100000001</v>
      </c>
      <c r="W81" s="32">
        <f t="shared" si="25"/>
        <v>110461.51106600014</v>
      </c>
      <c r="X81" s="32">
        <f t="shared" si="19"/>
        <v>105224.12759600015</v>
      </c>
      <c r="Y81" s="32">
        <f t="shared" si="20"/>
        <v>5237.3834699999989</v>
      </c>
      <c r="Z81" s="416">
        <f t="shared" si="21"/>
        <v>3.4785072953180673E-2</v>
      </c>
      <c r="AA81" s="416">
        <f t="shared" si="21"/>
        <v>0.21823672354797097</v>
      </c>
      <c r="AB81" s="416">
        <f t="shared" si="21"/>
        <v>-3.5136881539515552</v>
      </c>
      <c r="AC81" s="41"/>
      <c r="AD81" s="41">
        <f>SUM(AD67:AD80)</f>
        <v>100.00000000000001</v>
      </c>
      <c r="AE81" s="41">
        <f>SUM(AE67:AE80)</f>
        <v>99.999999999999986</v>
      </c>
      <c r="AF81" s="41">
        <f>SUM(AF67:AF80)</f>
        <v>99.999999999999986</v>
      </c>
    </row>
    <row r="82" spans="2:32">
      <c r="C82" s="480"/>
      <c r="D82" s="161">
        <f t="shared" ref="D82:Y82" si="26">((D81/D63)-1)*100</f>
        <v>4.7419295253088523</v>
      </c>
      <c r="E82" s="161">
        <f t="shared" si="26"/>
        <v>-0.67653891708081559</v>
      </c>
      <c r="F82" s="161">
        <f t="shared" si="26"/>
        <v>2.2352591221963536E-2</v>
      </c>
      <c r="G82" s="161">
        <f t="shared" si="26"/>
        <v>-9.1391121901593273</v>
      </c>
      <c r="H82" s="161">
        <f t="shared" si="26"/>
        <v>0.507541978763415</v>
      </c>
      <c r="I82" s="161">
        <f t="shared" si="26"/>
        <v>0.47770254613250795</v>
      </c>
      <c r="J82" s="161">
        <f t="shared" si="26"/>
        <v>-0.55687521739252732</v>
      </c>
      <c r="K82" s="161">
        <f t="shared" si="26"/>
        <v>2.9367434311106333</v>
      </c>
      <c r="L82" s="161">
        <f t="shared" si="26"/>
        <v>-13.405032657035687</v>
      </c>
      <c r="M82" s="161">
        <f t="shared" si="26"/>
        <v>3.0891517062037188E-2</v>
      </c>
      <c r="N82" s="161">
        <f t="shared" si="26"/>
        <v>0</v>
      </c>
      <c r="O82" s="161">
        <f t="shared" si="26"/>
        <v>20.368499718152599</v>
      </c>
      <c r="P82" s="161">
        <f t="shared" si="26"/>
        <v>-4.6752904384035894</v>
      </c>
      <c r="Q82" s="161">
        <f t="shared" si="26"/>
        <v>0.12052481864273101</v>
      </c>
      <c r="R82" s="161">
        <f t="shared" si="26"/>
        <v>-0.22759106967796816</v>
      </c>
      <c r="S82" s="161">
        <f t="shared" si="26"/>
        <v>0</v>
      </c>
      <c r="T82" s="161">
        <f t="shared" si="26"/>
        <v>1.9247023277899622</v>
      </c>
      <c r="U82" s="161">
        <f t="shared" si="26"/>
        <v>6.9214513168582181</v>
      </c>
      <c r="V82" s="161">
        <f t="shared" si="26"/>
        <v>-6.6784382119056129E-2</v>
      </c>
      <c r="W82" s="161">
        <f>((W81/W63)-1)*100</f>
        <v>3.4785072953180673E-2</v>
      </c>
      <c r="X82" s="161">
        <f t="shared" si="26"/>
        <v>0.21823672354797097</v>
      </c>
      <c r="Y82" s="161">
        <f t="shared" si="26"/>
        <v>-3.5136881539515552</v>
      </c>
      <c r="Z82" s="416"/>
      <c r="AA82" s="416"/>
      <c r="AB82" s="416"/>
    </row>
    <row r="83" spans="2:32">
      <c r="C83" s="547" t="s">
        <v>297</v>
      </c>
      <c r="D83" s="547"/>
      <c r="E83" s="547"/>
      <c r="F83" s="547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0">
        <f>SUM(W67,W73:W77,W80)</f>
        <v>59440.170066000122</v>
      </c>
      <c r="X83" s="160">
        <f>SUM(X67,X73:X77,X80)</f>
        <v>58663.603596000132</v>
      </c>
      <c r="Y83" s="160">
        <f>SUM(Y67,Y73:Y77,Y80)</f>
        <v>776.56646999999964</v>
      </c>
      <c r="Z83" s="416">
        <f>((W83/W64)-1)*100</f>
        <v>7.2444419220902834</v>
      </c>
      <c r="AA83" s="416">
        <f>((X83/X64)-1)*100</f>
        <v>7.2757897314166931</v>
      </c>
      <c r="AB83" s="416">
        <f>((Y83/Y64)-1)*100</f>
        <v>4.9281797347345613</v>
      </c>
      <c r="AD83" s="41">
        <f>SUM(AD67,AD73:AD77,AD80)</f>
        <v>53.810752263279248</v>
      </c>
      <c r="AE83" s="41">
        <f>SUM(AE67,AE73:AE77,AE80)</f>
        <v>55.751095244271802</v>
      </c>
      <c r="AF83" s="41">
        <f>SUM(AF67,AF73:AF77,AF80)</f>
        <v>14.799999999999999</v>
      </c>
    </row>
    <row r="84" spans="2:32" s="216" customFormat="1" ht="33" customHeight="1">
      <c r="B84" s="2"/>
      <c r="C84" s="432"/>
      <c r="D84" s="432" t="s">
        <v>298</v>
      </c>
      <c r="E84" s="432" t="s">
        <v>299</v>
      </c>
      <c r="F84" s="433"/>
      <c r="M84" s="434"/>
      <c r="W84" s="160">
        <f>W83-W64</f>
        <v>4015.2277560000075</v>
      </c>
      <c r="X84" s="160">
        <f t="shared" ref="X84" si="27">X83-X64</f>
        <v>3978.7546259999945</v>
      </c>
      <c r="Y84" s="160">
        <f>Y83-Y64</f>
        <v>36.473130000000083</v>
      </c>
    </row>
    <row r="85" spans="2:32" s="216" customFormat="1" ht="11.25" customHeight="1">
      <c r="B85" s="2"/>
      <c r="C85" s="10" t="s">
        <v>87</v>
      </c>
      <c r="D85" s="378">
        <f>D45</f>
        <v>39047.536711000001</v>
      </c>
      <c r="E85" s="421">
        <f>((D45/D24)-1)*100</f>
        <v>-2.0645873115322733</v>
      </c>
      <c r="F85" s="435" t="str">
        <f>CONCATENATE(C85," ",TEXT(D85,"0.0")," GWh ",TEXT(E85,"0,0")," %")</f>
        <v>Andalucía 39.048 GWh -2,1 %</v>
      </c>
      <c r="G85" s="436"/>
      <c r="H85" s="436"/>
      <c r="I85" s="444"/>
      <c r="J85" s="438"/>
    </row>
    <row r="86" spans="2:32" s="216" customFormat="1" ht="11.25" customHeight="1">
      <c r="B86" s="2"/>
      <c r="C86" s="10" t="s">
        <v>71</v>
      </c>
      <c r="D86" s="378">
        <f>E45</f>
        <v>10105.467191</v>
      </c>
      <c r="E86" s="421">
        <f>((E45/E24)-1)*100</f>
        <v>-6.507194616690926</v>
      </c>
      <c r="F86" s="435" t="str">
        <f t="shared" ref="F86:F103" si="28">CONCATENATE(C86," ",TEXT(D86,"0.0")," GWh ",TEXT(E86,"0,0")," %")</f>
        <v>Aragón 10.105 GWh -6,5 %</v>
      </c>
      <c r="G86" s="436"/>
      <c r="H86" s="436"/>
      <c r="I86" s="444"/>
      <c r="J86" s="438"/>
    </row>
    <row r="87" spans="2:32" s="216" customFormat="1" ht="11.25" customHeight="1">
      <c r="B87" s="2"/>
      <c r="C87" s="10" t="s">
        <v>74</v>
      </c>
      <c r="D87" s="378">
        <f>F45</f>
        <v>8717.6960829999989</v>
      </c>
      <c r="E87" s="421">
        <f>((F45/F24)-1)*100</f>
        <v>-7.1903815506064621</v>
      </c>
      <c r="F87" s="435" t="str">
        <f t="shared" si="28"/>
        <v>Asturias 8.718 GWh -7,2 %</v>
      </c>
      <c r="G87" s="436"/>
      <c r="H87" s="436"/>
      <c r="I87" s="444"/>
      <c r="J87" s="438"/>
    </row>
    <row r="88" spans="2:32" s="216" customFormat="1" ht="11.25" customHeight="1">
      <c r="B88" s="2"/>
      <c r="C88" s="10" t="s">
        <v>247</v>
      </c>
      <c r="D88" s="378">
        <f>G45</f>
        <v>4941.4516050000002</v>
      </c>
      <c r="E88" s="421">
        <f>((G45/G24)-1)*100</f>
        <v>-19.194289983248993</v>
      </c>
      <c r="F88" s="435" t="str">
        <f t="shared" si="28"/>
        <v>Islas Baleares 4.941 GWh -19,2 %</v>
      </c>
      <c r="G88" s="436"/>
      <c r="H88" s="436"/>
      <c r="I88" s="444"/>
      <c r="J88" s="438"/>
    </row>
    <row r="89" spans="2:32" s="216" customFormat="1" ht="11.25" customHeight="1">
      <c r="B89" s="2"/>
      <c r="C89" s="10" t="s">
        <v>295</v>
      </c>
      <c r="D89" s="378">
        <f>H45</f>
        <v>25745.173458000005</v>
      </c>
      <c r="E89" s="421">
        <f>((H45/H24)-1)*100</f>
        <v>-5.3842193761190371</v>
      </c>
      <c r="F89" s="435" t="str">
        <f t="shared" si="28"/>
        <v>Comunidad Valenciana 25.745 GWh -5,4 %</v>
      </c>
      <c r="G89" s="436"/>
      <c r="H89" s="436"/>
      <c r="I89" s="444"/>
      <c r="J89" s="438"/>
    </row>
    <row r="90" spans="2:32" s="216" customFormat="1" ht="11.25" customHeight="1">
      <c r="B90" s="2"/>
      <c r="C90" s="10" t="s">
        <v>36</v>
      </c>
      <c r="D90" s="378">
        <f>I45</f>
        <v>7945.403421</v>
      </c>
      <c r="E90" s="421">
        <f>((I45/I24)-1)*100</f>
        <v>-10.474107079078909</v>
      </c>
      <c r="F90" s="435" t="str">
        <f t="shared" si="28"/>
        <v>Islas Canarias 7.945 GWh -10,5 %</v>
      </c>
      <c r="G90" s="436"/>
      <c r="H90" s="436"/>
      <c r="I90" s="444"/>
      <c r="J90" s="438"/>
    </row>
    <row r="91" spans="2:32" s="216" customFormat="1" ht="11.25" customHeight="1">
      <c r="B91" s="2"/>
      <c r="C91" s="10" t="s">
        <v>88</v>
      </c>
      <c r="D91" s="378">
        <f>J45</f>
        <v>3927.4300149999999</v>
      </c>
      <c r="E91" s="421">
        <f>((J45/J24)-1)*100</f>
        <v>-6.2285609137995195</v>
      </c>
      <c r="F91" s="435" t="str">
        <f t="shared" si="28"/>
        <v>Cantabria 3.927 GWh -6,2 %</v>
      </c>
      <c r="G91" s="436"/>
      <c r="H91" s="436"/>
      <c r="I91" s="444"/>
      <c r="J91" s="438"/>
    </row>
    <row r="92" spans="2:32" s="216" customFormat="1" ht="11.25" customHeight="1">
      <c r="B92" s="2"/>
      <c r="C92" s="10" t="s">
        <v>83</v>
      </c>
      <c r="D92" s="378">
        <f>K45</f>
        <v>11740.004231587001</v>
      </c>
      <c r="E92" s="421">
        <f>((K45/K24)-1)*100</f>
        <v>-3.2567346923081608</v>
      </c>
      <c r="F92" s="435" t="str">
        <f t="shared" si="28"/>
        <v>Castilla-La Mancha 11.740 GWh -3,3 %</v>
      </c>
      <c r="G92" s="436"/>
      <c r="H92" s="436"/>
      <c r="I92" s="444"/>
      <c r="J92" s="438"/>
    </row>
    <row r="93" spans="2:32" s="216" customFormat="1" ht="11.25" customHeight="1">
      <c r="B93" s="2"/>
      <c r="C93" s="10" t="s">
        <v>296</v>
      </c>
      <c r="D93" s="378">
        <f>L45</f>
        <v>13492.573907930002</v>
      </c>
      <c r="E93" s="421">
        <f>((L45/L24)-1)*100</f>
        <v>-4.8627725459483688</v>
      </c>
      <c r="F93" s="435" t="str">
        <f t="shared" si="28"/>
        <v>Castilla León 13.493 GWh -4,9 %</v>
      </c>
      <c r="G93" s="436"/>
      <c r="H93" s="436"/>
      <c r="I93" s="444"/>
      <c r="J93" s="438"/>
    </row>
    <row r="94" spans="2:32" s="216" customFormat="1" ht="11.25" customHeight="1">
      <c r="B94" s="2"/>
      <c r="C94" s="10" t="s">
        <v>65</v>
      </c>
      <c r="D94" s="378">
        <f>M45</f>
        <v>43870.041783999994</v>
      </c>
      <c r="E94" s="421">
        <f>((M45/M24)-1)*100</f>
        <v>-6.7100687779243717</v>
      </c>
      <c r="F94" s="435" t="str">
        <f t="shared" si="28"/>
        <v>Cataluña 43.870 GWh -6,7 %</v>
      </c>
      <c r="G94" s="436"/>
      <c r="H94" s="436"/>
      <c r="I94" s="444"/>
      <c r="J94" s="438"/>
    </row>
    <row r="95" spans="2:32" s="216" customFormat="1" ht="11.25" customHeight="1">
      <c r="B95" s="2"/>
      <c r="C95" s="10" t="s">
        <v>42</v>
      </c>
      <c r="D95" s="378">
        <f>N45</f>
        <v>199.19810200000001</v>
      </c>
      <c r="E95" s="421">
        <f>((N45/N24)-1)*100</f>
        <v>-3.3245311874539607</v>
      </c>
      <c r="F95" s="435" t="str">
        <f t="shared" si="28"/>
        <v>Ceuta 199 GWh -3,3 %</v>
      </c>
      <c r="G95" s="436"/>
      <c r="H95" s="436"/>
      <c r="I95" s="444"/>
      <c r="J95" s="438"/>
    </row>
    <row r="96" spans="2:32" s="216" customFormat="1" ht="11.25" customHeight="1">
      <c r="B96" s="2"/>
      <c r="C96" s="10" t="s">
        <v>92</v>
      </c>
      <c r="D96" s="378">
        <f>O45</f>
        <v>4960.430429974007</v>
      </c>
      <c r="E96" s="421">
        <f>((O45/O24)-1)*100</f>
        <v>-0.11857090459341801</v>
      </c>
      <c r="F96" s="435" t="str">
        <f t="shared" si="28"/>
        <v>Extremadura 4.960 GWh -0,1 %</v>
      </c>
      <c r="G96" s="436"/>
      <c r="H96" s="436"/>
      <c r="I96" s="444"/>
      <c r="J96" s="438"/>
    </row>
    <row r="97" spans="2:31" s="216" customFormat="1" ht="11.25" customHeight="1">
      <c r="B97" s="2"/>
      <c r="C97" s="10" t="s">
        <v>93</v>
      </c>
      <c r="D97" s="378">
        <f>P45</f>
        <v>17383.464718000003</v>
      </c>
      <c r="E97" s="421">
        <f>((P45/P24)-1)*100</f>
        <v>-5.7771196073532982</v>
      </c>
      <c r="F97" s="435" t="str">
        <f t="shared" si="28"/>
        <v>Galicia 17.383 GWh -5,8 %</v>
      </c>
      <c r="G97" s="436"/>
      <c r="H97" s="436"/>
      <c r="I97" s="444"/>
      <c r="J97" s="438"/>
    </row>
    <row r="98" spans="2:31" s="216" customFormat="1" ht="11.25" customHeight="1">
      <c r="B98" s="2"/>
      <c r="C98" s="10" t="s">
        <v>94</v>
      </c>
      <c r="D98" s="378">
        <f>Q45</f>
        <v>1624.3909399999998</v>
      </c>
      <c r="E98" s="421">
        <f>((Q45/Q24)-1)*100</f>
        <v>-4.5210276190614689</v>
      </c>
      <c r="F98" s="435" t="str">
        <f t="shared" si="28"/>
        <v>La Rioja 1.624 GWh -4,5 %</v>
      </c>
      <c r="G98" s="436"/>
      <c r="H98" s="436"/>
      <c r="I98" s="444"/>
      <c r="J98" s="438"/>
    </row>
    <row r="99" spans="2:31" s="216" customFormat="1" ht="11.25" customHeight="1">
      <c r="B99" s="2"/>
      <c r="C99" s="10" t="s">
        <v>82</v>
      </c>
      <c r="D99" s="378">
        <f>R45</f>
        <v>26851.569195000004</v>
      </c>
      <c r="E99" s="421">
        <f>((R45/R24)-1)*100</f>
        <v>-5.6356475860084849</v>
      </c>
      <c r="F99" s="435" t="str">
        <f t="shared" si="28"/>
        <v>Madrid 26.852 GWh -5,6 %</v>
      </c>
      <c r="G99" s="436"/>
      <c r="H99" s="436"/>
      <c r="I99" s="444"/>
      <c r="J99" s="438"/>
    </row>
    <row r="100" spans="2:31" s="216" customFormat="1" ht="11.25" customHeight="1">
      <c r="B100" s="2"/>
      <c r="C100" s="10" t="s">
        <v>39</v>
      </c>
      <c r="D100" s="378">
        <f>S45</f>
        <v>208.01021299999999</v>
      </c>
      <c r="E100" s="421">
        <f>((S45/S24)-1)*100</f>
        <v>-1.3723795767873859</v>
      </c>
      <c r="F100" s="435" t="str">
        <f t="shared" si="28"/>
        <v>Melilla 208 GWh -1,4 %</v>
      </c>
      <c r="G100" s="436"/>
      <c r="H100" s="436"/>
      <c r="I100" s="444"/>
      <c r="J100" s="438"/>
    </row>
    <row r="101" spans="2:31" s="216" customFormat="1" ht="11.25" customHeight="1">
      <c r="B101" s="2"/>
      <c r="C101" s="10" t="s">
        <v>95</v>
      </c>
      <c r="D101" s="378">
        <f>T45</f>
        <v>9193.502738000001</v>
      </c>
      <c r="E101" s="421">
        <f>((T45/T24)-1)*100</f>
        <v>-2.5742740659225438</v>
      </c>
      <c r="F101" s="435" t="str">
        <f t="shared" si="28"/>
        <v>Murcia 9.194 GWh -2,6 %</v>
      </c>
      <c r="G101" s="436"/>
      <c r="H101" s="436"/>
      <c r="I101" s="444"/>
      <c r="J101" s="438"/>
    </row>
    <row r="102" spans="2:31" s="216" customFormat="1" ht="11.25" customHeight="1">
      <c r="B102" s="2"/>
      <c r="C102" s="10" t="s">
        <v>96</v>
      </c>
      <c r="D102" s="378">
        <f>U45</f>
        <v>4853.1588579999989</v>
      </c>
      <c r="E102" s="421">
        <f>((U45/U24)-1)*100</f>
        <v>-5.7583446436641932</v>
      </c>
      <c r="F102" s="435" t="str">
        <f t="shared" si="28"/>
        <v>Navarra 4.853 GWh -5,8 %</v>
      </c>
      <c r="G102" s="436"/>
      <c r="H102" s="436"/>
      <c r="I102" s="444"/>
      <c r="J102" s="438"/>
    </row>
    <row r="103" spans="2:31" s="216" customFormat="1" ht="11.25" customHeight="1">
      <c r="B103" s="2"/>
      <c r="C103" s="439" t="s">
        <v>70</v>
      </c>
      <c r="D103" s="441">
        <f>V45</f>
        <v>15012.630385</v>
      </c>
      <c r="E103" s="440">
        <f>((V45/V24)-1)*100</f>
        <v>-7.8095738986983188</v>
      </c>
      <c r="F103" s="435" t="str">
        <f t="shared" si="28"/>
        <v>País Vasco 15.013 GWh -7,8 %</v>
      </c>
      <c r="G103" s="436"/>
      <c r="H103" s="436"/>
      <c r="I103" s="444"/>
      <c r="J103" s="438"/>
    </row>
    <row r="104" spans="2:31"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AE104" s="41"/>
    </row>
    <row r="105" spans="2:31">
      <c r="C105" s="547" t="s">
        <v>371</v>
      </c>
      <c r="D105" s="547"/>
      <c r="E105" s="547"/>
      <c r="F105" s="547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AE105" s="41"/>
    </row>
    <row r="106" spans="2:31" s="216" customFormat="1" ht="33" customHeight="1">
      <c r="B106" s="2"/>
      <c r="C106" s="432"/>
      <c r="D106" s="432" t="s">
        <v>300</v>
      </c>
      <c r="E106" s="446"/>
      <c r="F106" s="433"/>
      <c r="M106" s="434"/>
    </row>
    <row r="107" spans="2:31" s="216" customFormat="1" ht="11.25" customHeight="1">
      <c r="B107" s="2"/>
      <c r="C107" s="10" t="s">
        <v>87</v>
      </c>
      <c r="D107" s="378">
        <f>D81</f>
        <v>17376.142329000057</v>
      </c>
      <c r="E107" s="442"/>
      <c r="F107" s="435" t="str">
        <f>CONCATENATE(C107," ",TEXT(D107,"0.0")," MW")</f>
        <v>Andalucía 17.376 MW</v>
      </c>
      <c r="G107" s="436"/>
      <c r="H107" s="436"/>
      <c r="I107" s="447"/>
      <c r="J107" s="438"/>
      <c r="K107" s="436"/>
      <c r="L107" s="437"/>
      <c r="M107" s="448"/>
      <c r="O107" s="448"/>
      <c r="P107" s="445"/>
    </row>
    <row r="108" spans="2:31" s="216" customFormat="1" ht="11.25" customHeight="1">
      <c r="B108" s="2"/>
      <c r="C108" s="10" t="s">
        <v>71</v>
      </c>
      <c r="D108" s="378">
        <f>E81</f>
        <v>9182.7207500000004</v>
      </c>
      <c r="E108" s="442"/>
      <c r="F108" s="435" t="str">
        <f t="shared" ref="F108:F125" si="29">CONCATENATE(C108," ",TEXT(D108,"0.0")," MW")</f>
        <v>Aragón 9.183 MW</v>
      </c>
      <c r="G108" s="436"/>
      <c r="H108" s="436"/>
      <c r="I108" s="447"/>
      <c r="J108" s="438"/>
      <c r="K108" s="436"/>
      <c r="L108" s="437"/>
      <c r="M108" s="448"/>
      <c r="O108" s="448"/>
      <c r="P108" s="445"/>
    </row>
    <row r="109" spans="2:31" s="216" customFormat="1" ht="11.25" customHeight="1">
      <c r="B109" s="2"/>
      <c r="C109" s="10" t="s">
        <v>74</v>
      </c>
      <c r="D109" s="378">
        <f>F81</f>
        <v>4510.5522849999998</v>
      </c>
      <c r="E109" s="442"/>
      <c r="F109" s="435" t="str">
        <f t="shared" si="29"/>
        <v>Asturias 4.511 MW</v>
      </c>
      <c r="G109" s="436"/>
      <c r="H109" s="436"/>
      <c r="I109" s="437"/>
      <c r="J109" s="438"/>
      <c r="K109" s="436"/>
      <c r="L109" s="437"/>
      <c r="M109" s="448"/>
      <c r="O109" s="448"/>
      <c r="P109" s="445"/>
    </row>
    <row r="110" spans="2:31" s="216" customFormat="1" ht="11.25" customHeight="1">
      <c r="B110" s="2"/>
      <c r="C110" s="10" t="s">
        <v>247</v>
      </c>
      <c r="D110" s="378">
        <f>G81</f>
        <v>2039.3676249999999</v>
      </c>
      <c r="E110" s="442"/>
      <c r="F110" s="435" t="str">
        <f t="shared" si="29"/>
        <v>Islas Baleares 2.039 MW</v>
      </c>
      <c r="G110" s="436"/>
      <c r="H110" s="436"/>
      <c r="I110" s="444"/>
      <c r="J110" s="438"/>
      <c r="K110" s="436"/>
      <c r="L110" s="437"/>
      <c r="M110" s="448"/>
      <c r="O110" s="448"/>
      <c r="P110" s="445"/>
    </row>
    <row r="111" spans="2:31" s="216" customFormat="1" ht="11.25" customHeight="1">
      <c r="B111" s="2"/>
      <c r="C111" s="10" t="s">
        <v>295</v>
      </c>
      <c r="D111" s="378">
        <f>H81</f>
        <v>8264.5021149999939</v>
      </c>
      <c r="E111" s="442"/>
      <c r="F111" s="435" t="str">
        <f t="shared" si="29"/>
        <v>Comunidad Valenciana 8.265 MW</v>
      </c>
      <c r="G111" s="436"/>
      <c r="H111" s="436"/>
      <c r="I111" s="444"/>
      <c r="J111" s="438"/>
      <c r="K111" s="436"/>
      <c r="L111" s="437"/>
      <c r="M111" s="448"/>
    </row>
    <row r="112" spans="2:31" s="216" customFormat="1" ht="11.25" customHeight="1">
      <c r="B112" s="2"/>
      <c r="C112" s="10" t="s">
        <v>36</v>
      </c>
      <c r="D112" s="378">
        <f>I81</f>
        <v>3028.8281449999995</v>
      </c>
      <c r="E112" s="442"/>
      <c r="F112" s="435" t="str">
        <f t="shared" si="29"/>
        <v>Islas Canarias 3.029 MW</v>
      </c>
      <c r="G112" s="436"/>
      <c r="H112" s="436"/>
      <c r="I112" s="444"/>
      <c r="J112" s="438"/>
      <c r="K112" s="436"/>
      <c r="L112" s="437"/>
      <c r="M112" s="448"/>
    </row>
    <row r="113" spans="2:13" s="216" customFormat="1" ht="11.25" customHeight="1">
      <c r="B113" s="2"/>
      <c r="C113" s="10" t="s">
        <v>88</v>
      </c>
      <c r="D113" s="378">
        <f>J81</f>
        <v>800.49831500000005</v>
      </c>
      <c r="E113" s="442"/>
      <c r="F113" s="435" t="str">
        <f t="shared" si="29"/>
        <v>Cantabria 800 MW</v>
      </c>
      <c r="G113" s="436"/>
      <c r="H113" s="436"/>
      <c r="I113" s="444"/>
      <c r="J113" s="438"/>
      <c r="K113" s="436"/>
      <c r="L113" s="437"/>
      <c r="M113" s="448"/>
    </row>
    <row r="114" spans="2:13" s="216" customFormat="1" ht="11.25" customHeight="1">
      <c r="B114" s="2"/>
      <c r="C114" s="10" t="s">
        <v>83</v>
      </c>
      <c r="D114" s="378">
        <f>K81</f>
        <v>9291.6858900000752</v>
      </c>
      <c r="E114" s="442"/>
      <c r="F114" s="435" t="str">
        <f t="shared" si="29"/>
        <v>Castilla-La Mancha 9.292 MW</v>
      </c>
      <c r="G114" s="436"/>
      <c r="H114" s="436"/>
      <c r="I114" s="444"/>
      <c r="J114" s="438"/>
      <c r="K114" s="436"/>
      <c r="L114" s="437"/>
      <c r="M114" s="448"/>
    </row>
    <row r="115" spans="2:13" s="216" customFormat="1" ht="11.25" customHeight="1">
      <c r="B115" s="2"/>
      <c r="C115" s="10" t="s">
        <v>296</v>
      </c>
      <c r="D115" s="378">
        <f>L81</f>
        <v>12194.596265000006</v>
      </c>
      <c r="E115" s="442"/>
      <c r="F115" s="435" t="str">
        <f t="shared" si="29"/>
        <v>Castilla León 12.195 MW</v>
      </c>
      <c r="G115" s="436"/>
      <c r="H115" s="436"/>
      <c r="I115" s="444"/>
      <c r="J115" s="438"/>
      <c r="K115" s="436"/>
      <c r="L115" s="437"/>
      <c r="M115" s="448"/>
    </row>
    <row r="116" spans="2:13" s="216" customFormat="1" ht="11.25" customHeight="1">
      <c r="B116" s="2"/>
      <c r="C116" s="10" t="s">
        <v>65</v>
      </c>
      <c r="D116" s="378">
        <f>M81</f>
        <v>11854.778539999999</v>
      </c>
      <c r="E116" s="442"/>
      <c r="F116" s="435" t="str">
        <f t="shared" si="29"/>
        <v>Cataluña 11.855 MW</v>
      </c>
      <c r="G116" s="436"/>
      <c r="H116" s="436"/>
      <c r="I116" s="444"/>
      <c r="J116" s="438"/>
      <c r="K116" s="436"/>
      <c r="L116" s="437"/>
      <c r="M116" s="448"/>
    </row>
    <row r="117" spans="2:13" s="216" customFormat="1" ht="11.25" customHeight="1">
      <c r="B117" s="2"/>
      <c r="C117" s="10" t="s">
        <v>42</v>
      </c>
      <c r="D117" s="378">
        <f>N81</f>
        <v>90.82</v>
      </c>
      <c r="E117" s="442"/>
      <c r="F117" s="435" t="str">
        <f t="shared" si="29"/>
        <v>Ceuta 91 MW</v>
      </c>
      <c r="G117" s="436"/>
      <c r="H117" s="436"/>
      <c r="I117" s="444"/>
      <c r="J117" s="438"/>
      <c r="K117" s="436"/>
      <c r="L117" s="437"/>
      <c r="M117" s="448"/>
    </row>
    <row r="118" spans="2:13" s="216" customFormat="1" ht="11.25" customHeight="1">
      <c r="B118" s="2"/>
      <c r="C118" s="10" t="s">
        <v>92</v>
      </c>
      <c r="D118" s="378">
        <f>O81</f>
        <v>7805.0595190000113</v>
      </c>
      <c r="E118" s="442"/>
      <c r="F118" s="435" t="str">
        <f t="shared" si="29"/>
        <v>Extremadura 7.805 MW</v>
      </c>
      <c r="G118" s="436"/>
      <c r="H118" s="436"/>
      <c r="I118" s="444"/>
      <c r="J118" s="438"/>
      <c r="K118" s="436"/>
      <c r="L118" s="437"/>
      <c r="M118" s="448"/>
    </row>
    <row r="119" spans="2:13" s="216" customFormat="1" ht="11.25" customHeight="1">
      <c r="B119" s="2"/>
      <c r="C119" s="10" t="s">
        <v>93</v>
      </c>
      <c r="D119" s="378">
        <f>P81</f>
        <v>10882.214885000001</v>
      </c>
      <c r="E119" s="442"/>
      <c r="F119" s="435" t="str">
        <f t="shared" si="29"/>
        <v>Galicia 10.882 MW</v>
      </c>
      <c r="G119" s="436"/>
      <c r="H119" s="436"/>
      <c r="I119" s="444"/>
      <c r="J119" s="438"/>
      <c r="K119" s="436"/>
      <c r="L119" s="437"/>
      <c r="M119" s="448"/>
    </row>
    <row r="120" spans="2:13" s="216" customFormat="1" ht="11.25" customHeight="1">
      <c r="B120" s="2"/>
      <c r="C120" s="10" t="s">
        <v>94</v>
      </c>
      <c r="D120" s="378">
        <f>Q81</f>
        <v>1410.3703199999998</v>
      </c>
      <c r="E120" s="442"/>
      <c r="F120" s="435" t="str">
        <f t="shared" si="29"/>
        <v>La Rioja 1.410 MW</v>
      </c>
      <c r="G120" s="436"/>
      <c r="H120" s="436"/>
      <c r="I120" s="444"/>
      <c r="J120" s="438"/>
      <c r="K120" s="436"/>
      <c r="L120" s="437"/>
      <c r="M120" s="448"/>
    </row>
    <row r="121" spans="2:13" s="216" customFormat="1" ht="11.25" customHeight="1">
      <c r="B121" s="2"/>
      <c r="C121" s="10" t="s">
        <v>82</v>
      </c>
      <c r="D121" s="378">
        <f>R81</f>
        <v>456.85106199999996</v>
      </c>
      <c r="E121" s="442"/>
      <c r="F121" s="435" t="str">
        <f t="shared" si="29"/>
        <v>Madrid 457 MW</v>
      </c>
      <c r="G121" s="436"/>
      <c r="H121" s="436"/>
      <c r="I121" s="444"/>
      <c r="J121" s="438"/>
      <c r="K121" s="436"/>
      <c r="L121" s="437"/>
      <c r="M121" s="448"/>
    </row>
    <row r="122" spans="2:13" s="216" customFormat="1" ht="11.25" customHeight="1">
      <c r="B122" s="2"/>
      <c r="C122" s="10" t="s">
        <v>39</v>
      </c>
      <c r="D122" s="378">
        <f>S81</f>
        <v>78.367700000000013</v>
      </c>
      <c r="E122" s="442"/>
      <c r="F122" s="435" t="str">
        <f t="shared" si="29"/>
        <v>Melilla 78 MW</v>
      </c>
      <c r="G122" s="436"/>
      <c r="H122" s="436"/>
      <c r="I122" s="444"/>
      <c r="J122" s="438"/>
      <c r="K122" s="436"/>
      <c r="L122" s="437"/>
      <c r="M122" s="448"/>
    </row>
    <row r="123" spans="2:13" s="216" customFormat="1" ht="11.25" customHeight="1">
      <c r="B123" s="2"/>
      <c r="C123" s="10" t="s">
        <v>95</v>
      </c>
      <c r="D123" s="378">
        <f>T81</f>
        <v>5135.9417809999886</v>
      </c>
      <c r="E123" s="442"/>
      <c r="F123" s="435" t="str">
        <f t="shared" si="29"/>
        <v>Murcia 5.136 MW</v>
      </c>
      <c r="G123" s="436"/>
      <c r="H123" s="436"/>
      <c r="I123" s="444"/>
      <c r="J123" s="438"/>
      <c r="K123" s="436"/>
      <c r="L123" s="437"/>
      <c r="M123" s="448"/>
    </row>
    <row r="124" spans="2:13" s="216" customFormat="1" ht="11.25" customHeight="1">
      <c r="B124" s="2"/>
      <c r="C124" s="10" t="s">
        <v>96</v>
      </c>
      <c r="D124" s="378">
        <f>U81</f>
        <v>3136.5708299999965</v>
      </c>
      <c r="E124" s="442"/>
      <c r="F124" s="435" t="str">
        <f t="shared" si="29"/>
        <v>Navarra 3.137 MW</v>
      </c>
      <c r="G124" s="436"/>
      <c r="H124" s="436"/>
      <c r="I124" s="444"/>
      <c r="J124" s="438"/>
      <c r="K124" s="436"/>
      <c r="L124" s="437"/>
      <c r="M124" s="448"/>
    </row>
    <row r="125" spans="2:13" s="216" customFormat="1" ht="11.25" customHeight="1">
      <c r="B125" s="2"/>
      <c r="C125" s="439" t="s">
        <v>70</v>
      </c>
      <c r="D125" s="441">
        <f>V81</f>
        <v>2921.6427100000001</v>
      </c>
      <c r="E125" s="442"/>
      <c r="F125" s="435" t="str">
        <f t="shared" si="29"/>
        <v>País Vasco 2.922 MW</v>
      </c>
      <c r="G125" s="436"/>
      <c r="H125" s="436"/>
      <c r="I125" s="444"/>
      <c r="J125" s="438"/>
      <c r="K125" s="436"/>
      <c r="L125" s="437"/>
      <c r="M125" s="448"/>
    </row>
    <row r="126" spans="2:13" s="216" customFormat="1" ht="11.25" customHeight="1">
      <c r="B126" s="2"/>
      <c r="C126" s="116"/>
      <c r="D126" s="442"/>
      <c r="E126" s="443"/>
      <c r="F126" s="435"/>
      <c r="G126" s="436"/>
      <c r="H126" s="436"/>
      <c r="I126" s="437"/>
      <c r="J126" s="438"/>
    </row>
    <row r="127" spans="2:13">
      <c r="B127" s="17"/>
      <c r="C127" s="547" t="s">
        <v>120</v>
      </c>
      <c r="D127" s="547"/>
      <c r="E127" s="547"/>
      <c r="F127" s="547"/>
      <c r="K127" s="44"/>
    </row>
    <row r="128" spans="2:13">
      <c r="B128" s="17"/>
      <c r="C128" s="151"/>
      <c r="D128" s="549">
        <v>2019</v>
      </c>
      <c r="E128" s="549"/>
      <c r="F128" s="549">
        <v>2020</v>
      </c>
      <c r="G128" s="549"/>
      <c r="H128" s="549"/>
      <c r="I128" s="549"/>
      <c r="J128" s="149"/>
    </row>
    <row r="129" spans="2:9">
      <c r="C129" s="150"/>
      <c r="D129" s="153" t="s">
        <v>118</v>
      </c>
      <c r="E129" s="153" t="s">
        <v>119</v>
      </c>
      <c r="F129" s="153" t="s">
        <v>118</v>
      </c>
      <c r="G129" s="153"/>
      <c r="H129" s="153" t="s">
        <v>119</v>
      </c>
      <c r="I129" s="153"/>
    </row>
    <row r="130" spans="2:9">
      <c r="B130" s="17"/>
      <c r="C130" s="152"/>
      <c r="D130" s="154" t="s">
        <v>89</v>
      </c>
      <c r="E130" s="154" t="s">
        <v>89</v>
      </c>
      <c r="F130" s="154" t="s">
        <v>89</v>
      </c>
      <c r="G130" s="154" t="s">
        <v>53</v>
      </c>
      <c r="H130" s="154" t="s">
        <v>89</v>
      </c>
      <c r="I130" s="154" t="s">
        <v>246</v>
      </c>
    </row>
    <row r="131" spans="2:9">
      <c r="B131" s="17"/>
      <c r="C131" s="150" t="s">
        <v>2</v>
      </c>
      <c r="D131" s="318">
        <v>23296.649045549999</v>
      </c>
      <c r="E131" s="318">
        <f>D131</f>
        <v>23296.649045549999</v>
      </c>
      <c r="F131" s="318">
        <v>22577.217376982</v>
      </c>
      <c r="G131" s="158">
        <f t="shared" ref="G131:G141" si="30">((F131/D131)-1)*100</f>
        <v>-3.0881336932249481</v>
      </c>
      <c r="H131" s="318">
        <f>F131</f>
        <v>22577.217376982</v>
      </c>
      <c r="I131" s="158">
        <f t="shared" ref="I131:I142" si="31">((H131/E131)-1)*100</f>
        <v>-3.0881336932249481</v>
      </c>
    </row>
    <row r="132" spans="2:9">
      <c r="B132" s="17"/>
      <c r="C132" s="150" t="s">
        <v>3</v>
      </c>
      <c r="D132" s="318">
        <v>20154.629677354002</v>
      </c>
      <c r="E132" s="318">
        <f t="shared" ref="E132:E142" si="32">E131+D132</f>
        <v>43451.278722903997</v>
      </c>
      <c r="F132" s="318">
        <v>19840.085661851997</v>
      </c>
      <c r="G132" s="158">
        <f t="shared" si="30"/>
        <v>-1.5606539070049497</v>
      </c>
      <c r="H132" s="318">
        <f t="shared" ref="H132:H142" si="33">H131+F132</f>
        <v>42417.303038833998</v>
      </c>
      <c r="I132" s="158">
        <f t="shared" si="31"/>
        <v>-2.3796208407670383</v>
      </c>
    </row>
    <row r="133" spans="2:9">
      <c r="B133" s="17"/>
      <c r="C133" s="150" t="s">
        <v>4</v>
      </c>
      <c r="D133" s="318">
        <v>20726.895805251999</v>
      </c>
      <c r="E133" s="318">
        <f t="shared" si="32"/>
        <v>64178.174528156</v>
      </c>
      <c r="F133" s="318">
        <v>19804.184770357999</v>
      </c>
      <c r="G133" s="158">
        <f t="shared" si="30"/>
        <v>-4.451757000004763</v>
      </c>
      <c r="H133" s="318">
        <f t="shared" si="33"/>
        <v>62221.487809191996</v>
      </c>
      <c r="I133" s="158">
        <f t="shared" si="31"/>
        <v>-3.0488351115464885</v>
      </c>
    </row>
    <row r="134" spans="2:9">
      <c r="B134" s="17"/>
      <c r="C134" s="150" t="s">
        <v>5</v>
      </c>
      <c r="D134" s="318">
        <v>19514.052023056</v>
      </c>
      <c r="E134" s="318">
        <f t="shared" si="32"/>
        <v>83692.226551211992</v>
      </c>
      <c r="F134" s="318">
        <v>16158.814860384</v>
      </c>
      <c r="G134" s="158">
        <f t="shared" si="30"/>
        <v>-17.193954175728145</v>
      </c>
      <c r="H134" s="318">
        <f t="shared" si="33"/>
        <v>78380.302669575991</v>
      </c>
      <c r="I134" s="158">
        <f t="shared" si="31"/>
        <v>-6.3469740267760528</v>
      </c>
    </row>
    <row r="135" spans="2:9">
      <c r="B135" s="17"/>
      <c r="C135" s="150" t="s">
        <v>6</v>
      </c>
      <c r="D135" s="318">
        <v>19899.136009188001</v>
      </c>
      <c r="E135" s="318">
        <f t="shared" si="32"/>
        <v>103591.3625604</v>
      </c>
      <c r="F135" s="318">
        <v>17362.423732903</v>
      </c>
      <c r="G135" s="158">
        <f t="shared" si="30"/>
        <v>-12.747851339443727</v>
      </c>
      <c r="H135" s="318">
        <f t="shared" si="33"/>
        <v>95742.726402478991</v>
      </c>
      <c r="I135" s="158">
        <f t="shared" si="31"/>
        <v>-7.5765353055808893</v>
      </c>
    </row>
    <row r="136" spans="2:9">
      <c r="B136" s="17"/>
      <c r="C136" s="150" t="s">
        <v>7</v>
      </c>
      <c r="D136" s="318">
        <v>19970.835457706002</v>
      </c>
      <c r="E136" s="318">
        <f t="shared" si="32"/>
        <v>123562.19801810599</v>
      </c>
      <c r="F136" s="318">
        <v>18353.266600046001</v>
      </c>
      <c r="G136" s="158">
        <f t="shared" si="30"/>
        <v>-8.0996554254611386</v>
      </c>
      <c r="H136" s="318">
        <f t="shared" si="33"/>
        <v>114095.99300252499</v>
      </c>
      <c r="I136" s="158">
        <f t="shared" si="31"/>
        <v>-7.6610849980136226</v>
      </c>
    </row>
    <row r="137" spans="2:9">
      <c r="B137" s="17"/>
      <c r="C137" s="150" t="s">
        <v>8</v>
      </c>
      <c r="D137" s="318">
        <v>22701.204090208001</v>
      </c>
      <c r="E137" s="318">
        <f t="shared" si="32"/>
        <v>146263.40210831398</v>
      </c>
      <c r="F137" s="318">
        <v>21941.099715194003</v>
      </c>
      <c r="G137" s="158">
        <f t="shared" si="30"/>
        <v>-3.3482998170209943</v>
      </c>
      <c r="H137" s="318">
        <f t="shared" si="33"/>
        <v>136037.092717719</v>
      </c>
      <c r="I137" s="158">
        <f t="shared" si="31"/>
        <v>-6.991707592731899</v>
      </c>
    </row>
    <row r="138" spans="2:9">
      <c r="B138" s="17"/>
      <c r="C138" s="150" t="s">
        <v>9</v>
      </c>
      <c r="D138" s="318">
        <v>21177.253561983998</v>
      </c>
      <c r="E138" s="318">
        <f t="shared" si="32"/>
        <v>167440.65567029797</v>
      </c>
      <c r="F138" s="318">
        <v>20739.942271404001</v>
      </c>
      <c r="G138" s="158">
        <f t="shared" si="30"/>
        <v>-2.065004743415022</v>
      </c>
      <c r="H138" s="318">
        <f t="shared" si="33"/>
        <v>156777.034989123</v>
      </c>
      <c r="I138" s="158">
        <f t="shared" si="31"/>
        <v>-6.3685970641278233</v>
      </c>
    </row>
    <row r="139" spans="2:9">
      <c r="B139" s="17"/>
      <c r="C139" s="150" t="s">
        <v>10</v>
      </c>
      <c r="D139" s="318">
        <v>19936.18443252</v>
      </c>
      <c r="E139" s="318">
        <f t="shared" si="32"/>
        <v>187376.84010281798</v>
      </c>
      <c r="F139" s="318">
        <v>19375.491099671999</v>
      </c>
      <c r="G139" s="158">
        <f t="shared" si="30"/>
        <v>-2.8124405386890095</v>
      </c>
      <c r="H139" s="318">
        <f t="shared" si="33"/>
        <v>176152.52608879498</v>
      </c>
      <c r="I139" s="158">
        <f t="shared" si="31"/>
        <v>-5.9902355103565341</v>
      </c>
    </row>
    <row r="140" spans="2:9">
      <c r="B140" s="17"/>
      <c r="C140" s="150" t="s">
        <v>11</v>
      </c>
      <c r="D140" s="318">
        <v>20155.46354927</v>
      </c>
      <c r="E140" s="318">
        <f t="shared" si="32"/>
        <v>207532.30365208798</v>
      </c>
      <c r="F140" s="318">
        <v>19586.359679092002</v>
      </c>
      <c r="G140" s="158">
        <f t="shared" si="30"/>
        <v>-2.8235712306334482</v>
      </c>
      <c r="H140" s="318">
        <f t="shared" si="33"/>
        <v>195738.885767887</v>
      </c>
      <c r="I140" s="158">
        <f t="shared" si="31"/>
        <v>-5.6826902013152321</v>
      </c>
    </row>
    <row r="141" spans="2:9">
      <c r="B141" s="17"/>
      <c r="C141" s="150" t="s">
        <v>12</v>
      </c>
      <c r="D141" s="318">
        <v>20817.226544470002</v>
      </c>
      <c r="E141" s="318">
        <f t="shared" si="32"/>
        <v>228349.53019655799</v>
      </c>
      <c r="F141" s="318">
        <v>19585.897864158</v>
      </c>
      <c r="G141" s="158">
        <f t="shared" si="30"/>
        <v>-5.9149506668509595</v>
      </c>
      <c r="H141" s="318">
        <f t="shared" si="33"/>
        <v>215324.783632045</v>
      </c>
      <c r="I141" s="158">
        <f t="shared" si="31"/>
        <v>-5.7038639638547046</v>
      </c>
    </row>
    <row r="142" spans="2:9">
      <c r="B142" s="17"/>
      <c r="C142" s="152" t="s">
        <v>13</v>
      </c>
      <c r="D142" s="319">
        <v>20907.164036049999</v>
      </c>
      <c r="E142" s="319">
        <f t="shared" si="32"/>
        <v>249256.69423260799</v>
      </c>
      <c r="F142" s="319">
        <v>21200.287010446002</v>
      </c>
      <c r="G142" s="159">
        <f>((F142/D142)-1)*100</f>
        <v>1.4020216892667747</v>
      </c>
      <c r="H142" s="319">
        <f t="shared" si="33"/>
        <v>236525.07064249099</v>
      </c>
      <c r="I142" s="159">
        <f t="shared" si="31"/>
        <v>-5.1078361723901233</v>
      </c>
    </row>
    <row r="143" spans="2:9">
      <c r="B143" s="17"/>
      <c r="E143" s="354">
        <f>E142-X24</f>
        <v>-5.0000089686363935E-6</v>
      </c>
      <c r="H143" s="20">
        <f>H142-X45</f>
        <v>-3.0000519473105669E-6</v>
      </c>
    </row>
    <row r="144" spans="2:9">
      <c r="B144" s="17"/>
      <c r="C144" s="157" t="s">
        <v>121</v>
      </c>
    </row>
    <row r="145" spans="1:9">
      <c r="B145" s="17"/>
      <c r="C145" s="155"/>
      <c r="D145" s="156" t="s">
        <v>48</v>
      </c>
      <c r="E145" s="156" t="s">
        <v>77</v>
      </c>
    </row>
    <row r="146" spans="1:9">
      <c r="A146" s="452"/>
      <c r="B146" s="33">
        <v>2016</v>
      </c>
      <c r="C146" s="150" t="s">
        <v>17</v>
      </c>
      <c r="D146" s="158">
        <v>1.234</v>
      </c>
      <c r="E146" s="158">
        <v>1.23882</v>
      </c>
      <c r="H146" s="498"/>
      <c r="I146" s="498"/>
    </row>
    <row r="147" spans="1:9">
      <c r="A147" s="452"/>
      <c r="B147" s="33"/>
      <c r="C147" s="150" t="s">
        <v>18</v>
      </c>
      <c r="D147" s="158">
        <v>0.91299999999999992</v>
      </c>
      <c r="E147" s="158">
        <v>1.345</v>
      </c>
      <c r="H147" s="498"/>
      <c r="I147" s="498"/>
    </row>
    <row r="148" spans="1:9">
      <c r="A148" s="452"/>
      <c r="B148" s="33"/>
      <c r="C148" s="150" t="s">
        <v>19</v>
      </c>
      <c r="D148" s="158">
        <v>0.92800000000000005</v>
      </c>
      <c r="E148" s="158">
        <v>1.50715</v>
      </c>
      <c r="H148" s="498"/>
      <c r="I148" s="498"/>
    </row>
    <row r="149" spans="1:9">
      <c r="A149" s="452"/>
      <c r="B149" s="33"/>
      <c r="C149" s="150" t="s">
        <v>20</v>
      </c>
      <c r="D149" s="158">
        <v>1.355</v>
      </c>
      <c r="E149" s="158">
        <v>1.7215500000000001</v>
      </c>
      <c r="H149" s="498"/>
      <c r="I149" s="498"/>
    </row>
    <row r="150" spans="1:9">
      <c r="A150" s="452"/>
      <c r="B150" s="33"/>
      <c r="C150" s="150" t="s">
        <v>19</v>
      </c>
      <c r="D150" s="158">
        <v>1.1339999999999999</v>
      </c>
      <c r="E150" s="158">
        <v>1.6278899999999998</v>
      </c>
      <c r="H150" s="498"/>
      <c r="I150" s="498"/>
    </row>
    <row r="151" spans="1:9">
      <c r="A151" s="452"/>
      <c r="B151" s="33"/>
      <c r="C151" s="150" t="s">
        <v>21</v>
      </c>
      <c r="D151" s="158">
        <v>0.75900000000000001</v>
      </c>
      <c r="E151" s="158">
        <v>1.47543</v>
      </c>
      <c r="H151" s="498"/>
      <c r="I151" s="498"/>
    </row>
    <row r="152" spans="1:9">
      <c r="A152" s="452"/>
      <c r="B152" s="33"/>
      <c r="C152" s="150" t="s">
        <v>21</v>
      </c>
      <c r="D152" s="158">
        <v>-0.71000000000000008</v>
      </c>
      <c r="E152" s="158">
        <v>0.48876999999999998</v>
      </c>
      <c r="H152" s="498"/>
      <c r="I152" s="498"/>
    </row>
    <row r="153" spans="1:9">
      <c r="A153" s="452"/>
      <c r="B153" s="33"/>
      <c r="C153" s="150" t="s">
        <v>20</v>
      </c>
      <c r="D153" s="158">
        <v>-0.77</v>
      </c>
      <c r="E153" s="158">
        <v>0.29485</v>
      </c>
      <c r="H153" s="498"/>
      <c r="I153" s="498"/>
    </row>
    <row r="154" spans="1:9">
      <c r="A154" s="452"/>
      <c r="B154" s="33"/>
      <c r="C154" s="150" t="s">
        <v>22</v>
      </c>
      <c r="D154" s="158">
        <v>1.7000000000000001E-2</v>
      </c>
      <c r="E154" s="158">
        <v>0.74799000000000004</v>
      </c>
      <c r="H154" s="498"/>
      <c r="I154" s="498"/>
    </row>
    <row r="155" spans="1:9">
      <c r="A155" s="452"/>
      <c r="B155" s="33"/>
      <c r="C155" s="150" t="s">
        <v>23</v>
      </c>
      <c r="D155" s="158">
        <v>3.2000000000000001E-2</v>
      </c>
      <c r="E155" s="158">
        <v>0.60774000000000006</v>
      </c>
      <c r="H155" s="498"/>
      <c r="I155" s="498"/>
    </row>
    <row r="156" spans="1:9">
      <c r="A156" s="452"/>
      <c r="B156" s="33"/>
      <c r="C156" s="150" t="s">
        <v>24</v>
      </c>
      <c r="D156" s="158">
        <v>0.31</v>
      </c>
      <c r="E156" s="158">
        <v>0.62674000000000007</v>
      </c>
      <c r="H156" s="498"/>
      <c r="I156" s="498"/>
    </row>
    <row r="157" spans="1:9">
      <c r="A157" s="452"/>
      <c r="B157" s="33"/>
      <c r="C157" s="150" t="s">
        <v>25</v>
      </c>
      <c r="D157" s="158">
        <v>0.69</v>
      </c>
      <c r="E157" s="158">
        <v>0.30321999999999999</v>
      </c>
      <c r="H157" s="498"/>
      <c r="I157" s="498"/>
    </row>
    <row r="158" spans="1:9">
      <c r="A158" s="452"/>
      <c r="B158" s="33">
        <v>2017</v>
      </c>
      <c r="C158" s="150" t="s">
        <v>17</v>
      </c>
      <c r="D158" s="158">
        <v>1.821</v>
      </c>
      <c r="E158" s="158">
        <v>1.0599700000000001</v>
      </c>
      <c r="H158" s="498"/>
      <c r="I158" s="498"/>
    </row>
    <row r="159" spans="1:9">
      <c r="A159" s="452"/>
      <c r="B159" s="33"/>
      <c r="C159" s="150" t="s">
        <v>18</v>
      </c>
      <c r="D159" s="158">
        <v>1.5489999999999999</v>
      </c>
      <c r="E159" s="158">
        <v>0.70134000000000007</v>
      </c>
      <c r="H159" s="498"/>
      <c r="I159" s="498"/>
    </row>
    <row r="160" spans="1:9">
      <c r="A160" s="452"/>
      <c r="B160" s="33"/>
      <c r="C160" s="150" t="s">
        <v>19</v>
      </c>
      <c r="D160" s="158">
        <v>1.29</v>
      </c>
      <c r="E160" s="158">
        <v>0.40118000000000004</v>
      </c>
      <c r="H160" s="498"/>
      <c r="I160" s="498"/>
    </row>
    <row r="161" spans="1:9">
      <c r="A161" s="452"/>
      <c r="B161" s="33"/>
      <c r="C161" s="150" t="s">
        <v>20</v>
      </c>
      <c r="D161" s="158">
        <v>0.46699999999999997</v>
      </c>
      <c r="E161" s="158">
        <v>0.17260999999999999</v>
      </c>
      <c r="H161" s="498"/>
      <c r="I161" s="498"/>
    </row>
    <row r="162" spans="1:9">
      <c r="A162" s="452"/>
      <c r="B162" s="33"/>
      <c r="C162" s="150" t="s">
        <v>19</v>
      </c>
      <c r="D162" s="158">
        <v>0.73499999999999999</v>
      </c>
      <c r="E162" s="158">
        <v>0.23598</v>
      </c>
      <c r="H162" s="498"/>
      <c r="I162" s="498"/>
    </row>
    <row r="163" spans="1:9">
      <c r="A163" s="452"/>
      <c r="B163" s="33"/>
      <c r="C163" s="150" t="s">
        <v>21</v>
      </c>
      <c r="D163" s="158">
        <v>1.3780000000000001</v>
      </c>
      <c r="E163" s="158">
        <v>0.60917999999999994</v>
      </c>
      <c r="H163" s="498"/>
      <c r="I163" s="498"/>
    </row>
    <row r="164" spans="1:9">
      <c r="A164" s="452"/>
      <c r="B164" s="33"/>
      <c r="C164" s="150" t="s">
        <v>21</v>
      </c>
      <c r="D164" s="158">
        <v>1.9750000000000001</v>
      </c>
      <c r="E164" s="158">
        <v>0.98043999999999998</v>
      </c>
      <c r="H164" s="498"/>
      <c r="I164" s="498"/>
    </row>
    <row r="165" spans="1:9">
      <c r="A165" s="452"/>
      <c r="B165" s="33"/>
      <c r="C165" s="150" t="s">
        <v>20</v>
      </c>
      <c r="D165" s="158">
        <v>1.881</v>
      </c>
      <c r="E165" s="158">
        <v>1.0940399999999999</v>
      </c>
      <c r="H165" s="498"/>
      <c r="I165" s="498"/>
    </row>
    <row r="166" spans="1:9">
      <c r="A166" s="452"/>
      <c r="B166" s="33"/>
      <c r="C166" s="150" t="s">
        <v>22</v>
      </c>
      <c r="D166" s="158">
        <v>1.0940000000000001</v>
      </c>
      <c r="E166" s="158">
        <v>0.64807000000000003</v>
      </c>
      <c r="H166" s="498"/>
      <c r="I166" s="498"/>
    </row>
    <row r="167" spans="1:9">
      <c r="A167" s="452"/>
      <c r="B167" s="33"/>
      <c r="C167" s="150" t="s">
        <v>23</v>
      </c>
      <c r="D167" s="158">
        <v>1.1930000000000001</v>
      </c>
      <c r="E167" s="158">
        <v>0.60013000000000005</v>
      </c>
      <c r="H167" s="498"/>
      <c r="I167" s="498"/>
    </row>
    <row r="168" spans="1:9">
      <c r="A168" s="452"/>
      <c r="B168" s="33"/>
      <c r="C168" s="150" t="s">
        <v>24</v>
      </c>
      <c r="D168" s="158">
        <v>0.9820000000000001</v>
      </c>
      <c r="E168" s="158">
        <v>0.75513000000000008</v>
      </c>
      <c r="H168" s="498"/>
      <c r="I168" s="498"/>
    </row>
    <row r="169" spans="1:9">
      <c r="A169" s="452"/>
      <c r="B169" s="33"/>
      <c r="C169" s="150" t="s">
        <v>25</v>
      </c>
      <c r="D169" s="158">
        <v>1.1320000000000001</v>
      </c>
      <c r="E169" s="158">
        <v>1.3721099999999999</v>
      </c>
      <c r="H169" s="498"/>
      <c r="I169" s="498"/>
    </row>
    <row r="170" spans="1:9">
      <c r="A170" s="452"/>
      <c r="B170" s="33">
        <v>2018</v>
      </c>
      <c r="C170" s="150" t="s">
        <v>17</v>
      </c>
      <c r="D170" s="158">
        <v>0.28999999999999998</v>
      </c>
      <c r="E170" s="158">
        <v>0.73699999999999999</v>
      </c>
      <c r="H170" s="498"/>
      <c r="I170" s="498"/>
    </row>
    <row r="171" spans="1:9">
      <c r="A171" s="452"/>
      <c r="B171" s="33"/>
      <c r="C171" s="150" t="s">
        <v>18</v>
      </c>
      <c r="D171" s="158">
        <v>1.1499999999999999</v>
      </c>
      <c r="E171" s="158">
        <v>1.131</v>
      </c>
      <c r="H171" s="498"/>
      <c r="I171" s="498"/>
    </row>
    <row r="172" spans="1:9">
      <c r="A172" s="452"/>
      <c r="B172" s="33"/>
      <c r="C172" s="150" t="s">
        <v>19</v>
      </c>
      <c r="D172" s="158">
        <v>1.6840000000000002</v>
      </c>
      <c r="E172" s="158">
        <v>1.694</v>
      </c>
      <c r="H172" s="498"/>
      <c r="I172" s="498"/>
    </row>
    <row r="173" spans="1:9">
      <c r="A173" s="452"/>
      <c r="B173" s="33"/>
      <c r="C173" s="150" t="s">
        <v>20</v>
      </c>
      <c r="D173" s="158">
        <v>2.4539999999999997</v>
      </c>
      <c r="E173" s="158">
        <v>1.8659999999999999</v>
      </c>
      <c r="H173" s="498"/>
      <c r="I173" s="498"/>
    </row>
    <row r="174" spans="1:9">
      <c r="A174" s="452"/>
      <c r="B174" s="33"/>
      <c r="C174" s="150" t="s">
        <v>19</v>
      </c>
      <c r="D174" s="158">
        <v>2.194</v>
      </c>
      <c r="E174" s="158">
        <v>1.9339999999999999</v>
      </c>
      <c r="H174" s="498"/>
      <c r="I174" s="498"/>
    </row>
    <row r="175" spans="1:9">
      <c r="A175" s="452"/>
      <c r="B175" s="33"/>
      <c r="C175" s="150" t="s">
        <v>21</v>
      </c>
      <c r="D175" s="158">
        <v>1.0630000000000002</v>
      </c>
      <c r="E175" s="158">
        <v>1.319</v>
      </c>
      <c r="H175" s="498"/>
      <c r="I175" s="498"/>
    </row>
    <row r="176" spans="1:9">
      <c r="A176" s="452"/>
      <c r="B176" s="33"/>
      <c r="C176" s="150" t="s">
        <v>21</v>
      </c>
      <c r="D176" s="158">
        <v>0.88600000000000001</v>
      </c>
      <c r="E176" s="158">
        <v>1.2229999999999999</v>
      </c>
      <c r="H176" s="498"/>
      <c r="I176" s="498"/>
    </row>
    <row r="177" spans="1:9">
      <c r="A177" s="452"/>
      <c r="B177" s="33"/>
      <c r="C177" s="150" t="s">
        <v>20</v>
      </c>
      <c r="D177" s="158">
        <v>0.83400000000000007</v>
      </c>
      <c r="E177" s="158">
        <v>1.234</v>
      </c>
      <c r="H177" s="498"/>
      <c r="I177" s="498"/>
    </row>
    <row r="178" spans="1:9">
      <c r="A178" s="452"/>
      <c r="B178" s="33"/>
      <c r="C178" s="150" t="s">
        <v>22</v>
      </c>
      <c r="D178" s="158">
        <v>1.3379999999999999</v>
      </c>
      <c r="E178" s="158">
        <v>1.6060000000000001</v>
      </c>
      <c r="H178" s="498"/>
      <c r="I178" s="498"/>
    </row>
    <row r="179" spans="1:9">
      <c r="A179" s="452"/>
      <c r="B179" s="33"/>
      <c r="C179" s="150" t="s">
        <v>23</v>
      </c>
      <c r="D179" s="158">
        <v>1.2510000000000001</v>
      </c>
      <c r="E179" s="158">
        <v>1.5760000000000001</v>
      </c>
      <c r="H179" s="498"/>
      <c r="I179" s="498"/>
    </row>
    <row r="180" spans="1:9">
      <c r="A180" s="452"/>
      <c r="B180" s="33"/>
      <c r="C180" s="150" t="s">
        <v>24</v>
      </c>
      <c r="D180" s="158">
        <v>1.1480000000000001</v>
      </c>
      <c r="E180" s="158">
        <v>1.266</v>
      </c>
      <c r="H180" s="498"/>
      <c r="I180" s="498"/>
    </row>
    <row r="181" spans="1:9">
      <c r="A181" s="452"/>
      <c r="B181" s="33"/>
      <c r="C181" s="150" t="s">
        <v>25</v>
      </c>
      <c r="D181" s="158">
        <v>0.42</v>
      </c>
      <c r="E181" s="158">
        <v>0.52</v>
      </c>
      <c r="H181" s="498"/>
      <c r="I181" s="498"/>
    </row>
    <row r="182" spans="1:9">
      <c r="A182" s="452"/>
      <c r="B182" s="33">
        <v>2019</v>
      </c>
      <c r="C182" s="150" t="s">
        <v>17</v>
      </c>
      <c r="D182" s="158">
        <v>0.89</v>
      </c>
      <c r="E182" s="158">
        <v>0.80800000000000005</v>
      </c>
      <c r="H182" s="498"/>
      <c r="I182" s="498"/>
    </row>
    <row r="183" spans="1:9">
      <c r="A183" s="452"/>
      <c r="B183" s="455"/>
      <c r="C183" s="150" t="s">
        <v>18</v>
      </c>
      <c r="D183" s="158">
        <v>-7.5999999999999998E-2</v>
      </c>
      <c r="E183" s="158">
        <v>0.41900000000000004</v>
      </c>
      <c r="H183" s="498"/>
      <c r="I183" s="498"/>
    </row>
    <row r="184" spans="1:9">
      <c r="A184" s="452"/>
      <c r="B184" s="455"/>
      <c r="C184" s="150" t="s">
        <v>19</v>
      </c>
      <c r="D184" s="158">
        <v>-0.99500000000000011</v>
      </c>
      <c r="E184" s="158">
        <v>-0.38600000000000001</v>
      </c>
      <c r="H184" s="498"/>
      <c r="I184" s="498"/>
    </row>
    <row r="185" spans="1:9">
      <c r="A185" s="452"/>
      <c r="B185" s="455"/>
      <c r="C185" s="150" t="s">
        <v>20</v>
      </c>
      <c r="D185" s="158">
        <v>-1.5289999999999999</v>
      </c>
      <c r="E185" s="158">
        <v>-0.61899999999999999</v>
      </c>
      <c r="H185" s="498"/>
      <c r="I185" s="498"/>
    </row>
    <row r="186" spans="1:9">
      <c r="A186" s="452"/>
      <c r="B186" s="455"/>
      <c r="C186" s="150" t="s">
        <v>19</v>
      </c>
      <c r="D186" s="158">
        <v>-1.5549999999999999</v>
      </c>
      <c r="E186" s="158">
        <v>-0.92999999999999994</v>
      </c>
      <c r="H186" s="498"/>
      <c r="I186" s="498"/>
    </row>
    <row r="187" spans="1:9">
      <c r="A187" s="452"/>
      <c r="B187" s="455"/>
      <c r="C187" s="150" t="s">
        <v>21</v>
      </c>
      <c r="D187" s="158">
        <v>-1.1780000000000002</v>
      </c>
      <c r="E187" s="158">
        <v>-0.88900000000000001</v>
      </c>
      <c r="H187" s="498"/>
      <c r="I187" s="498"/>
    </row>
    <row r="188" spans="1:9">
      <c r="A188" s="452"/>
      <c r="B188" s="33"/>
      <c r="C188" s="150" t="s">
        <v>21</v>
      </c>
      <c r="D188" s="158">
        <v>-0.88200000000000001</v>
      </c>
      <c r="E188" s="158">
        <v>-1.1480000000000001</v>
      </c>
      <c r="H188" s="498"/>
      <c r="I188" s="498"/>
    </row>
    <row r="189" spans="1:9">
      <c r="A189" s="452"/>
      <c r="B189" s="33"/>
      <c r="C189" s="150" t="s">
        <v>20</v>
      </c>
      <c r="D189" s="158">
        <v>-1.284</v>
      </c>
      <c r="E189" s="158">
        <v>-2.012</v>
      </c>
      <c r="H189" s="498"/>
      <c r="I189" s="498"/>
    </row>
    <row r="190" spans="1:9">
      <c r="A190" s="452"/>
      <c r="B190" s="33"/>
      <c r="C190" s="150" t="s">
        <v>22</v>
      </c>
      <c r="D190" s="158">
        <v>-1.833</v>
      </c>
      <c r="E190" s="158">
        <v>-2.6339999999999999</v>
      </c>
      <c r="H190" s="498"/>
      <c r="I190" s="498"/>
    </row>
    <row r="191" spans="1:9">
      <c r="A191" s="452"/>
      <c r="B191" s="33"/>
      <c r="C191" s="150" t="s">
        <v>23</v>
      </c>
      <c r="D191" s="158">
        <v>-1.9349999999999998</v>
      </c>
      <c r="E191" s="158">
        <v>-2.7879999999999998</v>
      </c>
      <c r="H191" s="498"/>
      <c r="I191" s="498"/>
    </row>
    <row r="192" spans="1:9">
      <c r="A192" s="452"/>
      <c r="B192" s="33"/>
      <c r="C192" s="150" t="s">
        <v>24</v>
      </c>
      <c r="D192" s="158">
        <v>-1.9720000000000002</v>
      </c>
      <c r="E192" s="158">
        <v>-2.8320000000000003</v>
      </c>
      <c r="H192" s="498"/>
      <c r="I192" s="498"/>
    </row>
    <row r="193" spans="1:9">
      <c r="A193" s="452"/>
      <c r="B193" s="33"/>
      <c r="C193" s="150" t="s">
        <v>25</v>
      </c>
      <c r="D193" s="158">
        <v>-1.7000000000000002</v>
      </c>
      <c r="E193" s="158">
        <v>-2.6720000000000002</v>
      </c>
      <c r="H193" s="498"/>
      <c r="I193" s="498"/>
    </row>
    <row r="194" spans="1:9">
      <c r="A194" s="452"/>
      <c r="B194" s="33">
        <v>2020</v>
      </c>
      <c r="C194" s="150" t="s">
        <v>17</v>
      </c>
      <c r="D194" s="158">
        <v>-2.254</v>
      </c>
      <c r="E194" s="158">
        <v>-2.9250000000000003</v>
      </c>
      <c r="H194" s="498"/>
      <c r="I194" s="498"/>
    </row>
    <row r="195" spans="1:9">
      <c r="A195" s="452"/>
      <c r="B195" s="455"/>
      <c r="C195" s="150" t="s">
        <v>18</v>
      </c>
      <c r="D195" s="158">
        <v>-1.9449999999999998</v>
      </c>
      <c r="E195" s="158">
        <v>-2.7730000000000001</v>
      </c>
      <c r="H195" s="498"/>
      <c r="I195" s="498"/>
    </row>
    <row r="196" spans="1:9">
      <c r="A196" s="452"/>
      <c r="B196" s="455"/>
      <c r="C196" s="150" t="s">
        <v>19</v>
      </c>
      <c r="D196" s="158">
        <v>-1.7870000000000001</v>
      </c>
      <c r="E196" s="158">
        <v>-2.911</v>
      </c>
      <c r="H196" s="498"/>
      <c r="I196" s="498"/>
    </row>
    <row r="197" spans="1:9" ht="11.25" customHeight="1">
      <c r="A197" s="452"/>
      <c r="B197" s="455"/>
      <c r="C197" s="150" t="s">
        <v>20</v>
      </c>
      <c r="D197" s="158">
        <v>-2.96</v>
      </c>
      <c r="E197" s="158">
        <v>-4.1630000000000003</v>
      </c>
      <c r="H197" s="498"/>
      <c r="I197" s="498"/>
    </row>
    <row r="198" spans="1:9">
      <c r="A198" s="452"/>
      <c r="B198" s="455"/>
      <c r="C198" s="150" t="s">
        <v>19</v>
      </c>
      <c r="D198" s="158">
        <v>-3.8989999999999996</v>
      </c>
      <c r="E198" s="158">
        <v>-5.024</v>
      </c>
      <c r="H198" s="498"/>
      <c r="I198" s="498"/>
    </row>
    <row r="199" spans="1:9">
      <c r="A199" s="452"/>
      <c r="B199" s="455"/>
      <c r="C199" s="150" t="s">
        <v>21</v>
      </c>
      <c r="D199" s="158">
        <v>-4.4039999999999999</v>
      </c>
      <c r="E199" s="158">
        <v>-5.48</v>
      </c>
      <c r="H199" s="498"/>
      <c r="I199" s="498"/>
    </row>
    <row r="200" spans="1:9">
      <c r="A200" s="452"/>
      <c r="B200" s="33"/>
      <c r="C200" s="150" t="s">
        <v>21</v>
      </c>
      <c r="D200" s="158">
        <v>-4.9039999999999999</v>
      </c>
      <c r="E200" s="158">
        <v>-5.6050000000000004</v>
      </c>
      <c r="H200" s="498"/>
      <c r="I200" s="498"/>
    </row>
    <row r="201" spans="1:9">
      <c r="A201" s="452"/>
      <c r="B201" s="33"/>
      <c r="C201" s="150" t="s">
        <v>20</v>
      </c>
      <c r="D201" s="158">
        <v>-4.7720000000000002</v>
      </c>
      <c r="E201" s="158">
        <v>-5.165</v>
      </c>
      <c r="H201" s="498"/>
      <c r="I201" s="498"/>
    </row>
    <row r="202" spans="1:9">
      <c r="A202" s="452"/>
      <c r="B202" s="33"/>
      <c r="C202" s="150" t="s">
        <v>22</v>
      </c>
      <c r="D202" s="158">
        <v>-4.6890000000000001</v>
      </c>
      <c r="E202" s="158">
        <v>-5.1049999999999995</v>
      </c>
      <c r="H202" s="498"/>
      <c r="I202" s="498"/>
    </row>
    <row r="203" spans="1:9">
      <c r="A203" s="452"/>
      <c r="B203" s="33"/>
      <c r="C203" s="150" t="s">
        <v>23</v>
      </c>
      <c r="D203" s="158">
        <v>-4.8660000000000005</v>
      </c>
      <c r="E203" s="158">
        <v>-5.0129999999999999</v>
      </c>
      <c r="H203" s="498"/>
      <c r="I203" s="498"/>
    </row>
    <row r="204" spans="1:9">
      <c r="A204" s="452"/>
      <c r="B204" s="33"/>
      <c r="C204" s="150" t="s">
        <v>24</v>
      </c>
      <c r="D204" s="158">
        <v>-5.327</v>
      </c>
      <c r="E204" s="158">
        <v>-5.2050000000000001</v>
      </c>
      <c r="H204" s="498"/>
      <c r="I204" s="498"/>
    </row>
    <row r="205" spans="1:9">
      <c r="A205" s="452"/>
      <c r="B205" s="33"/>
      <c r="C205" s="152" t="s">
        <v>25</v>
      </c>
      <c r="D205" s="159">
        <v>-5.1079999999999997</v>
      </c>
      <c r="E205" s="159">
        <v>-5.08</v>
      </c>
      <c r="H205" s="498"/>
      <c r="I205" s="498"/>
    </row>
    <row r="207" spans="1:9">
      <c r="C207" s="157" t="s">
        <v>372</v>
      </c>
    </row>
    <row r="208" spans="1:9" ht="22.5">
      <c r="C208" s="155"/>
      <c r="D208" s="165" t="s">
        <v>122</v>
      </c>
      <c r="E208" s="156" t="s">
        <v>15</v>
      </c>
      <c r="F208" s="156" t="s">
        <v>16</v>
      </c>
      <c r="G208" s="165" t="s">
        <v>76</v>
      </c>
    </row>
    <row r="209" spans="3:9">
      <c r="C209" s="150" t="s">
        <v>2</v>
      </c>
      <c r="D209" s="158">
        <v>-3.0880000000000001</v>
      </c>
      <c r="E209" s="158">
        <v>-1.163</v>
      </c>
      <c r="F209" s="158">
        <v>-0.129</v>
      </c>
      <c r="G209" s="158">
        <v>-1.796</v>
      </c>
    </row>
    <row r="210" spans="3:9">
      <c r="C210" s="150" t="s">
        <v>3</v>
      </c>
      <c r="D210" s="158">
        <v>-1.5610000000000002</v>
      </c>
      <c r="E210" s="158">
        <v>-0.16700000000000001</v>
      </c>
      <c r="F210" s="158">
        <v>-1.429</v>
      </c>
      <c r="G210" s="158">
        <v>3.4999999999999996E-2</v>
      </c>
    </row>
    <row r="211" spans="3:9">
      <c r="C211" s="150" t="s">
        <v>4</v>
      </c>
      <c r="D211" s="158">
        <v>-4.452</v>
      </c>
      <c r="E211" s="158">
        <v>0.377</v>
      </c>
      <c r="F211" s="158">
        <v>1.329</v>
      </c>
      <c r="G211" s="158">
        <v>-6.1580000000000004</v>
      </c>
    </row>
    <row r="212" spans="3:9">
      <c r="C212" s="150" t="s">
        <v>5</v>
      </c>
      <c r="D212" s="158">
        <v>-17.194000000000003</v>
      </c>
      <c r="E212" s="158">
        <v>-1E-3</v>
      </c>
      <c r="F212" s="158">
        <v>-0.46699999999999997</v>
      </c>
      <c r="G212" s="158">
        <v>-16.725999999999999</v>
      </c>
    </row>
    <row r="213" spans="3:9">
      <c r="C213" s="150" t="s">
        <v>6</v>
      </c>
      <c r="D213" s="158">
        <v>-12.748000000000001</v>
      </c>
      <c r="E213" s="158">
        <v>-1.097</v>
      </c>
      <c r="F213" s="158">
        <v>1.4789999999999999</v>
      </c>
      <c r="G213" s="158">
        <v>-13.13</v>
      </c>
    </row>
    <row r="214" spans="3:9">
      <c r="C214" s="150" t="s">
        <v>7</v>
      </c>
      <c r="D214" s="158">
        <v>-8.1</v>
      </c>
      <c r="E214" s="158">
        <v>0.70000000000000007</v>
      </c>
      <c r="F214" s="158">
        <v>-0.52600000000000002</v>
      </c>
      <c r="G214" s="158">
        <v>-8.2739999999999991</v>
      </c>
    </row>
    <row r="215" spans="3:9">
      <c r="C215" s="150" t="s">
        <v>8</v>
      </c>
      <c r="D215" s="158">
        <v>-3.3480000000000003</v>
      </c>
      <c r="E215" s="158">
        <v>0.247</v>
      </c>
      <c r="F215" s="158">
        <v>0.755</v>
      </c>
      <c r="G215" s="158">
        <v>-4.3499999999999996</v>
      </c>
    </row>
    <row r="216" spans="3:9">
      <c r="C216" s="150" t="s">
        <v>9</v>
      </c>
      <c r="D216" s="158">
        <v>-2.0650000000000004</v>
      </c>
      <c r="E216" s="158">
        <v>6.5000000000000002E-2</v>
      </c>
      <c r="F216" s="158">
        <v>0.80800000000000005</v>
      </c>
      <c r="G216" s="158">
        <v>-2.9380000000000002</v>
      </c>
    </row>
    <row r="217" spans="3:9">
      <c r="C217" s="150" t="s">
        <v>10</v>
      </c>
      <c r="D217" s="158">
        <v>-2.8119999999999998</v>
      </c>
      <c r="E217" s="158">
        <v>0.82799999999999996</v>
      </c>
      <c r="F217" s="158">
        <v>0.45799999999999996</v>
      </c>
      <c r="G217" s="158">
        <v>-4.0979999999999999</v>
      </c>
    </row>
    <row r="218" spans="3:9">
      <c r="C218" s="150" t="s">
        <v>11</v>
      </c>
      <c r="D218" s="158">
        <v>-2.8240000000000003</v>
      </c>
      <c r="E218" s="158">
        <v>-1.038</v>
      </c>
      <c r="F218" s="158">
        <v>-1.0720000000000001</v>
      </c>
      <c r="G218" s="158">
        <v>-0.71399999999999997</v>
      </c>
    </row>
    <row r="219" spans="3:9">
      <c r="C219" s="150" t="s">
        <v>12</v>
      </c>
      <c r="D219" s="158">
        <v>-5.915</v>
      </c>
      <c r="E219" s="158">
        <v>0.13400000000000001</v>
      </c>
      <c r="F219" s="158">
        <v>-2.448</v>
      </c>
      <c r="G219" s="158">
        <v>-3.601</v>
      </c>
    </row>
    <row r="220" spans="3:9">
      <c r="C220" s="152" t="s">
        <v>13</v>
      </c>
      <c r="D220" s="159">
        <v>1.4019999999999999</v>
      </c>
      <c r="E220" s="159">
        <v>-6.3E-2</v>
      </c>
      <c r="F220" s="159">
        <v>1.39</v>
      </c>
      <c r="G220" s="159">
        <v>7.4999999999999997E-2</v>
      </c>
    </row>
    <row r="222" spans="3:9">
      <c r="C222" s="157" t="s">
        <v>125</v>
      </c>
    </row>
    <row r="223" spans="3:9" ht="11.25" customHeight="1">
      <c r="C223" s="175"/>
      <c r="D223" s="548" t="s">
        <v>64</v>
      </c>
      <c r="E223" s="548"/>
      <c r="F223" s="548" t="s">
        <v>124</v>
      </c>
      <c r="G223" s="548"/>
    </row>
    <row r="224" spans="3:9" ht="11.25" customHeight="1">
      <c r="C224" s="168">
        <v>2016</v>
      </c>
      <c r="D224" s="169" t="s">
        <v>268</v>
      </c>
      <c r="E224" s="170">
        <v>38085.987000000001</v>
      </c>
      <c r="F224" s="170">
        <v>783.27083900000002</v>
      </c>
      <c r="G224" s="171" t="s">
        <v>138</v>
      </c>
      <c r="H224" s="40"/>
      <c r="I224" s="40"/>
    </row>
    <row r="225" spans="3:9">
      <c r="C225" s="168">
        <v>2017</v>
      </c>
      <c r="D225" s="169" t="s">
        <v>270</v>
      </c>
      <c r="E225" s="170">
        <v>40960.58</v>
      </c>
      <c r="F225" s="170">
        <v>844.11916199999996</v>
      </c>
      <c r="G225" s="171" t="s">
        <v>139</v>
      </c>
      <c r="H225" s="40"/>
      <c r="I225" s="40"/>
    </row>
    <row r="226" spans="3:9">
      <c r="C226" s="168">
        <v>2018</v>
      </c>
      <c r="D226" s="169" t="s">
        <v>272</v>
      </c>
      <c r="E226" s="170">
        <v>40611.154000000002</v>
      </c>
      <c r="F226" s="170">
        <v>835.89350000000002</v>
      </c>
      <c r="G226" s="171" t="s">
        <v>136</v>
      </c>
      <c r="H226" s="40"/>
      <c r="I226" s="40"/>
    </row>
    <row r="227" spans="3:9">
      <c r="C227" s="168">
        <v>2019</v>
      </c>
      <c r="D227" s="171" t="s">
        <v>335</v>
      </c>
      <c r="E227" s="170">
        <v>40136.264999999999</v>
      </c>
      <c r="F227" s="170">
        <v>824.00125800000001</v>
      </c>
      <c r="G227" s="171" t="s">
        <v>332</v>
      </c>
      <c r="H227" s="40"/>
      <c r="I227" s="40"/>
    </row>
    <row r="228" spans="3:9">
      <c r="C228" s="172">
        <v>2020</v>
      </c>
      <c r="D228" s="173" t="s">
        <v>379</v>
      </c>
      <c r="E228" s="174">
        <v>39997.188999999998</v>
      </c>
      <c r="F228" s="174">
        <v>819.60931900000003</v>
      </c>
      <c r="G228" s="173" t="s">
        <v>381</v>
      </c>
      <c r="H228" s="40"/>
      <c r="I228" s="40"/>
    </row>
    <row r="230" spans="3:9">
      <c r="C230" s="157" t="s">
        <v>126</v>
      </c>
    </row>
    <row r="231" spans="3:9">
      <c r="C231" s="175"/>
      <c r="D231" s="548" t="s">
        <v>64</v>
      </c>
      <c r="E231" s="548"/>
      <c r="F231" s="548" t="s">
        <v>124</v>
      </c>
      <c r="G231" s="548"/>
    </row>
    <row r="232" spans="3:9">
      <c r="C232" s="168">
        <v>2016</v>
      </c>
      <c r="D232" s="169" t="s">
        <v>269</v>
      </c>
      <c r="E232" s="170">
        <v>40043.813999999998</v>
      </c>
      <c r="F232" s="170">
        <v>817.42597000000001</v>
      </c>
      <c r="G232" s="171" t="s">
        <v>134</v>
      </c>
      <c r="H232" s="40"/>
      <c r="I232" s="42"/>
    </row>
    <row r="233" spans="3:9">
      <c r="C233" s="168">
        <v>2017</v>
      </c>
      <c r="D233" s="169" t="s">
        <v>271</v>
      </c>
      <c r="E233" s="170">
        <v>39301.834999999999</v>
      </c>
      <c r="F233" s="170">
        <v>813.75465099999997</v>
      </c>
      <c r="G233" s="171" t="s">
        <v>135</v>
      </c>
      <c r="H233" s="40"/>
      <c r="I233" s="42"/>
    </row>
    <row r="234" spans="3:9">
      <c r="C234" s="168">
        <v>2018</v>
      </c>
      <c r="D234" s="169" t="s">
        <v>273</v>
      </c>
      <c r="E234" s="170">
        <v>39701.370000000003</v>
      </c>
      <c r="F234" s="170">
        <v>806.03012000000001</v>
      </c>
      <c r="G234" s="171" t="s">
        <v>137</v>
      </c>
      <c r="H234" s="40"/>
      <c r="I234" s="42"/>
    </row>
    <row r="235" spans="3:9">
      <c r="C235" s="168">
        <v>2019</v>
      </c>
      <c r="D235" s="171" t="s">
        <v>336</v>
      </c>
      <c r="E235" s="170">
        <v>39382.936999999998</v>
      </c>
      <c r="F235" s="170">
        <v>808.54011500000001</v>
      </c>
      <c r="G235" s="171" t="s">
        <v>333</v>
      </c>
      <c r="H235" s="40"/>
      <c r="I235" s="42"/>
    </row>
    <row r="236" spans="3:9">
      <c r="C236" s="172">
        <v>2020</v>
      </c>
      <c r="D236" s="173" t="s">
        <v>380</v>
      </c>
      <c r="E236" s="174">
        <v>38466.773999999998</v>
      </c>
      <c r="F236" s="174">
        <v>779.82743799999992</v>
      </c>
      <c r="G236" s="173" t="s">
        <v>382</v>
      </c>
      <c r="H236" s="40"/>
      <c r="I236" s="42"/>
    </row>
    <row r="238" spans="3:9">
      <c r="C238" s="197" t="s">
        <v>373</v>
      </c>
      <c r="D238" s="197"/>
      <c r="E238" s="197"/>
      <c r="F238" s="197"/>
    </row>
    <row r="239" spans="3:9">
      <c r="C239" s="198"/>
      <c r="D239" s="199"/>
      <c r="E239" s="200" t="s">
        <v>31</v>
      </c>
      <c r="F239" s="200" t="s">
        <v>14</v>
      </c>
    </row>
    <row r="240" spans="3:9">
      <c r="C240" s="201" t="s">
        <v>67</v>
      </c>
      <c r="D240" s="202"/>
      <c r="E240" s="203">
        <f>SUM(D68:F68,H68,J68:M68,O68:R68,T68:V68)</f>
        <v>3328.8900000000003</v>
      </c>
      <c r="F240" s="204">
        <f>(E240/$E$252*100)</f>
        <v>3.1636185312754646</v>
      </c>
      <c r="I240" s="40"/>
    </row>
    <row r="241" spans="3:9">
      <c r="C241" s="205" t="s">
        <v>27</v>
      </c>
      <c r="D241" s="206" t="str">
        <f>C241&amp;" "&amp;TEXT(F241,"0,0")&amp;" %"</f>
        <v>Nuclear 6,8 %</v>
      </c>
      <c r="E241" s="203">
        <f>SUM(D69:F69,H69,J69:M69,O69:R69,T69:V69)</f>
        <v>7117.29</v>
      </c>
      <c r="F241" s="204">
        <f>(E241/$E$252*100)</f>
        <v>6.763933484273001</v>
      </c>
      <c r="I241" s="40"/>
    </row>
    <row r="242" spans="3:9">
      <c r="C242" s="205" t="s">
        <v>28</v>
      </c>
      <c r="D242" s="206" t="str">
        <f t="shared" ref="D242:D249" si="34">C242&amp;" "&amp;TEXT(F242,"0,0")&amp;" %"</f>
        <v>Carbón 5,2 %</v>
      </c>
      <c r="E242" s="203">
        <f>SUM(D70:F70,H70,J70:M70,O70:R70,T70:V70)</f>
        <v>5492.0249999999996</v>
      </c>
      <c r="F242" s="204">
        <f>(E242/$E$252*100)</f>
        <v>5.2193590248485622</v>
      </c>
      <c r="I242" s="40"/>
    </row>
    <row r="243" spans="3:9">
      <c r="C243" s="205" t="s">
        <v>44</v>
      </c>
      <c r="D243" s="206" t="str">
        <f t="shared" si="34"/>
        <v>Ciclo combinado 23,3 %</v>
      </c>
      <c r="E243" s="203">
        <f>SUM(D72:F72,H72,J72:M72,O72:R72,T72:V72)</f>
        <v>24561.86</v>
      </c>
      <c r="F243" s="204">
        <f>(E243/$E$252*100)</f>
        <v>23.342422086219003</v>
      </c>
      <c r="I243" s="40"/>
    </row>
    <row r="244" spans="3:9">
      <c r="C244" s="205" t="s">
        <v>73</v>
      </c>
      <c r="D244" s="206" t="str">
        <f t="shared" si="34"/>
        <v>Cogeneración 5,3 %</v>
      </c>
      <c r="E244" s="203">
        <f>SUM(D78:F78,H78,J78:M78,O78:R78,T78:V78)</f>
        <v>5621.9655000000002</v>
      </c>
      <c r="F244" s="204">
        <f>(E244/$E$252*100)</f>
        <v>5.3428482881655244</v>
      </c>
      <c r="I244" s="40"/>
    </row>
    <row r="245" spans="3:9">
      <c r="C245" s="205" t="s">
        <v>90</v>
      </c>
      <c r="D245" s="206"/>
      <c r="E245" s="203">
        <f>SUM(D79:F79,H79,J79:M79,O79:R79,T79:V79)</f>
        <v>438.49349999999998</v>
      </c>
      <c r="F245" s="204">
        <f t="shared" ref="F245:F251" si="35">(E245/$E$252*100)</f>
        <v>0.41672334094663316</v>
      </c>
      <c r="I245" s="40"/>
    </row>
    <row r="246" spans="3:9">
      <c r="C246" s="205" t="s">
        <v>91</v>
      </c>
      <c r="D246" s="206" t="str">
        <f t="shared" si="34"/>
        <v>Residuos renovables 0,1 %</v>
      </c>
      <c r="E246" s="203">
        <f>SUM(D80:F80,H80,J80:M80,O80:R80,T80:V80)</f>
        <v>118.83750000000001</v>
      </c>
      <c r="F246" s="204">
        <f t="shared" si="35"/>
        <v>0.1129375008517698</v>
      </c>
      <c r="I246" s="40"/>
    </row>
    <row r="247" spans="3:9">
      <c r="C247" s="205" t="s">
        <v>50</v>
      </c>
      <c r="D247" s="206" t="str">
        <f t="shared" si="34"/>
        <v>Eólica 25,5 %</v>
      </c>
      <c r="E247" s="203">
        <f>SUM(D74:F74,H74,J74:M74,O74:R74,T74:V74)</f>
        <v>26810.733500000006</v>
      </c>
      <c r="F247" s="204">
        <f t="shared" si="35"/>
        <v>25.479644367247911</v>
      </c>
      <c r="I247" s="40"/>
    </row>
    <row r="248" spans="3:9">
      <c r="C248" s="205" t="s">
        <v>26</v>
      </c>
      <c r="D248" s="206" t="str">
        <f t="shared" si="34"/>
        <v>Hidráulica 16,2 %</v>
      </c>
      <c r="E248" s="203">
        <f>SUM(D67:F67,H67,J67:M67,O67:R67,T67:V67)</f>
        <v>17082.747230000001</v>
      </c>
      <c r="F248" s="204">
        <f t="shared" si="35"/>
        <v>16.234629471662508</v>
      </c>
      <c r="I248" s="40"/>
    </row>
    <row r="249" spans="3:9">
      <c r="C249" s="205" t="s">
        <v>51</v>
      </c>
      <c r="D249" s="206" t="str">
        <f t="shared" si="34"/>
        <v>Solar fotovoltaica 10,7 %</v>
      </c>
      <c r="E249" s="203">
        <f>SUM(D75:F75,H75,J75:M75,O75:R75,T75:V75)</f>
        <v>11276.678366000127</v>
      </c>
      <c r="F249" s="204">
        <f t="shared" si="35"/>
        <v>10.716818113518659</v>
      </c>
      <c r="I249" s="40"/>
    </row>
    <row r="250" spans="3:9">
      <c r="C250" s="205" t="s">
        <v>66</v>
      </c>
      <c r="D250" s="206"/>
      <c r="E250" s="203">
        <f>SUM(D76:F76,H76,J76:M76,O76:R76,T76:V76)</f>
        <v>2304.0129999999999</v>
      </c>
      <c r="F250" s="204">
        <f t="shared" si="35"/>
        <v>2.1896242360365097</v>
      </c>
      <c r="I250" s="40"/>
    </row>
    <row r="251" spans="3:9">
      <c r="C251" s="205" t="s">
        <v>75</v>
      </c>
      <c r="D251" s="206"/>
      <c r="E251" s="203">
        <f>SUM(D77:F77,H77,J77:M77,O77:R77,T77:V77)</f>
        <v>1070.5939999999998</v>
      </c>
      <c r="F251" s="204">
        <f t="shared" si="35"/>
        <v>1.0174415549544515</v>
      </c>
      <c r="I251" s="40"/>
    </row>
    <row r="252" spans="3:9">
      <c r="C252" s="207" t="s">
        <v>32</v>
      </c>
      <c r="D252" s="208"/>
      <c r="E252" s="209">
        <f>SUM(E240:E251)</f>
        <v>105224.12759600014</v>
      </c>
      <c r="F252" s="210">
        <f>SUM(F240:F251)</f>
        <v>100</v>
      </c>
      <c r="I252" s="40"/>
    </row>
    <row r="254" spans="3:9">
      <c r="C254" s="197" t="s">
        <v>313</v>
      </c>
      <c r="D254" s="197"/>
      <c r="E254" s="197"/>
      <c r="F254" s="197"/>
    </row>
    <row r="255" spans="3:9">
      <c r="C255" s="198"/>
      <c r="D255" s="199"/>
      <c r="E255" s="200" t="s">
        <v>1</v>
      </c>
      <c r="F255" s="200" t="s">
        <v>14</v>
      </c>
    </row>
    <row r="256" spans="3:9">
      <c r="C256" s="201" t="s">
        <v>142</v>
      </c>
      <c r="D256" s="202"/>
      <c r="E256" s="203">
        <f>G320</f>
        <v>1645.505056342</v>
      </c>
      <c r="F256" s="204">
        <f>E256/$E$269*100</f>
        <v>0.64789059651304448</v>
      </c>
      <c r="G256" s="391">
        <f>(E256/SUM($E$256:$E$267)*100)</f>
        <v>0.66588225430884218</v>
      </c>
    </row>
    <row r="257" spans="3:7">
      <c r="C257" s="205" t="s">
        <v>27</v>
      </c>
      <c r="D257" s="206" t="str">
        <f>C257&amp;" "&amp;TEXT(F257,"0,0")&amp;" %"</f>
        <v>Nuclear 22,0 %</v>
      </c>
      <c r="E257" s="203">
        <f>G321</f>
        <v>55824.226774999996</v>
      </c>
      <c r="F257" s="204">
        <f t="shared" ref="F257:F267" si="36">E257/$E$269*100</f>
        <v>21.979872651097523</v>
      </c>
      <c r="G257" s="391">
        <f t="shared" ref="G257:G267" si="37">(E257/SUM($E$256:$E$267)*100)</f>
        <v>22.590244755990078</v>
      </c>
    </row>
    <row r="258" spans="3:7">
      <c r="C258" s="205" t="s">
        <v>28</v>
      </c>
      <c r="D258" s="206" t="str">
        <f t="shared" ref="D258:D260" si="38">C258&amp;" "&amp;TEXT(F258,"0,0")&amp;" %"</f>
        <v>Carbón 4,2 %</v>
      </c>
      <c r="E258" s="203">
        <f>G322</f>
        <v>10670.697703</v>
      </c>
      <c r="F258" s="204">
        <f t="shared" si="36"/>
        <v>4.2014120062175975</v>
      </c>
      <c r="G258" s="391">
        <f t="shared" si="37"/>
        <v>4.3180835052050064</v>
      </c>
    </row>
    <row r="259" spans="3:7">
      <c r="C259" s="205" t="s">
        <v>44</v>
      </c>
      <c r="D259" s="206" t="str">
        <f t="shared" si="38"/>
        <v>Ciclo combinado 20,1 %</v>
      </c>
      <c r="E259" s="203">
        <f>G324</f>
        <v>51143.255619000003</v>
      </c>
      <c r="F259" s="204">
        <f t="shared" si="36"/>
        <v>20.136817120619188</v>
      </c>
      <c r="G259" s="391">
        <f t="shared" si="37"/>
        <v>20.696008324628963</v>
      </c>
    </row>
    <row r="260" spans="3:7">
      <c r="C260" s="205" t="s">
        <v>73</v>
      </c>
      <c r="D260" s="206" t="str">
        <f t="shared" si="38"/>
        <v>Cogeneración 11,6 %</v>
      </c>
      <c r="E260" s="203">
        <f>G329</f>
        <v>29580.711578999999</v>
      </c>
      <c r="F260" s="204">
        <f t="shared" si="36"/>
        <v>11.646919464837783</v>
      </c>
      <c r="G260" s="391">
        <f t="shared" si="37"/>
        <v>11.970349671286778</v>
      </c>
    </row>
    <row r="261" spans="3:7">
      <c r="C261" s="205" t="s">
        <v>90</v>
      </c>
      <c r="D261" s="206"/>
      <c r="E261" s="203">
        <f>G330</f>
        <v>2071.6030475000002</v>
      </c>
      <c r="F261" s="204">
        <f t="shared" si="36"/>
        <v>0.81565968394329891</v>
      </c>
      <c r="G261" s="391">
        <f t="shared" si="37"/>
        <v>0.83831022091716101</v>
      </c>
    </row>
    <row r="262" spans="3:7">
      <c r="C262" s="205" t="s">
        <v>91</v>
      </c>
      <c r="D262" s="206" t="str">
        <f t="shared" ref="D262:D266" si="39">C262&amp;" "&amp;TEXT(F262,"0,0")&amp;" %"</f>
        <v>Residuos renovables 0,3 %</v>
      </c>
      <c r="E262" s="203">
        <f>G331</f>
        <v>738.95349049999993</v>
      </c>
      <c r="F262" s="204">
        <f t="shared" si="36"/>
        <v>0.29095080316540584</v>
      </c>
      <c r="G262" s="391">
        <f t="shared" si="37"/>
        <v>0.29903038838262869</v>
      </c>
    </row>
    <row r="263" spans="3:7">
      <c r="C263" s="205" t="s">
        <v>50</v>
      </c>
      <c r="D263" s="206" t="str">
        <f t="shared" si="39"/>
        <v>Eólica 20,9 %</v>
      </c>
      <c r="E263" s="203">
        <f>G325</f>
        <v>53100.854504000003</v>
      </c>
      <c r="F263" s="204">
        <f t="shared" si="36"/>
        <v>20.907589537542297</v>
      </c>
      <c r="G263" s="391">
        <f t="shared" si="37"/>
        <v>21.488184777416084</v>
      </c>
    </row>
    <row r="264" spans="3:7">
      <c r="C264" s="205" t="s">
        <v>26</v>
      </c>
      <c r="D264" s="206" t="str">
        <f t="shared" si="39"/>
        <v>Hidráulica 9,7 %</v>
      </c>
      <c r="E264" s="203">
        <f>G319</f>
        <v>24715.505746512001</v>
      </c>
      <c r="F264" s="204">
        <f t="shared" si="36"/>
        <v>9.7313245556512751</v>
      </c>
      <c r="G264" s="391">
        <f t="shared" si="37"/>
        <v>10.001559472236602</v>
      </c>
    </row>
    <row r="265" spans="3:7">
      <c r="C265" s="205" t="s">
        <v>51</v>
      </c>
      <c r="D265" s="206" t="str">
        <f t="shared" si="39"/>
        <v>Solar fotovoltaica 3,5 %</v>
      </c>
      <c r="E265" s="203">
        <f>G326</f>
        <v>8851.9733770000094</v>
      </c>
      <c r="F265" s="204">
        <f t="shared" si="36"/>
        <v>3.4853191665611902</v>
      </c>
      <c r="G265" s="391">
        <f t="shared" si="37"/>
        <v>3.5821050592588035</v>
      </c>
    </row>
    <row r="266" spans="3:7">
      <c r="C266" s="205" t="s">
        <v>66</v>
      </c>
      <c r="D266" s="206" t="str">
        <f t="shared" si="39"/>
        <v>Solar térmica 2,0 %</v>
      </c>
      <c r="E266" s="203">
        <f>G327</f>
        <v>5166.4311449999996</v>
      </c>
      <c r="F266" s="204">
        <f t="shared" si="36"/>
        <v>2.0341974298266301</v>
      </c>
      <c r="G266" s="391">
        <f t="shared" si="37"/>
        <v>2.0906862633480707</v>
      </c>
    </row>
    <row r="267" spans="3:7">
      <c r="C267" s="205" t="s">
        <v>75</v>
      </c>
      <c r="D267" s="206"/>
      <c r="E267" s="203">
        <f>G328</f>
        <v>3606.802287</v>
      </c>
      <c r="F267" s="204">
        <f t="shared" si="36"/>
        <v>1.4201191763116419</v>
      </c>
      <c r="G267" s="391">
        <f t="shared" si="37"/>
        <v>1.459555307020995</v>
      </c>
    </row>
    <row r="268" spans="3:7" ht="22.5">
      <c r="C268" s="212" t="s">
        <v>143</v>
      </c>
      <c r="D268" s="206" t="str">
        <f t="shared" ref="D268" si="40">C268&amp;" "&amp;TEXT(F268,"0,0")&amp;" %"</f>
        <v>Saldo importador intercambios internacionales 2,7 %</v>
      </c>
      <c r="E268" s="203">
        <f>G335</f>
        <v>6862.325049</v>
      </c>
      <c r="F268" s="204">
        <f>E268/$E$269*100</f>
        <v>2.7019278077131341</v>
      </c>
      <c r="G268" s="33"/>
    </row>
    <row r="269" spans="3:7">
      <c r="C269" s="213" t="s">
        <v>32</v>
      </c>
      <c r="D269" s="208"/>
      <c r="E269" s="209">
        <f>SUM(E256:E268)</f>
        <v>253978.84537885399</v>
      </c>
      <c r="F269" s="210">
        <f>SUM(F256:F268)</f>
        <v>100.00000000000001</v>
      </c>
      <c r="G269" s="505">
        <f>SUM(G256:G268)</f>
        <v>100.00000000000001</v>
      </c>
    </row>
    <row r="271" spans="3:7">
      <c r="C271" s="197" t="s">
        <v>374</v>
      </c>
      <c r="D271" s="197"/>
      <c r="E271" s="197"/>
      <c r="F271" s="197"/>
    </row>
    <row r="272" spans="3:7">
      <c r="C272" s="198"/>
      <c r="D272" s="199"/>
      <c r="E272" s="200" t="s">
        <v>1</v>
      </c>
      <c r="F272" s="200" t="s">
        <v>14</v>
      </c>
    </row>
    <row r="273" spans="3:7">
      <c r="C273" s="201" t="s">
        <v>142</v>
      </c>
      <c r="D273" s="202"/>
      <c r="E273" s="203">
        <f>H320</f>
        <v>2745.920393458</v>
      </c>
      <c r="F273" s="204">
        <f>E273/$E$286*100</f>
        <v>1.1320041516572845</v>
      </c>
      <c r="G273" s="391">
        <f>E273/SUM($E$273:$E$284)*100</f>
        <v>1.1475186850839989</v>
      </c>
    </row>
    <row r="274" spans="3:7">
      <c r="C274" s="205" t="s">
        <v>27</v>
      </c>
      <c r="D274" s="206" t="str">
        <f>C274&amp;" "&amp;TEXT(F274,"0,0")&amp;" %"</f>
        <v>Nuclear 23,0 %</v>
      </c>
      <c r="E274" s="203">
        <f>H321</f>
        <v>55756.795616999996</v>
      </c>
      <c r="F274" s="204">
        <f t="shared" ref="F274:F285" si="41">E274/$E$286*100</f>
        <v>22.985707914884632</v>
      </c>
      <c r="G274" s="391">
        <f>E274/SUM($E$273:$E$284)*100</f>
        <v>23.300735499598062</v>
      </c>
    </row>
    <row r="275" spans="3:7">
      <c r="C275" s="205" t="s">
        <v>28</v>
      </c>
      <c r="D275" s="206" t="str">
        <f t="shared" ref="D275:D285" si="42">C275&amp;" "&amp;TEXT(F275,"0,0")&amp;" %"</f>
        <v>Carbón 2,0 %</v>
      </c>
      <c r="E275" s="203">
        <f>H322</f>
        <v>4800.3326630000001</v>
      </c>
      <c r="F275" s="204">
        <f t="shared" si="41"/>
        <v>1.978934464669208</v>
      </c>
      <c r="G275" s="391">
        <f>E275/SUM($E$273:$E$284)*100</f>
        <v>2.006056489669239</v>
      </c>
    </row>
    <row r="276" spans="3:7">
      <c r="C276" s="205" t="s">
        <v>44</v>
      </c>
      <c r="D276" s="206" t="str">
        <f t="shared" si="42"/>
        <v>Ciclo combinado 15,8 %</v>
      </c>
      <c r="E276" s="203">
        <f>H324</f>
        <v>38357.400994999996</v>
      </c>
      <c r="F276" s="204">
        <f t="shared" si="41"/>
        <v>15.81281718019601</v>
      </c>
      <c r="G276" s="391">
        <f>E276/SUM($E$273:$E$284)*100</f>
        <v>16.029537658078983</v>
      </c>
    </row>
    <row r="277" spans="3:7">
      <c r="C277" s="205" t="s">
        <v>73</v>
      </c>
      <c r="D277" s="206" t="str">
        <f t="shared" si="42"/>
        <v>Cogeneración 11,1 %</v>
      </c>
      <c r="E277" s="203">
        <f>H329</f>
        <v>26918.731909000002</v>
      </c>
      <c r="F277" s="204">
        <f t="shared" si="41"/>
        <v>11.097232225280642</v>
      </c>
      <c r="G277" s="391">
        <f>E277/SUM($E$273:$E$284)*100</f>
        <v>11.249323876226507</v>
      </c>
    </row>
    <row r="278" spans="3:7">
      <c r="C278" s="205" t="s">
        <v>90</v>
      </c>
      <c r="D278" s="206"/>
      <c r="E278" s="203">
        <f>H330</f>
        <v>1895.2394715</v>
      </c>
      <c r="F278" s="204">
        <f t="shared" si="41"/>
        <v>0.78131141574027307</v>
      </c>
      <c r="G278" s="391">
        <f t="shared" ref="G278:G284" si="43">E278/SUM($E$273:$E$284)*100</f>
        <v>0.79201957618158381</v>
      </c>
    </row>
    <row r="279" spans="3:7">
      <c r="C279" s="205" t="s">
        <v>91</v>
      </c>
      <c r="D279" s="206" t="str">
        <f t="shared" si="42"/>
        <v>Residuos renovables 0,2 %</v>
      </c>
      <c r="E279" s="203">
        <f>H331</f>
        <v>605.8785415000001</v>
      </c>
      <c r="F279" s="204">
        <f t="shared" si="41"/>
        <v>0.24977309102335085</v>
      </c>
      <c r="G279" s="391">
        <f t="shared" si="43"/>
        <v>0.25319632314145069</v>
      </c>
    </row>
    <row r="280" spans="3:7">
      <c r="C280" s="205" t="s">
        <v>50</v>
      </c>
      <c r="D280" s="206" t="str">
        <f t="shared" si="42"/>
        <v>Eólica 22,2 %</v>
      </c>
      <c r="E280" s="203">
        <f>H325</f>
        <v>53774.788501000003</v>
      </c>
      <c r="F280" s="204">
        <f t="shared" si="41"/>
        <v>22.168626586062565</v>
      </c>
      <c r="G280" s="391">
        <f t="shared" si="43"/>
        <v>22.472455770514131</v>
      </c>
    </row>
    <row r="281" spans="3:7">
      <c r="C281" s="205" t="s">
        <v>26</v>
      </c>
      <c r="D281" s="206" t="str">
        <f t="shared" si="42"/>
        <v>Hidráulica 12,6 %</v>
      </c>
      <c r="E281" s="203">
        <f>H319</f>
        <v>30545.181752445998</v>
      </c>
      <c r="F281" s="204">
        <f t="shared" si="41"/>
        <v>12.592234151898063</v>
      </c>
      <c r="G281" s="391">
        <f t="shared" si="43"/>
        <v>12.764815354343851</v>
      </c>
    </row>
    <row r="282" spans="3:7">
      <c r="C282" s="205" t="s">
        <v>51</v>
      </c>
      <c r="D282" s="206" t="str">
        <f t="shared" si="42"/>
        <v>Solar fotovoltaica 6,1 %</v>
      </c>
      <c r="E282" s="203">
        <f>H326</f>
        <v>14885.490851</v>
      </c>
      <c r="F282" s="204">
        <f t="shared" si="41"/>
        <v>6.1365353063161399</v>
      </c>
      <c r="G282" s="391">
        <f t="shared" si="43"/>
        <v>6.2206387806670707</v>
      </c>
    </row>
    <row r="283" spans="3:7">
      <c r="C283" s="205" t="s">
        <v>66</v>
      </c>
      <c r="D283" s="206" t="str">
        <f t="shared" si="42"/>
        <v>Solar térmica 1,9 %</v>
      </c>
      <c r="E283" s="203">
        <f>H327</f>
        <v>4538.3012419999995</v>
      </c>
      <c r="F283" s="204">
        <f t="shared" si="41"/>
        <v>1.8709121574153851</v>
      </c>
      <c r="G283" s="391">
        <f t="shared" si="43"/>
        <v>1.8965536969469954</v>
      </c>
    </row>
    <row r="284" spans="3:7">
      <c r="C284" s="205" t="s">
        <v>75</v>
      </c>
      <c r="D284" s="206"/>
      <c r="E284" s="203">
        <f>H328</f>
        <v>4467.936455</v>
      </c>
      <c r="F284" s="204">
        <f t="shared" si="41"/>
        <v>1.8419043131951922</v>
      </c>
      <c r="G284" s="391">
        <f t="shared" si="43"/>
        <v>1.867148289548141</v>
      </c>
    </row>
    <row r="285" spans="3:7" ht="22.5">
      <c r="C285" s="212" t="s">
        <v>143</v>
      </c>
      <c r="D285" s="206" t="str">
        <f t="shared" si="42"/>
        <v>Saldo importador intercambios internacionales 1,4 %</v>
      </c>
      <c r="E285" s="203">
        <f>H335</f>
        <v>3279.584887</v>
      </c>
      <c r="F285" s="204">
        <f t="shared" si="41"/>
        <v>1.3520070416612644</v>
      </c>
      <c r="G285" s="33"/>
    </row>
    <row r="286" spans="3:7">
      <c r="C286" s="213" t="s">
        <v>32</v>
      </c>
      <c r="D286" s="208"/>
      <c r="E286" s="209">
        <f>SUM(E273:E285)</f>
        <v>242571.58327890397</v>
      </c>
      <c r="F286" s="210">
        <f>SUM(F273:F285)</f>
        <v>100.00000000000001</v>
      </c>
      <c r="G286" s="505">
        <f>SUM(G273:G285)</f>
        <v>100.00000000000001</v>
      </c>
    </row>
    <row r="288" spans="3:7">
      <c r="C288" s="457" t="s">
        <v>375</v>
      </c>
      <c r="D288" s="197"/>
      <c r="E288" s="197"/>
      <c r="F288" s="197"/>
    </row>
    <row r="289" spans="3:8">
      <c r="C289" s="198"/>
      <c r="D289" s="199"/>
      <c r="E289" s="200" t="s">
        <v>280</v>
      </c>
      <c r="F289" s="200" t="s">
        <v>14</v>
      </c>
    </row>
    <row r="290" spans="3:8">
      <c r="C290" s="201" t="s">
        <v>142</v>
      </c>
      <c r="D290" s="202"/>
      <c r="E290" s="203">
        <v>851.50099999999998</v>
      </c>
      <c r="F290" s="204">
        <f>E290/SUM($E$290:$E$302)*100</f>
        <v>2.1136656303056447</v>
      </c>
      <c r="G290" s="456">
        <f>E290/SUM($E$290:$E$301)*100</f>
        <v>2.1849809640011784</v>
      </c>
      <c r="H290" s="490"/>
    </row>
    <row r="291" spans="3:8">
      <c r="C291" s="205" t="s">
        <v>27</v>
      </c>
      <c r="D291" s="206" t="str">
        <f>C291&amp;" "&amp;TEXT(F291,"0,0")&amp;" %"</f>
        <v>Nuclear 17,6 %</v>
      </c>
      <c r="E291" s="203">
        <v>7107.3819999999996</v>
      </c>
      <c r="F291" s="204">
        <f t="shared" ref="F291:F302" si="44">E291/SUM($E$290:$E$302)*100</f>
        <v>17.642526614593514</v>
      </c>
      <c r="G291" s="456">
        <f t="shared" ref="G291:G301" si="45">E291/SUM($E$290:$E$301)*100</f>
        <v>18.2377875937722</v>
      </c>
      <c r="H291" s="490"/>
    </row>
    <row r="292" spans="3:8">
      <c r="C292" s="205" t="s">
        <v>28</v>
      </c>
      <c r="D292" s="206" t="str">
        <f t="shared" ref="D292:D294" si="46">C292&amp;" "&amp;TEXT(F292,"0,0")&amp;" %"</f>
        <v>Carbón 3,7 %</v>
      </c>
      <c r="E292" s="203">
        <v>1503.5170000000001</v>
      </c>
      <c r="F292" s="204">
        <f t="shared" si="44"/>
        <v>3.7321532299788873</v>
      </c>
      <c r="G292" s="456">
        <f t="shared" si="45"/>
        <v>3.8580765307993294</v>
      </c>
      <c r="H292" s="490"/>
    </row>
    <row r="293" spans="3:8">
      <c r="C293" s="205" t="s">
        <v>44</v>
      </c>
      <c r="D293" s="206" t="str">
        <f t="shared" si="46"/>
        <v>Ciclo combinado 11,9 %</v>
      </c>
      <c r="E293" s="203">
        <v>4806.7830000000004</v>
      </c>
      <c r="F293" s="204">
        <f t="shared" si="44"/>
        <v>11.931791060066235</v>
      </c>
      <c r="G293" s="456">
        <f t="shared" si="45"/>
        <v>12.334371131783142</v>
      </c>
      <c r="H293" s="490"/>
    </row>
    <row r="294" spans="3:8">
      <c r="C294" s="205" t="s">
        <v>73</v>
      </c>
      <c r="D294" s="206" t="str">
        <f t="shared" si="46"/>
        <v>Cogeneración 8,5 %</v>
      </c>
      <c r="E294" s="203">
        <v>3441.07</v>
      </c>
      <c r="F294" s="204">
        <f t="shared" si="44"/>
        <v>8.5417062228650877</v>
      </c>
      <c r="G294" s="456">
        <f t="shared" si="45"/>
        <v>8.8299044226554457</v>
      </c>
      <c r="H294" s="490"/>
    </row>
    <row r="295" spans="3:8">
      <c r="C295" s="205" t="s">
        <v>90</v>
      </c>
      <c r="D295" s="206"/>
      <c r="E295" s="203">
        <v>240.04349999999999</v>
      </c>
      <c r="F295" s="204">
        <f t="shared" si="44"/>
        <v>0.59585566632132325</v>
      </c>
      <c r="G295" s="456">
        <f t="shared" si="45"/>
        <v>0.61595990848186544</v>
      </c>
      <c r="H295" s="490"/>
    </row>
    <row r="296" spans="3:8">
      <c r="C296" s="205" t="s">
        <v>91</v>
      </c>
      <c r="D296" s="206" t="str">
        <f t="shared" ref="D296:D300" si="47">C296&amp;" "&amp;TEXT(F296,"0,0")&amp;" %"</f>
        <v>Residuos renovables 0,2 %</v>
      </c>
      <c r="E296" s="203">
        <v>66.932500000000005</v>
      </c>
      <c r="F296" s="204">
        <f t="shared" si="44"/>
        <v>0.16614534193199137</v>
      </c>
      <c r="G296" s="456">
        <f t="shared" si="45"/>
        <v>0.17175110583899361</v>
      </c>
      <c r="H296" s="490"/>
    </row>
    <row r="297" spans="3:8">
      <c r="C297" s="205" t="s">
        <v>50</v>
      </c>
      <c r="D297" s="206" t="str">
        <f t="shared" si="47"/>
        <v>Eólica 34,7 %</v>
      </c>
      <c r="E297" s="203">
        <v>13966.287</v>
      </c>
      <c r="F297" s="204">
        <f t="shared" si="44"/>
        <v>34.668263237370873</v>
      </c>
      <c r="G297" s="456">
        <f t="shared" si="45"/>
        <v>35.837974626896653</v>
      </c>
      <c r="H297" s="490"/>
    </row>
    <row r="298" spans="3:8">
      <c r="C298" s="205" t="s">
        <v>26</v>
      </c>
      <c r="D298" s="206" t="str">
        <f t="shared" si="47"/>
        <v>Hidráulica 16,2 %</v>
      </c>
      <c r="E298" s="203">
        <v>6514.9539999999997</v>
      </c>
      <c r="F298" s="204">
        <f t="shared" si="44"/>
        <v>16.171953236487425</v>
      </c>
      <c r="G298" s="456">
        <f t="shared" si="45"/>
        <v>16.717596892244792</v>
      </c>
      <c r="H298" s="490"/>
    </row>
    <row r="299" spans="3:8">
      <c r="C299" s="205" t="s">
        <v>51</v>
      </c>
      <c r="D299" s="206" t="str">
        <f t="shared" si="47"/>
        <v>Solar fotovoltaica 0,0 %</v>
      </c>
      <c r="E299" s="203">
        <v>0.11</v>
      </c>
      <c r="F299" s="204">
        <f t="shared" si="44"/>
        <v>2.7305102323264558E-4</v>
      </c>
      <c r="G299" s="456">
        <f t="shared" si="45"/>
        <v>2.8226379774084776E-4</v>
      </c>
      <c r="H299" s="490"/>
    </row>
    <row r="300" spans="3:8">
      <c r="C300" s="205" t="s">
        <v>66</v>
      </c>
      <c r="D300" s="206" t="str">
        <f t="shared" si="47"/>
        <v>Solar térmica 0,0 %</v>
      </c>
      <c r="E300" s="203">
        <v>0</v>
      </c>
      <c r="F300" s="204">
        <f t="shared" si="44"/>
        <v>0</v>
      </c>
      <c r="G300" s="456">
        <f t="shared" si="45"/>
        <v>0</v>
      </c>
      <c r="H300" s="490"/>
    </row>
    <row r="301" spans="3:8">
      <c r="C301" s="205" t="s">
        <v>75</v>
      </c>
      <c r="D301" s="206"/>
      <c r="E301" s="203">
        <v>472.05700000000002</v>
      </c>
      <c r="F301" s="204">
        <f t="shared" si="44"/>
        <v>1.1717786079466634</v>
      </c>
      <c r="G301" s="456">
        <f t="shared" si="45"/>
        <v>1.211314559728649</v>
      </c>
      <c r="H301" s="490"/>
    </row>
    <row r="302" spans="3:8" ht="22.5">
      <c r="C302" s="212" t="s">
        <v>143</v>
      </c>
      <c r="D302" s="206" t="str">
        <f>C302&amp;" "&amp;TEXT(F302,"0,0")&amp;" %"</f>
        <v>Saldo importador intercambios internacionales 3,3 %</v>
      </c>
      <c r="E302" s="203">
        <v>1314.874</v>
      </c>
      <c r="F302" s="204">
        <f t="shared" si="44"/>
        <v>3.2638881011091052</v>
      </c>
      <c r="G302" s="43"/>
      <c r="H302" s="490"/>
    </row>
    <row r="303" spans="3:8">
      <c r="C303" s="205" t="s">
        <v>144</v>
      </c>
      <c r="D303" s="206"/>
      <c r="E303" s="203">
        <v>-21.692</v>
      </c>
      <c r="F303" s="204"/>
      <c r="G303" s="456"/>
      <c r="H303" s="490"/>
    </row>
    <row r="304" spans="3:8">
      <c r="C304" s="205" t="s">
        <v>63</v>
      </c>
      <c r="D304" s="206"/>
      <c r="E304" s="203">
        <v>-266.63</v>
      </c>
      <c r="F304" s="204"/>
      <c r="G304" s="456"/>
    </row>
    <row r="305" spans="2:17">
      <c r="C305" s="213" t="s">
        <v>32</v>
      </c>
      <c r="D305" s="208"/>
      <c r="E305" s="209">
        <f>SUM(E290:E304)</f>
        <v>39997.189000000006</v>
      </c>
      <c r="F305" s="210">
        <f>SUM(F290:F304)</f>
        <v>99.999999999999972</v>
      </c>
      <c r="G305" s="499">
        <f>SUM(G290:G304)</f>
        <v>99.999999999999986</v>
      </c>
    </row>
    <row r="307" spans="2:17" s="216" customFormat="1" ht="11.25" customHeight="1">
      <c r="B307" s="2"/>
      <c r="C307" s="215" t="s">
        <v>377</v>
      </c>
      <c r="D307" s="376"/>
      <c r="E307" s="376"/>
      <c r="F307" s="376"/>
      <c r="G307" s="376"/>
      <c r="H307" s="376"/>
      <c r="I307" s="376"/>
      <c r="J307" s="376"/>
      <c r="K307" s="376"/>
      <c r="L307" s="376"/>
      <c r="M307" s="376"/>
      <c r="O307" s="377"/>
    </row>
    <row r="308" spans="2:17" s="216" customFormat="1" ht="11.25" customHeight="1">
      <c r="B308" s="2"/>
      <c r="C308" s="198"/>
      <c r="D308" s="218">
        <v>2016</v>
      </c>
      <c r="E308" s="218">
        <v>2017</v>
      </c>
      <c r="F308" s="218">
        <v>2018</v>
      </c>
      <c r="G308" s="218">
        <v>2019</v>
      </c>
      <c r="H308" s="218">
        <v>2020</v>
      </c>
      <c r="N308" s="377"/>
      <c r="O308" s="377"/>
    </row>
    <row r="309" spans="2:17" s="216" customFormat="1" ht="11.25" customHeight="1">
      <c r="B309" s="2"/>
      <c r="C309" s="205" t="s">
        <v>281</v>
      </c>
      <c r="D309" s="378">
        <v>33260364.291000001</v>
      </c>
      <c r="E309" s="378">
        <v>40300794.128200002</v>
      </c>
      <c r="F309" s="378">
        <v>33485793.393599998</v>
      </c>
      <c r="G309" s="378">
        <v>10284336.47136</v>
      </c>
      <c r="H309" s="378">
        <v>4636375.7184000099</v>
      </c>
      <c r="N309" s="379"/>
      <c r="O309" s="380"/>
      <c r="P309" s="379"/>
      <c r="Q309" s="379"/>
    </row>
    <row r="310" spans="2:17" s="216" customFormat="1" ht="11.25" customHeight="1">
      <c r="B310" s="2"/>
      <c r="C310" s="220" t="s">
        <v>98</v>
      </c>
      <c r="D310" s="378">
        <v>0.1666</v>
      </c>
      <c r="E310" s="378">
        <v>2.0999999999999999E-3</v>
      </c>
      <c r="F310" s="378">
        <v>2.31E-3</v>
      </c>
      <c r="G310" s="378">
        <v>2.31E-3</v>
      </c>
      <c r="H310" s="378">
        <v>3.0799999999999998E-3</v>
      </c>
      <c r="N310" s="379"/>
      <c r="O310" s="380"/>
      <c r="P310" s="379"/>
      <c r="Q310" s="379"/>
    </row>
    <row r="311" spans="2:17" s="216" customFormat="1" ht="11.25" customHeight="1">
      <c r="B311" s="2"/>
      <c r="C311" s="205" t="s">
        <v>44</v>
      </c>
      <c r="D311" s="378">
        <v>9421334.5154599994</v>
      </c>
      <c r="E311" s="378">
        <v>12449752.88823</v>
      </c>
      <c r="F311" s="378">
        <v>9769081.5355300009</v>
      </c>
      <c r="G311" s="378">
        <v>18923004.57903</v>
      </c>
      <c r="H311" s="378">
        <v>14192238.36815</v>
      </c>
      <c r="N311" s="379"/>
      <c r="O311" s="380"/>
      <c r="P311" s="379"/>
    </row>
    <row r="312" spans="2:17" s="216" customFormat="1" ht="11.25" customHeight="1">
      <c r="B312" s="2"/>
      <c r="C312" s="205" t="s">
        <v>73</v>
      </c>
      <c r="D312" s="378">
        <v>9832098.0519600101</v>
      </c>
      <c r="E312" s="378">
        <v>10706713.738220001</v>
      </c>
      <c r="F312" s="378">
        <v>11009277.461719999</v>
      </c>
      <c r="G312" s="378">
        <v>11240670.40002</v>
      </c>
      <c r="H312" s="378">
        <v>10027202.6362</v>
      </c>
      <c r="N312" s="379"/>
      <c r="O312" s="380"/>
      <c r="P312" s="379"/>
    </row>
    <row r="313" spans="2:17" s="216" customFormat="1" ht="11.25" customHeight="1">
      <c r="B313" s="2"/>
      <c r="C313" s="205" t="s">
        <v>90</v>
      </c>
      <c r="D313" s="378">
        <v>593114.07492000004</v>
      </c>
      <c r="E313" s="378">
        <v>590190.92663999996</v>
      </c>
      <c r="F313" s="378">
        <v>550525.96860000002</v>
      </c>
      <c r="G313" s="378">
        <v>497184.73139999999</v>
      </c>
      <c r="H313" s="378">
        <v>683001.78807000001</v>
      </c>
      <c r="N313" s="379"/>
      <c r="O313" s="380"/>
      <c r="P313" s="379"/>
    </row>
    <row r="314" spans="2:17" s="216" customFormat="1" ht="11.25" customHeight="1">
      <c r="B314" s="2"/>
      <c r="C314" s="12" t="s">
        <v>282</v>
      </c>
      <c r="D314" s="381">
        <f>SUM(D309:D313)</f>
        <v>53106911.099940002</v>
      </c>
      <c r="E314" s="381">
        <f>SUM(E309:E313)</f>
        <v>64047451.683389992</v>
      </c>
      <c r="F314" s="381">
        <f>SUM(F309:F313)</f>
        <v>54814678.36175999</v>
      </c>
      <c r="G314" s="381">
        <f>SUM(G309:G313)</f>
        <v>40945196.184119999</v>
      </c>
      <c r="H314" s="381">
        <f>SUM(H309:H313)</f>
        <v>29538818.513900008</v>
      </c>
      <c r="N314" s="379"/>
      <c r="O314" s="382"/>
      <c r="P314" s="379"/>
    </row>
    <row r="315" spans="2:17" s="216" customFormat="1" ht="11.25" customHeight="1">
      <c r="B315" s="2"/>
      <c r="C315" s="12" t="s">
        <v>283</v>
      </c>
      <c r="D315" s="458">
        <f>D314/(D332*1000)</f>
        <v>0.21405444505982094</v>
      </c>
      <c r="E315" s="458">
        <f t="shared" ref="E315:H315" si="48">E314/(E332*1000)</f>
        <v>0.25812647828547147</v>
      </c>
      <c r="F315" s="458">
        <f t="shared" si="48"/>
        <v>0.22201534527155303</v>
      </c>
      <c r="G315" s="458">
        <f t="shared" si="48"/>
        <v>0.16569186119014453</v>
      </c>
      <c r="H315" s="458">
        <f t="shared" si="48"/>
        <v>0.12344256687397619</v>
      </c>
    </row>
    <row r="316" spans="2:17" s="216" customFormat="1" ht="11.25" customHeight="1">
      <c r="B316" s="2"/>
      <c r="C316" s="383"/>
      <c r="D316" s="384"/>
      <c r="E316" s="384"/>
      <c r="F316" s="384"/>
      <c r="G316" s="384"/>
      <c r="H316" s="384"/>
      <c r="I316" s="384"/>
      <c r="J316" s="384"/>
      <c r="K316" s="384"/>
      <c r="L316" s="384"/>
      <c r="M316" s="384"/>
    </row>
    <row r="317" spans="2:17">
      <c r="C317" s="224" t="s">
        <v>152</v>
      </c>
      <c r="D317" s="215"/>
      <c r="E317" s="216"/>
      <c r="F317" s="216"/>
      <c r="G317" s="216"/>
      <c r="H317" s="216"/>
      <c r="I317" s="216"/>
      <c r="J317" s="216"/>
      <c r="K317" s="216"/>
      <c r="L317" s="216"/>
      <c r="M317" s="216"/>
    </row>
    <row r="318" spans="2:17">
      <c r="C318" s="225"/>
      <c r="D318" s="222">
        <v>2016</v>
      </c>
      <c r="E318" s="222">
        <v>2017</v>
      </c>
      <c r="F318" s="222">
        <v>2018</v>
      </c>
      <c r="G318" s="222">
        <v>2019</v>
      </c>
      <c r="H318" s="222">
        <v>2020</v>
      </c>
      <c r="I318" s="412" t="s">
        <v>376</v>
      </c>
    </row>
    <row r="319" spans="2:17">
      <c r="C319" s="220" t="s">
        <v>26</v>
      </c>
      <c r="D319" s="223">
        <v>36111.434365772002</v>
      </c>
      <c r="E319" s="223">
        <v>18447.346771659999</v>
      </c>
      <c r="F319" s="223">
        <v>34113.964229872006</v>
      </c>
      <c r="G319" s="223">
        <v>24715.505746512001</v>
      </c>
      <c r="H319" s="223">
        <v>30545.181752445998</v>
      </c>
      <c r="I319" s="413">
        <f>((H319/G319)-1)*100</f>
        <v>23.587120027906838</v>
      </c>
    </row>
    <row r="320" spans="2:17">
      <c r="C320" s="220" t="s">
        <v>156</v>
      </c>
      <c r="D320" s="223">
        <v>3134.328910228</v>
      </c>
      <c r="E320" s="223">
        <v>2248.9644183400001</v>
      </c>
      <c r="F320" s="223">
        <v>1993.996008694</v>
      </c>
      <c r="G320" s="223">
        <v>1645.505056342</v>
      </c>
      <c r="H320" s="223">
        <v>2745.920393458</v>
      </c>
      <c r="I320" s="413">
        <f t="shared" ref="I320:I336" si="49">((H320/G320)-1)*100</f>
        <v>66.874017364750713</v>
      </c>
    </row>
    <row r="321" spans="3:13">
      <c r="C321" s="220" t="s">
        <v>27</v>
      </c>
      <c r="D321" s="223">
        <v>56021.682058999999</v>
      </c>
      <c r="E321" s="223">
        <v>55539.351045999996</v>
      </c>
      <c r="F321" s="223">
        <v>53197.617429999998</v>
      </c>
      <c r="G321" s="223">
        <v>55824.226774999996</v>
      </c>
      <c r="H321" s="223">
        <v>55756.795616999996</v>
      </c>
      <c r="I321" s="413">
        <f t="shared" si="49"/>
        <v>-0.12079192475299427</v>
      </c>
    </row>
    <row r="322" spans="3:13">
      <c r="C322" s="220" t="s">
        <v>28</v>
      </c>
      <c r="D322" s="223">
        <v>35010.909780000002</v>
      </c>
      <c r="E322" s="223">
        <v>42421.888556000005</v>
      </c>
      <c r="F322" s="223">
        <v>34881.034784999996</v>
      </c>
      <c r="G322" s="223">
        <v>10670.697703</v>
      </c>
      <c r="H322" s="223">
        <v>4800.3326630000001</v>
      </c>
      <c r="I322" s="413">
        <f t="shared" si="49"/>
        <v>-55.013881972774684</v>
      </c>
    </row>
    <row r="323" spans="3:13">
      <c r="C323" s="220" t="s">
        <v>98</v>
      </c>
      <c r="D323" s="223">
        <v>2.3499999999999999E-4</v>
      </c>
      <c r="E323" s="223">
        <v>-9.9999999999999995E-7</v>
      </c>
      <c r="F323" s="223">
        <v>-9.9999999999999995E-7</v>
      </c>
      <c r="G323" s="223">
        <v>-9.9999999999999995E-7</v>
      </c>
      <c r="H323" s="223">
        <v>0</v>
      </c>
      <c r="I323" s="413" t="s">
        <v>0</v>
      </c>
    </row>
    <row r="324" spans="3:13">
      <c r="C324" s="220" t="s">
        <v>44</v>
      </c>
      <c r="D324" s="223">
        <v>25463.066258000003</v>
      </c>
      <c r="E324" s="223">
        <v>33647.980778999998</v>
      </c>
      <c r="F324" s="223">
        <v>26402.923068999997</v>
      </c>
      <c r="G324" s="223">
        <v>51143.255619000003</v>
      </c>
      <c r="H324" s="223">
        <v>38357.400994999996</v>
      </c>
      <c r="I324" s="413">
        <f t="shared" si="49"/>
        <v>-25.000079618024927</v>
      </c>
    </row>
    <row r="325" spans="3:13">
      <c r="C325" s="220" t="s">
        <v>50</v>
      </c>
      <c r="D325" s="223">
        <v>47298.163668000001</v>
      </c>
      <c r="E325" s="223">
        <v>47508.105951999903</v>
      </c>
      <c r="F325" s="223">
        <v>48955.703093000004</v>
      </c>
      <c r="G325" s="223">
        <v>53100.854504000003</v>
      </c>
      <c r="H325" s="223">
        <v>53774.788501000003</v>
      </c>
      <c r="I325" s="413">
        <f t="shared" si="49"/>
        <v>1.269158478323984</v>
      </c>
    </row>
    <row r="326" spans="3:13">
      <c r="C326" s="220" t="s">
        <v>51</v>
      </c>
      <c r="D326" s="223">
        <v>7579.2182120000007</v>
      </c>
      <c r="E326" s="223">
        <v>8000.7121639999996</v>
      </c>
      <c r="F326" s="223">
        <v>7380.5475820000102</v>
      </c>
      <c r="G326" s="223">
        <v>8851.9733770000094</v>
      </c>
      <c r="H326" s="223">
        <v>14885.490851</v>
      </c>
      <c r="I326" s="413">
        <f t="shared" si="49"/>
        <v>68.160140310372114</v>
      </c>
    </row>
    <row r="327" spans="3:13">
      <c r="C327" s="220" t="s">
        <v>66</v>
      </c>
      <c r="D327" s="223">
        <v>5071.2017019999994</v>
      </c>
      <c r="E327" s="223">
        <v>5347.9524650000003</v>
      </c>
      <c r="F327" s="223">
        <v>4424.3266739999999</v>
      </c>
      <c r="G327" s="223">
        <v>5166.4311449999996</v>
      </c>
      <c r="H327" s="223">
        <v>4538.3012419999995</v>
      </c>
      <c r="I327" s="413">
        <f t="shared" si="49"/>
        <v>-12.15790717752806</v>
      </c>
    </row>
    <row r="328" spans="3:13">
      <c r="C328" s="220" t="s">
        <v>75</v>
      </c>
      <c r="D328" s="223">
        <v>3415.0193380000001</v>
      </c>
      <c r="E328" s="223">
        <v>3599.155882</v>
      </c>
      <c r="F328" s="223">
        <v>3547.1749180000002</v>
      </c>
      <c r="G328" s="223">
        <v>3606.802287</v>
      </c>
      <c r="H328" s="223">
        <v>4467.936455</v>
      </c>
      <c r="I328" s="413">
        <f t="shared" si="49"/>
        <v>23.875280635808238</v>
      </c>
    </row>
    <row r="329" spans="3:13">
      <c r="C329" s="220" t="s">
        <v>73</v>
      </c>
      <c r="D329" s="223">
        <v>25873.942241999997</v>
      </c>
      <c r="E329" s="223">
        <v>28175.562469</v>
      </c>
      <c r="F329" s="223">
        <v>28971.782793999999</v>
      </c>
      <c r="G329" s="223">
        <v>29580.711578999999</v>
      </c>
      <c r="H329" s="223">
        <v>26918.731909000002</v>
      </c>
      <c r="I329" s="413">
        <f t="shared" si="49"/>
        <v>-8.9990386569665741</v>
      </c>
    </row>
    <row r="330" spans="3:13">
      <c r="C330" s="220" t="s">
        <v>90</v>
      </c>
      <c r="D330" s="223">
        <v>2471.3086455000002</v>
      </c>
      <c r="E330" s="223">
        <v>2459.1288610000001</v>
      </c>
      <c r="F330" s="223">
        <v>2293.8582025000001</v>
      </c>
      <c r="G330" s="223">
        <v>2071.6030475000002</v>
      </c>
      <c r="H330" s="223">
        <v>1895.2394715</v>
      </c>
      <c r="I330" s="413">
        <f t="shared" si="49"/>
        <v>-8.5133865878810546</v>
      </c>
    </row>
    <row r="331" spans="3:13">
      <c r="C331" s="220" t="s">
        <v>91</v>
      </c>
      <c r="D331" s="223">
        <v>649.73991049999995</v>
      </c>
      <c r="E331" s="223">
        <v>728.15043299999991</v>
      </c>
      <c r="F331" s="223">
        <v>732.97066150000001</v>
      </c>
      <c r="G331" s="223">
        <v>738.95349049999993</v>
      </c>
      <c r="H331" s="223">
        <v>605.8785415000001</v>
      </c>
      <c r="I331" s="413">
        <f t="shared" si="49"/>
        <v>-18.008568970958784</v>
      </c>
    </row>
    <row r="332" spans="3:13">
      <c r="C332" s="226" t="s">
        <v>72</v>
      </c>
      <c r="D332" s="229">
        <f t="shared" ref="D332" si="50">SUM(D319:D331)</f>
        <v>248100.01532599999</v>
      </c>
      <c r="E332" s="229">
        <f>SUM(E319:E331)</f>
        <v>248124.29979599992</v>
      </c>
      <c r="F332" s="229">
        <f>SUM(F319:F331)</f>
        <v>246895.89944656601</v>
      </c>
      <c r="G332" s="229">
        <f>SUM(G319:G331)</f>
        <v>247116.52032885398</v>
      </c>
      <c r="H332" s="229">
        <f>SUM(H319:H331)</f>
        <v>239291.99839190397</v>
      </c>
      <c r="I332" s="328">
        <f t="shared" si="49"/>
        <v>-3.166328955481168</v>
      </c>
    </row>
    <row r="333" spans="3:13">
      <c r="C333" s="227" t="s">
        <v>153</v>
      </c>
      <c r="D333" s="223">
        <v>-4827.5850676680002</v>
      </c>
      <c r="E333" s="223">
        <v>-3607.5809876580001</v>
      </c>
      <c r="F333" s="223">
        <v>-3198.4323789730001</v>
      </c>
      <c r="G333" s="223">
        <v>-3027.310623246</v>
      </c>
      <c r="H333" s="223">
        <v>-4619.9751114130004</v>
      </c>
      <c r="I333" s="413">
        <f t="shared" si="49"/>
        <v>52.609880067717782</v>
      </c>
    </row>
    <row r="334" spans="3:13">
      <c r="C334" s="227" t="s">
        <v>63</v>
      </c>
      <c r="D334" s="223">
        <v>-1250.5839680000001</v>
      </c>
      <c r="E334" s="223">
        <v>-1179.306642</v>
      </c>
      <c r="F334" s="223">
        <v>-1233.358142</v>
      </c>
      <c r="G334" s="223">
        <v>-1694.8405220000002</v>
      </c>
      <c r="H334" s="223">
        <v>-1426.537525</v>
      </c>
      <c r="I334" s="413">
        <f t="shared" si="49"/>
        <v>-15.830574825021804</v>
      </c>
    </row>
    <row r="335" spans="3:13">
      <c r="C335" s="227" t="s">
        <v>78</v>
      </c>
      <c r="D335" s="223">
        <v>7658.0436909999999</v>
      </c>
      <c r="E335" s="223">
        <v>9168.9935229999992</v>
      </c>
      <c r="F335" s="223">
        <v>11102.311146</v>
      </c>
      <c r="G335" s="223">
        <v>6862.325049</v>
      </c>
      <c r="H335" s="223">
        <v>3279.584887</v>
      </c>
      <c r="I335" s="413">
        <f t="shared" si="49"/>
        <v>-52.208837914521247</v>
      </c>
      <c r="J335" s="216"/>
      <c r="K335" s="216"/>
      <c r="L335" s="216"/>
      <c r="M335" s="216"/>
    </row>
    <row r="336" spans="3:13">
      <c r="C336" s="228" t="s">
        <v>40</v>
      </c>
      <c r="D336" s="230">
        <f t="shared" ref="D336" si="51">SUM(D332:D335)</f>
        <v>249679.889981332</v>
      </c>
      <c r="E336" s="230">
        <f>SUM(E332:E335)</f>
        <v>252506.40568934192</v>
      </c>
      <c r="F336" s="230">
        <f>SUM(F332:F335)</f>
        <v>253566.42007159299</v>
      </c>
      <c r="G336" s="230">
        <f>SUM(G332:G335)</f>
        <v>249256.69423260796</v>
      </c>
      <c r="H336" s="230">
        <f>SUM(H332:H335)</f>
        <v>236525.07064249099</v>
      </c>
      <c r="I336" s="331">
        <f t="shared" si="49"/>
        <v>-5.1078361723901118</v>
      </c>
      <c r="J336" s="216"/>
      <c r="K336" s="216"/>
      <c r="L336" s="216"/>
      <c r="M336" s="216"/>
    </row>
    <row r="337" spans="3:8">
      <c r="G337" s="20">
        <f>X24-G336</f>
        <v>5.0000380724668503E-6</v>
      </c>
      <c r="H337" s="20">
        <f>H336-X45</f>
        <v>-3.0000519473105669E-6</v>
      </c>
    </row>
    <row r="338" spans="3:8">
      <c r="C338" s="215" t="s">
        <v>148</v>
      </c>
      <c r="D338" s="215"/>
      <c r="E338" s="216"/>
      <c r="F338" s="216"/>
      <c r="G338" s="216"/>
      <c r="H338" s="216"/>
    </row>
    <row r="339" spans="3:8">
      <c r="C339" s="217"/>
      <c r="D339" s="222">
        <v>2016</v>
      </c>
      <c r="E339" s="222">
        <v>2017</v>
      </c>
      <c r="F339" s="222">
        <v>2018</v>
      </c>
      <c r="G339" s="222">
        <v>2019</v>
      </c>
      <c r="H339" s="222">
        <v>2020</v>
      </c>
    </row>
    <row r="340" spans="3:8">
      <c r="C340" s="220" t="s">
        <v>26</v>
      </c>
      <c r="D340" s="231">
        <f t="shared" ref="D340:H352" si="52">(D319/D$332)*100</f>
        <v>14.555192315615972</v>
      </c>
      <c r="E340" s="231">
        <f t="shared" si="52"/>
        <v>7.4347199314322836</v>
      </c>
      <c r="F340" s="231">
        <f t="shared" si="52"/>
        <v>13.817144920730065</v>
      </c>
      <c r="G340" s="231">
        <f t="shared" si="52"/>
        <v>10.001559472277076</v>
      </c>
      <c r="H340" s="231">
        <f t="shared" si="52"/>
        <v>12.764815354343851</v>
      </c>
    </row>
    <row r="341" spans="3:8">
      <c r="C341" s="220" t="s">
        <v>67</v>
      </c>
      <c r="D341" s="231">
        <f t="shared" si="52"/>
        <v>1.2633328160457931</v>
      </c>
      <c r="E341" s="231">
        <f t="shared" si="52"/>
        <v>0.90638620247554502</v>
      </c>
      <c r="F341" s="231">
        <f t="shared" si="52"/>
        <v>0.80762621540644375</v>
      </c>
      <c r="G341" s="231">
        <f t="shared" si="52"/>
        <v>0.6658822543115368</v>
      </c>
      <c r="H341" s="231">
        <f t="shared" si="52"/>
        <v>1.1475186850839989</v>
      </c>
    </row>
    <row r="342" spans="3:8">
      <c r="C342" s="220" t="s">
        <v>27</v>
      </c>
      <c r="D342" s="231">
        <f t="shared" si="52"/>
        <v>22.580281579341413</v>
      </c>
      <c r="E342" s="231">
        <f t="shared" si="52"/>
        <v>22.383680716343672</v>
      </c>
      <c r="F342" s="231">
        <f t="shared" si="52"/>
        <v>21.546577950158785</v>
      </c>
      <c r="G342" s="231">
        <f t="shared" si="52"/>
        <v>22.590244756081496</v>
      </c>
      <c r="H342" s="231">
        <f t="shared" si="52"/>
        <v>23.300735499598062</v>
      </c>
    </row>
    <row r="343" spans="3:8">
      <c r="C343" s="220" t="s">
        <v>28</v>
      </c>
      <c r="D343" s="231">
        <f t="shared" si="52"/>
        <v>14.111611292726502</v>
      </c>
      <c r="E343" s="231">
        <f t="shared" si="52"/>
        <v>17.097031040844431</v>
      </c>
      <c r="F343" s="231">
        <f t="shared" si="52"/>
        <v>14.127830742911573</v>
      </c>
      <c r="G343" s="231">
        <f t="shared" si="52"/>
        <v>4.3180835052224804</v>
      </c>
      <c r="H343" s="231">
        <f t="shared" si="52"/>
        <v>2.006056489669239</v>
      </c>
    </row>
    <row r="344" spans="3:8">
      <c r="C344" s="220" t="s">
        <v>98</v>
      </c>
      <c r="D344" s="231">
        <f t="shared" si="52"/>
        <v>9.4719865168574542E-8</v>
      </c>
      <c r="E344" s="231">
        <f t="shared" si="52"/>
        <v>-4.030238073506581E-10</v>
      </c>
      <c r="F344" s="231">
        <f t="shared" si="52"/>
        <v>-4.0502900300959563E-10</v>
      </c>
      <c r="G344" s="231">
        <f t="shared" si="52"/>
        <v>-4.0466740089623919E-10</v>
      </c>
      <c r="H344" s="231">
        <f t="shared" si="52"/>
        <v>0</v>
      </c>
    </row>
    <row r="345" spans="3:8">
      <c r="C345" s="220" t="s">
        <v>44</v>
      </c>
      <c r="D345" s="231">
        <f t="shared" si="52"/>
        <v>10.263226394622301</v>
      </c>
      <c r="E345" s="231">
        <f t="shared" si="52"/>
        <v>13.560937323214342</v>
      </c>
      <c r="F345" s="231">
        <f t="shared" si="52"/>
        <v>10.693949607176121</v>
      </c>
      <c r="G345" s="231">
        <f t="shared" si="52"/>
        <v>20.696008324712714</v>
      </c>
      <c r="H345" s="231">
        <f t="shared" si="52"/>
        <v>16.029537658078983</v>
      </c>
    </row>
    <row r="346" spans="3:8">
      <c r="C346" s="220" t="s">
        <v>50</v>
      </c>
      <c r="D346" s="231">
        <f t="shared" si="52"/>
        <v>19.064151852570774</v>
      </c>
      <c r="E346" s="231">
        <f t="shared" si="52"/>
        <v>19.146897740793463</v>
      </c>
      <c r="F346" s="231">
        <f t="shared" si="52"/>
        <v>19.828479615391569</v>
      </c>
      <c r="G346" s="231">
        <f t="shared" si="52"/>
        <v>21.48818477750304</v>
      </c>
      <c r="H346" s="231">
        <f t="shared" si="52"/>
        <v>22.472455770514131</v>
      </c>
    </row>
    <row r="347" spans="3:8">
      <c r="C347" s="220" t="s">
        <v>51</v>
      </c>
      <c r="D347" s="231">
        <f t="shared" si="52"/>
        <v>3.0549043707397647</v>
      </c>
      <c r="E347" s="231">
        <f t="shared" si="52"/>
        <v>3.2244774778520022</v>
      </c>
      <c r="F347" s="231">
        <f t="shared" si="52"/>
        <v>2.9893358288023459</v>
      </c>
      <c r="G347" s="231">
        <f t="shared" si="52"/>
        <v>3.5821050592732995</v>
      </c>
      <c r="H347" s="231">
        <f t="shared" si="52"/>
        <v>6.2206387806670707</v>
      </c>
    </row>
    <row r="348" spans="3:8">
      <c r="C348" s="220" t="s">
        <v>66</v>
      </c>
      <c r="D348" s="231">
        <f t="shared" si="52"/>
        <v>2.0440150700258966</v>
      </c>
      <c r="E348" s="231">
        <f t="shared" si="52"/>
        <v>2.1553521639746371</v>
      </c>
      <c r="F348" s="231">
        <f t="shared" si="52"/>
        <v>1.79198062175898</v>
      </c>
      <c r="G348" s="231">
        <f t="shared" si="52"/>
        <v>2.0906862633565311</v>
      </c>
      <c r="H348" s="231">
        <f t="shared" si="52"/>
        <v>1.8965536969469954</v>
      </c>
    </row>
    <row r="349" spans="3:8">
      <c r="C349" s="220" t="s">
        <v>75</v>
      </c>
      <c r="D349" s="231">
        <f t="shared" si="52"/>
        <v>1.3764688138018499</v>
      </c>
      <c r="E349" s="231">
        <f t="shared" si="52"/>
        <v>1.450545506812156</v>
      </c>
      <c r="F349" s="231">
        <f t="shared" si="52"/>
        <v>1.4367087205381843</v>
      </c>
      <c r="G349" s="231">
        <f t="shared" si="52"/>
        <v>1.4595553070269014</v>
      </c>
      <c r="H349" s="231">
        <f t="shared" si="52"/>
        <v>1.867148289548141</v>
      </c>
    </row>
    <row r="350" spans="3:8" ht="11.25" customHeight="1">
      <c r="C350" s="220" t="s">
        <v>73</v>
      </c>
      <c r="D350" s="231">
        <f t="shared" si="52"/>
        <v>10.428835406560534</v>
      </c>
      <c r="E350" s="231">
        <f t="shared" si="52"/>
        <v>11.355422460502689</v>
      </c>
      <c r="F350" s="231">
        <f t="shared" si="52"/>
        <v>11.734412300464376</v>
      </c>
      <c r="G350" s="231">
        <f t="shared" si="52"/>
        <v>11.970349671335217</v>
      </c>
      <c r="H350" s="231">
        <f t="shared" si="52"/>
        <v>11.249323876226507</v>
      </c>
    </row>
    <row r="351" spans="3:8">
      <c r="C351" s="220" t="s">
        <v>90</v>
      </c>
      <c r="D351" s="231">
        <f t="shared" si="52"/>
        <v>0.99609370932635166</v>
      </c>
      <c r="E351" s="231">
        <f t="shared" si="52"/>
        <v>0.99108747632610728</v>
      </c>
      <c r="F351" s="231">
        <f t="shared" si="52"/>
        <v>0.92907910080395806</v>
      </c>
      <c r="G351" s="231">
        <f t="shared" si="52"/>
        <v>0.83831022092055352</v>
      </c>
      <c r="H351" s="231">
        <f t="shared" si="52"/>
        <v>0.79201957618158381</v>
      </c>
    </row>
    <row r="352" spans="3:8">
      <c r="C352" s="220" t="s">
        <v>91</v>
      </c>
      <c r="D352" s="231">
        <f t="shared" si="52"/>
        <v>0.26188628390298596</v>
      </c>
      <c r="E352" s="231">
        <f t="shared" si="52"/>
        <v>0.29346195983169021</v>
      </c>
      <c r="F352" s="231">
        <f t="shared" si="52"/>
        <v>0.2968743762626288</v>
      </c>
      <c r="G352" s="231">
        <f t="shared" si="52"/>
        <v>0.29903038838383877</v>
      </c>
      <c r="H352" s="231">
        <f t="shared" si="52"/>
        <v>0.25319632314145069</v>
      </c>
    </row>
    <row r="353" spans="3:8">
      <c r="C353" s="221" t="s">
        <v>149</v>
      </c>
      <c r="D353" s="232">
        <f t="shared" ref="D353:H353" si="53">SUM(D340,D346:D349,D352)</f>
        <v>40.356618706657244</v>
      </c>
      <c r="E353" s="232">
        <f t="shared" si="53"/>
        <v>33.705454780696229</v>
      </c>
      <c r="F353" s="232">
        <f t="shared" si="53"/>
        <v>40.160524083483772</v>
      </c>
      <c r="G353" s="232">
        <f t="shared" si="53"/>
        <v>38.921121267820695</v>
      </c>
      <c r="H353" s="232">
        <f t="shared" si="53"/>
        <v>45.474808215161644</v>
      </c>
    </row>
    <row r="354" spans="3:8">
      <c r="C354" s="221" t="s">
        <v>150</v>
      </c>
      <c r="D354" s="232">
        <f t="shared" ref="D354:H354" si="54">SUM(D341:D345,D350:D351)</f>
        <v>59.643381293342763</v>
      </c>
      <c r="E354" s="232">
        <f t="shared" si="54"/>
        <v>66.294545219303757</v>
      </c>
      <c r="F354" s="232">
        <f t="shared" si="54"/>
        <v>59.839475916516236</v>
      </c>
      <c r="G354" s="232">
        <f t="shared" si="54"/>
        <v>61.078878732179327</v>
      </c>
      <c r="H354" s="232">
        <f t="shared" si="54"/>
        <v>54.52519178483837</v>
      </c>
    </row>
    <row r="355" spans="3:8">
      <c r="C355" s="221" t="s">
        <v>151</v>
      </c>
      <c r="D355" s="232">
        <f t="shared" ref="D355:H355" si="55">SUM(D353:D354)</f>
        <v>100</v>
      </c>
      <c r="E355" s="232">
        <f t="shared" si="55"/>
        <v>99.999999999999986</v>
      </c>
      <c r="F355" s="232">
        <f t="shared" si="55"/>
        <v>100</v>
      </c>
      <c r="G355" s="232">
        <f t="shared" si="55"/>
        <v>100.00000000000003</v>
      </c>
      <c r="H355" s="232">
        <f t="shared" si="55"/>
        <v>100.00000000000001</v>
      </c>
    </row>
    <row r="356" spans="3:8">
      <c r="C356" s="219" t="s">
        <v>146</v>
      </c>
      <c r="D356" s="215"/>
      <c r="E356" s="216"/>
      <c r="F356" s="216"/>
      <c r="G356" s="216"/>
      <c r="H356" s="216"/>
    </row>
    <row r="357" spans="3:8">
      <c r="C357" s="219" t="s">
        <v>147</v>
      </c>
      <c r="D357" s="215"/>
      <c r="E357" s="216"/>
      <c r="F357" s="216"/>
      <c r="G357" s="216"/>
      <c r="H357" s="216"/>
    </row>
    <row r="358" spans="3:8">
      <c r="C358" s="219"/>
      <c r="D358" s="215"/>
      <c r="E358" s="216"/>
      <c r="F358" s="216"/>
      <c r="G358" s="216"/>
      <c r="H358" s="216"/>
    </row>
    <row r="359" spans="3:8">
      <c r="C359" s="221" t="s">
        <v>338</v>
      </c>
      <c r="D359" s="232">
        <f>SUM(D340:D342,D346:D349,D352)</f>
        <v>64.20023310204445</v>
      </c>
      <c r="E359" s="232">
        <f t="shared" ref="E359:H359" si="56">SUM(E340:E342,E346:E349,E352)</f>
        <v>56.995521699515457</v>
      </c>
      <c r="F359" s="232">
        <f t="shared" si="56"/>
        <v>62.514728249049007</v>
      </c>
      <c r="G359" s="232">
        <f t="shared" si="56"/>
        <v>62.177248278213725</v>
      </c>
      <c r="H359" s="232">
        <f t="shared" si="56"/>
        <v>69.923062399843701</v>
      </c>
    </row>
    <row r="360" spans="3:8">
      <c r="C360" s="221" t="s">
        <v>339</v>
      </c>
      <c r="D360" s="232">
        <f>SUM(D343:D345,D350:D351)</f>
        <v>35.799766897955557</v>
      </c>
      <c r="E360" s="232">
        <f t="shared" ref="E360:H360" si="57">SUM(E343:E345,E350:E351)</f>
        <v>43.004478300484543</v>
      </c>
      <c r="F360" s="232">
        <f t="shared" si="57"/>
        <v>37.485271750951</v>
      </c>
      <c r="G360" s="232">
        <f t="shared" si="57"/>
        <v>37.822751721786297</v>
      </c>
      <c r="H360" s="232">
        <f t="shared" si="57"/>
        <v>30.07693760015631</v>
      </c>
    </row>
    <row r="361" spans="3:8">
      <c r="C361" s="219" t="s">
        <v>340</v>
      </c>
      <c r="D361" s="215"/>
      <c r="E361" s="216"/>
      <c r="F361" s="216"/>
      <c r="G361" s="216"/>
      <c r="H361" s="216"/>
    </row>
    <row r="362" spans="3:8">
      <c r="C362" s="219" t="s">
        <v>341</v>
      </c>
      <c r="D362" s="215"/>
      <c r="E362" s="216"/>
      <c r="F362" s="216"/>
      <c r="G362" s="216"/>
      <c r="H362" s="216"/>
    </row>
    <row r="363" spans="3:8">
      <c r="C363" s="219"/>
      <c r="D363" s="215"/>
      <c r="E363" s="216"/>
      <c r="F363" s="216"/>
      <c r="G363" s="216"/>
      <c r="H363" s="216"/>
    </row>
    <row r="364" spans="3:8">
      <c r="C364" s="157" t="s">
        <v>378</v>
      </c>
    </row>
    <row r="365" spans="3:8">
      <c r="C365" s="225"/>
      <c r="D365" s="317" t="s">
        <v>223</v>
      </c>
      <c r="E365" s="317" t="s">
        <v>224</v>
      </c>
      <c r="F365" s="317" t="s">
        <v>225</v>
      </c>
    </row>
    <row r="366" spans="3:8">
      <c r="C366" s="301" t="s">
        <v>219</v>
      </c>
      <c r="D366" s="302">
        <f>SUM(D367)</f>
        <v>1.601E-2</v>
      </c>
      <c r="E366" s="302">
        <f>SUM(E367)</f>
        <v>196.14560999999998</v>
      </c>
      <c r="F366" s="302">
        <f t="shared" ref="F366:F391" si="58">D366-E366</f>
        <v>-196.12959999999998</v>
      </c>
      <c r="G366" s="354"/>
    </row>
    <row r="367" spans="3:8">
      <c r="C367" s="304" t="s">
        <v>226</v>
      </c>
      <c r="D367" s="305">
        <v>1.601E-2</v>
      </c>
      <c r="E367" s="305">
        <v>196.14560999999998</v>
      </c>
      <c r="F367" s="305">
        <f>D367-E367</f>
        <v>-196.12959999999998</v>
      </c>
    </row>
    <row r="368" spans="3:8">
      <c r="C368" s="301" t="s">
        <v>217</v>
      </c>
      <c r="D368" s="302">
        <f>SUM(D369:D375)</f>
        <v>11421.710798999999</v>
      </c>
      <c r="E368" s="302">
        <f>SUM(E369:E375)</f>
        <v>6192.4584060000007</v>
      </c>
      <c r="F368" s="302">
        <f t="shared" si="58"/>
        <v>5229.2523929999979</v>
      </c>
      <c r="G368" s="354"/>
    </row>
    <row r="369" spans="3:7">
      <c r="C369" s="307" t="s">
        <v>227</v>
      </c>
      <c r="D369" s="308">
        <v>0</v>
      </c>
      <c r="E369" s="308">
        <v>1.315115</v>
      </c>
      <c r="F369" s="308">
        <f t="shared" si="58"/>
        <v>-1.315115</v>
      </c>
    </row>
    <row r="370" spans="3:7">
      <c r="C370" s="307" t="s">
        <v>228</v>
      </c>
      <c r="D370" s="308">
        <v>584.84171300000003</v>
      </c>
      <c r="E370" s="308">
        <v>403.06852600000002</v>
      </c>
      <c r="F370" s="308">
        <f t="shared" si="58"/>
        <v>181.77318700000001</v>
      </c>
    </row>
    <row r="371" spans="3:7">
      <c r="C371" s="307" t="s">
        <v>229</v>
      </c>
      <c r="D371" s="308">
        <v>3984.740562</v>
      </c>
      <c r="E371" s="308">
        <v>2571.4077900000002</v>
      </c>
      <c r="F371" s="308">
        <f t="shared" si="58"/>
        <v>1413.3327719999997</v>
      </c>
    </row>
    <row r="372" spans="3:7">
      <c r="C372" s="307" t="s">
        <v>230</v>
      </c>
      <c r="D372" s="308">
        <v>568.39041199999997</v>
      </c>
      <c r="E372" s="308">
        <v>498.52179799999999</v>
      </c>
      <c r="F372" s="308">
        <f t="shared" si="58"/>
        <v>69.86861399999998</v>
      </c>
    </row>
    <row r="373" spans="3:7">
      <c r="C373" s="307" t="s">
        <v>231</v>
      </c>
      <c r="D373" s="308">
        <v>3.0716E-2</v>
      </c>
      <c r="E373" s="308">
        <v>0.153781</v>
      </c>
      <c r="F373" s="308">
        <f t="shared" si="58"/>
        <v>-0.12306500000000001</v>
      </c>
    </row>
    <row r="374" spans="3:7">
      <c r="C374" s="307" t="s">
        <v>232</v>
      </c>
      <c r="D374" s="308">
        <v>4205.1918049999995</v>
      </c>
      <c r="E374" s="308">
        <v>1706.4419929999999</v>
      </c>
      <c r="F374" s="308">
        <f t="shared" si="58"/>
        <v>2498.7498119999996</v>
      </c>
    </row>
    <row r="375" spans="3:7">
      <c r="C375" s="304" t="s">
        <v>233</v>
      </c>
      <c r="D375" s="305">
        <v>2078.5155909999999</v>
      </c>
      <c r="E375" s="305">
        <v>1011.5494030000001</v>
      </c>
      <c r="F375" s="305">
        <f t="shared" si="58"/>
        <v>1066.9661879999999</v>
      </c>
    </row>
    <row r="376" spans="3:7">
      <c r="C376" s="301" t="s">
        <v>218</v>
      </c>
      <c r="D376" s="302">
        <f>SUM(D377:D388)</f>
        <v>6096.8814509999993</v>
      </c>
      <c r="E376" s="302">
        <f>SUM(E377:E388)</f>
        <v>7553.5647570000001</v>
      </c>
      <c r="F376" s="302">
        <f t="shared" si="58"/>
        <v>-1456.6833060000008</v>
      </c>
      <c r="G376" s="354"/>
    </row>
    <row r="377" spans="3:7">
      <c r="C377" s="307" t="s">
        <v>234</v>
      </c>
      <c r="D377" s="308">
        <v>1019.1496</v>
      </c>
      <c r="E377" s="308">
        <v>3190.0945000000002</v>
      </c>
      <c r="F377" s="308">
        <f t="shared" si="58"/>
        <v>-2170.9449000000004</v>
      </c>
    </row>
    <row r="378" spans="3:7">
      <c r="C378" s="307" t="s">
        <v>235</v>
      </c>
      <c r="D378" s="308">
        <v>0</v>
      </c>
      <c r="E378" s="308">
        <v>0</v>
      </c>
      <c r="F378" s="308">
        <f t="shared" si="58"/>
        <v>0</v>
      </c>
    </row>
    <row r="379" spans="3:7">
      <c r="C379" s="307" t="s">
        <v>236</v>
      </c>
      <c r="D379" s="308">
        <v>2517.8245200000001</v>
      </c>
      <c r="E379" s="308">
        <v>796.69634400000007</v>
      </c>
      <c r="F379" s="308">
        <f t="shared" si="58"/>
        <v>1721.1281760000002</v>
      </c>
    </row>
    <row r="380" spans="3:7">
      <c r="C380" s="307" t="s">
        <v>237</v>
      </c>
      <c r="D380" s="308">
        <v>204.2901</v>
      </c>
      <c r="E380" s="308">
        <v>277.01740000000001</v>
      </c>
      <c r="F380" s="308">
        <f t="shared" si="58"/>
        <v>-72.727300000000014</v>
      </c>
    </row>
    <row r="381" spans="3:7">
      <c r="C381" s="307" t="s">
        <v>238</v>
      </c>
      <c r="D381" s="308">
        <v>202.12539999999998</v>
      </c>
      <c r="E381" s="308">
        <v>273.05459999999999</v>
      </c>
      <c r="F381" s="308">
        <f t="shared" si="58"/>
        <v>-70.929200000000009</v>
      </c>
    </row>
    <row r="382" spans="3:7">
      <c r="C382" s="307" t="s">
        <v>239</v>
      </c>
      <c r="D382" s="308">
        <v>190.67270000000002</v>
      </c>
      <c r="E382" s="308">
        <v>287.09034000000003</v>
      </c>
      <c r="F382" s="308">
        <f t="shared" si="58"/>
        <v>-96.417640000000006</v>
      </c>
    </row>
    <row r="383" spans="3:7">
      <c r="C383" s="307" t="s">
        <v>240</v>
      </c>
      <c r="D383" s="308">
        <v>934.13419999999996</v>
      </c>
      <c r="E383" s="308">
        <v>811.91740000000004</v>
      </c>
      <c r="F383" s="308">
        <f t="shared" si="58"/>
        <v>122.21679999999992</v>
      </c>
    </row>
    <row r="384" spans="3:7">
      <c r="C384" s="307" t="s">
        <v>241</v>
      </c>
      <c r="D384" s="308">
        <v>8.6399999999999997E-4</v>
      </c>
      <c r="E384" s="308">
        <v>4.6820000000000004E-3</v>
      </c>
      <c r="F384" s="308">
        <f t="shared" si="58"/>
        <v>-3.8180000000000002E-3</v>
      </c>
    </row>
    <row r="385" spans="3:7">
      <c r="C385" s="307" t="s">
        <v>242</v>
      </c>
      <c r="D385" s="308">
        <v>568.82073400000002</v>
      </c>
      <c r="E385" s="308">
        <v>1255.107121</v>
      </c>
      <c r="F385" s="308">
        <f t="shared" si="58"/>
        <v>-686.28638699999999</v>
      </c>
    </row>
    <row r="386" spans="3:7">
      <c r="C386" s="307" t="s">
        <v>243</v>
      </c>
      <c r="D386" s="308">
        <v>0</v>
      </c>
      <c r="E386" s="308">
        <v>0</v>
      </c>
      <c r="F386" s="308">
        <f t="shared" si="58"/>
        <v>0</v>
      </c>
    </row>
    <row r="387" spans="3:7">
      <c r="C387" s="307" t="s">
        <v>244</v>
      </c>
      <c r="D387" s="308">
        <v>459.86333300000001</v>
      </c>
      <c r="E387" s="308">
        <v>662.58236999999997</v>
      </c>
      <c r="F387" s="308">
        <f t="shared" si="58"/>
        <v>-202.71903699999996</v>
      </c>
    </row>
    <row r="388" spans="3:7">
      <c r="C388" s="304" t="s">
        <v>267</v>
      </c>
      <c r="D388" s="305">
        <v>0</v>
      </c>
      <c r="E388" s="305">
        <v>0</v>
      </c>
      <c r="F388" s="305">
        <f t="shared" si="58"/>
        <v>0</v>
      </c>
    </row>
    <row r="389" spans="3:7">
      <c r="C389" s="301" t="s">
        <v>220</v>
      </c>
      <c r="D389" s="302">
        <f>SUM(D390)</f>
        <v>409.7561</v>
      </c>
      <c r="E389" s="302">
        <f>SUM(E390)</f>
        <v>706.61069999999995</v>
      </c>
      <c r="F389" s="302">
        <f t="shared" si="58"/>
        <v>-296.85459999999995</v>
      </c>
      <c r="G389" s="354"/>
    </row>
    <row r="390" spans="3:7">
      <c r="C390" s="304" t="s">
        <v>245</v>
      </c>
      <c r="D390" s="305">
        <v>409.7561</v>
      </c>
      <c r="E390" s="305">
        <v>706.61069999999995</v>
      </c>
      <c r="F390" s="305">
        <f t="shared" si="58"/>
        <v>-296.85459999999995</v>
      </c>
    </row>
    <row r="391" spans="3:7">
      <c r="C391" s="313" t="s">
        <v>29</v>
      </c>
      <c r="D391" s="314">
        <f>D366+D368+D376+D389</f>
        <v>17928.364359999996</v>
      </c>
      <c r="E391" s="314">
        <f>E366+E368+E376+E389</f>
        <v>14648.779473000001</v>
      </c>
      <c r="F391" s="314">
        <f t="shared" si="58"/>
        <v>3279.5848869999954</v>
      </c>
      <c r="G391" s="354"/>
    </row>
    <row r="392" spans="3:7">
      <c r="F392" s="354">
        <f>F391-'C25'!J13</f>
        <v>-4.0927261579781771E-12</v>
      </c>
    </row>
  </sheetData>
  <sortState xmlns:xlrd2="http://schemas.microsoft.com/office/spreadsheetml/2017/richdata2" ref="K107:L125">
    <sortCondition descending="1" ref="L107:L125"/>
  </sortState>
  <mergeCells count="9">
    <mergeCell ref="C83:F83"/>
    <mergeCell ref="C105:F105"/>
    <mergeCell ref="D231:E231"/>
    <mergeCell ref="F231:G231"/>
    <mergeCell ref="C127:F127"/>
    <mergeCell ref="D128:E128"/>
    <mergeCell ref="F128:I128"/>
    <mergeCell ref="D223:E223"/>
    <mergeCell ref="F223:G223"/>
  </mergeCells>
  <printOptions gridLinesSet="0"/>
  <pageMargins left="0.39370078740157483" right="0.39370078740157483" top="0.39370078740157483" bottom="0.39370078740157483" header="0.39370078740157483" footer="0.39370078740157483"/>
  <pageSetup paperSize="9" orientation="portrait" horizontalDpi="4294967292" verticalDpi="4294967292" r:id="rId1"/>
  <headerFooter alignWithMargins="0"/>
  <colBreaks count="1" manualBreakCount="1">
    <brk id="24" max="1048575" man="1"/>
  </colBreaks>
  <ignoredErrors>
    <ignoredError sqref="W21 W42" formula="1"/>
    <ignoredError sqref="H332 E314:H314 D332:G332 X10" formulaRange="1"/>
    <ignoredError sqref="H355" evalError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3470-0F58-4EB3-AA60-D77F79AB5906}">
  <sheetPr>
    <pageSetUpPr autoPageBreaks="0" fitToPage="1"/>
  </sheetPr>
  <dimension ref="A1:AS129"/>
  <sheetViews>
    <sheetView showOutlineSymbols="0" topLeftCell="A114" zoomScaleNormal="100" workbookViewId="0">
      <selection activeCell="E110" sqref="E110"/>
    </sheetView>
  </sheetViews>
  <sheetFormatPr baseColWidth="10" defaultRowHeight="11.25"/>
  <cols>
    <col min="1" max="1" width="0.140625" style="13" customWidth="1"/>
    <col min="2" max="2" width="2.7109375" style="13" customWidth="1"/>
    <col min="3" max="3" width="21.7109375" style="17" customWidth="1"/>
    <col min="4" max="4" width="17.28515625" style="17" customWidth="1"/>
    <col min="5" max="5" width="12.7109375" style="17" customWidth="1"/>
    <col min="6" max="6" width="15.42578125" style="17" customWidth="1"/>
    <col min="7" max="11" width="12.5703125" style="17" customWidth="1"/>
    <col min="12" max="13" width="11.28515625" style="17" bestFit="1" customWidth="1"/>
    <col min="14" max="14" width="11" style="17" bestFit="1" customWidth="1"/>
    <col min="15" max="18" width="11.28515625" style="17" bestFit="1" customWidth="1"/>
    <col min="19" max="19" width="11" style="17" bestFit="1" customWidth="1"/>
    <col min="20" max="23" width="11.28515625" style="17" bestFit="1" customWidth="1"/>
    <col min="24" max="256" width="11.42578125" style="17"/>
    <col min="257" max="257" width="0.140625" style="17" customWidth="1"/>
    <col min="258" max="258" width="2.7109375" style="17" customWidth="1"/>
    <col min="259" max="259" width="42.5703125" style="17" customWidth="1"/>
    <col min="260" max="260" width="12.85546875" style="17" customWidth="1"/>
    <col min="261" max="261" width="12.7109375" style="17" customWidth="1"/>
    <col min="262" max="262" width="15.42578125" style="17" customWidth="1"/>
    <col min="263" max="267" width="12.5703125" style="17" customWidth="1"/>
    <col min="268" max="269" width="11.28515625" style="17" bestFit="1" customWidth="1"/>
    <col min="270" max="270" width="11" style="17" bestFit="1" customWidth="1"/>
    <col min="271" max="271" width="10.85546875" style="17" bestFit="1" customWidth="1"/>
    <col min="272" max="272" width="11.28515625" style="17" bestFit="1" customWidth="1"/>
    <col min="273" max="273" width="7.85546875" style="17" bestFit="1" customWidth="1"/>
    <col min="274" max="274" width="7" style="17" customWidth="1"/>
    <col min="275" max="275" width="17.42578125" style="17" customWidth="1"/>
    <col min="276" max="276" width="7.140625" style="17" customWidth="1"/>
    <col min="277" max="277" width="9.5703125" style="17" customWidth="1"/>
    <col min="278" max="279" width="15.5703125" style="17" customWidth="1"/>
    <col min="280" max="280" width="1.85546875" style="17" customWidth="1"/>
    <col min="281" max="281" width="1.7109375" style="17" customWidth="1"/>
    <col min="282" max="282" width="1.85546875" style="17" customWidth="1"/>
    <col min="283" max="286" width="12.140625" style="17" customWidth="1"/>
    <col min="287" max="287" width="1.85546875" style="17" customWidth="1"/>
    <col min="288" max="289" width="1.42578125" style="17" customWidth="1"/>
    <col min="290" max="290" width="11.42578125" style="17"/>
    <col min="291" max="293" width="18.7109375" style="17" customWidth="1"/>
    <col min="294" max="512" width="11.42578125" style="17"/>
    <col min="513" max="513" width="0.140625" style="17" customWidth="1"/>
    <col min="514" max="514" width="2.7109375" style="17" customWidth="1"/>
    <col min="515" max="515" width="42.5703125" style="17" customWidth="1"/>
    <col min="516" max="516" width="12.85546875" style="17" customWidth="1"/>
    <col min="517" max="517" width="12.7109375" style="17" customWidth="1"/>
    <col min="518" max="518" width="15.42578125" style="17" customWidth="1"/>
    <col min="519" max="523" width="12.5703125" style="17" customWidth="1"/>
    <col min="524" max="525" width="11.28515625" style="17" bestFit="1" customWidth="1"/>
    <col min="526" max="526" width="11" style="17" bestFit="1" customWidth="1"/>
    <col min="527" max="527" width="10.85546875" style="17" bestFit="1" customWidth="1"/>
    <col min="528" max="528" width="11.28515625" style="17" bestFit="1" customWidth="1"/>
    <col min="529" max="529" width="7.85546875" style="17" bestFit="1" customWidth="1"/>
    <col min="530" max="530" width="7" style="17" customWidth="1"/>
    <col min="531" max="531" width="17.42578125" style="17" customWidth="1"/>
    <col min="532" max="532" width="7.140625" style="17" customWidth="1"/>
    <col min="533" max="533" width="9.5703125" style="17" customWidth="1"/>
    <col min="534" max="535" width="15.5703125" style="17" customWidth="1"/>
    <col min="536" max="536" width="1.85546875" style="17" customWidth="1"/>
    <col min="537" max="537" width="1.7109375" style="17" customWidth="1"/>
    <col min="538" max="538" width="1.85546875" style="17" customWidth="1"/>
    <col min="539" max="542" width="12.140625" style="17" customWidth="1"/>
    <col min="543" max="543" width="1.85546875" style="17" customWidth="1"/>
    <col min="544" max="545" width="1.42578125" style="17" customWidth="1"/>
    <col min="546" max="546" width="11.42578125" style="17"/>
    <col min="547" max="549" width="18.7109375" style="17" customWidth="1"/>
    <col min="550" max="768" width="11.42578125" style="17"/>
    <col min="769" max="769" width="0.140625" style="17" customWidth="1"/>
    <col min="770" max="770" width="2.7109375" style="17" customWidth="1"/>
    <col min="771" max="771" width="42.5703125" style="17" customWidth="1"/>
    <col min="772" max="772" width="12.85546875" style="17" customWidth="1"/>
    <col min="773" max="773" width="12.7109375" style="17" customWidth="1"/>
    <col min="774" max="774" width="15.42578125" style="17" customWidth="1"/>
    <col min="775" max="779" width="12.5703125" style="17" customWidth="1"/>
    <col min="780" max="781" width="11.28515625" style="17" bestFit="1" customWidth="1"/>
    <col min="782" max="782" width="11" style="17" bestFit="1" customWidth="1"/>
    <col min="783" max="783" width="10.85546875" style="17" bestFit="1" customWidth="1"/>
    <col min="784" max="784" width="11.28515625" style="17" bestFit="1" customWidth="1"/>
    <col min="785" max="785" width="7.85546875" style="17" bestFit="1" customWidth="1"/>
    <col min="786" max="786" width="7" style="17" customWidth="1"/>
    <col min="787" max="787" width="17.42578125" style="17" customWidth="1"/>
    <col min="788" max="788" width="7.140625" style="17" customWidth="1"/>
    <col min="789" max="789" width="9.5703125" style="17" customWidth="1"/>
    <col min="790" max="791" width="15.5703125" style="17" customWidth="1"/>
    <col min="792" max="792" width="1.85546875" style="17" customWidth="1"/>
    <col min="793" max="793" width="1.7109375" style="17" customWidth="1"/>
    <col min="794" max="794" width="1.85546875" style="17" customWidth="1"/>
    <col min="795" max="798" width="12.140625" style="17" customWidth="1"/>
    <col min="799" max="799" width="1.85546875" style="17" customWidth="1"/>
    <col min="800" max="801" width="1.42578125" style="17" customWidth="1"/>
    <col min="802" max="802" width="11.42578125" style="17"/>
    <col min="803" max="805" width="18.7109375" style="17" customWidth="1"/>
    <col min="806" max="1024" width="11.42578125" style="17"/>
    <col min="1025" max="1025" width="0.140625" style="17" customWidth="1"/>
    <col min="1026" max="1026" width="2.7109375" style="17" customWidth="1"/>
    <col min="1027" max="1027" width="42.5703125" style="17" customWidth="1"/>
    <col min="1028" max="1028" width="12.85546875" style="17" customWidth="1"/>
    <col min="1029" max="1029" width="12.7109375" style="17" customWidth="1"/>
    <col min="1030" max="1030" width="15.42578125" style="17" customWidth="1"/>
    <col min="1031" max="1035" width="12.5703125" style="17" customWidth="1"/>
    <col min="1036" max="1037" width="11.28515625" style="17" bestFit="1" customWidth="1"/>
    <col min="1038" max="1038" width="11" style="17" bestFit="1" customWidth="1"/>
    <col min="1039" max="1039" width="10.85546875" style="17" bestFit="1" customWidth="1"/>
    <col min="1040" max="1040" width="11.28515625" style="17" bestFit="1" customWidth="1"/>
    <col min="1041" max="1041" width="7.85546875" style="17" bestFit="1" customWidth="1"/>
    <col min="1042" max="1042" width="7" style="17" customWidth="1"/>
    <col min="1043" max="1043" width="17.42578125" style="17" customWidth="1"/>
    <col min="1044" max="1044" width="7.140625" style="17" customWidth="1"/>
    <col min="1045" max="1045" width="9.5703125" style="17" customWidth="1"/>
    <col min="1046" max="1047" width="15.5703125" style="17" customWidth="1"/>
    <col min="1048" max="1048" width="1.85546875" style="17" customWidth="1"/>
    <col min="1049" max="1049" width="1.7109375" style="17" customWidth="1"/>
    <col min="1050" max="1050" width="1.85546875" style="17" customWidth="1"/>
    <col min="1051" max="1054" width="12.140625" style="17" customWidth="1"/>
    <col min="1055" max="1055" width="1.85546875" style="17" customWidth="1"/>
    <col min="1056" max="1057" width="1.42578125" style="17" customWidth="1"/>
    <col min="1058" max="1058" width="11.42578125" style="17"/>
    <col min="1059" max="1061" width="18.7109375" style="17" customWidth="1"/>
    <col min="1062" max="1280" width="11.42578125" style="17"/>
    <col min="1281" max="1281" width="0.140625" style="17" customWidth="1"/>
    <col min="1282" max="1282" width="2.7109375" style="17" customWidth="1"/>
    <col min="1283" max="1283" width="42.5703125" style="17" customWidth="1"/>
    <col min="1284" max="1284" width="12.85546875" style="17" customWidth="1"/>
    <col min="1285" max="1285" width="12.7109375" style="17" customWidth="1"/>
    <col min="1286" max="1286" width="15.42578125" style="17" customWidth="1"/>
    <col min="1287" max="1291" width="12.5703125" style="17" customWidth="1"/>
    <col min="1292" max="1293" width="11.28515625" style="17" bestFit="1" customWidth="1"/>
    <col min="1294" max="1294" width="11" style="17" bestFit="1" customWidth="1"/>
    <col min="1295" max="1295" width="10.85546875" style="17" bestFit="1" customWidth="1"/>
    <col min="1296" max="1296" width="11.28515625" style="17" bestFit="1" customWidth="1"/>
    <col min="1297" max="1297" width="7.85546875" style="17" bestFit="1" customWidth="1"/>
    <col min="1298" max="1298" width="7" style="17" customWidth="1"/>
    <col min="1299" max="1299" width="17.42578125" style="17" customWidth="1"/>
    <col min="1300" max="1300" width="7.140625" style="17" customWidth="1"/>
    <col min="1301" max="1301" width="9.5703125" style="17" customWidth="1"/>
    <col min="1302" max="1303" width="15.5703125" style="17" customWidth="1"/>
    <col min="1304" max="1304" width="1.85546875" style="17" customWidth="1"/>
    <col min="1305" max="1305" width="1.7109375" style="17" customWidth="1"/>
    <col min="1306" max="1306" width="1.85546875" style="17" customWidth="1"/>
    <col min="1307" max="1310" width="12.140625" style="17" customWidth="1"/>
    <col min="1311" max="1311" width="1.85546875" style="17" customWidth="1"/>
    <col min="1312" max="1313" width="1.42578125" style="17" customWidth="1"/>
    <col min="1314" max="1314" width="11.42578125" style="17"/>
    <col min="1315" max="1317" width="18.7109375" style="17" customWidth="1"/>
    <col min="1318" max="1536" width="11.42578125" style="17"/>
    <col min="1537" max="1537" width="0.140625" style="17" customWidth="1"/>
    <col min="1538" max="1538" width="2.7109375" style="17" customWidth="1"/>
    <col min="1539" max="1539" width="42.5703125" style="17" customWidth="1"/>
    <col min="1540" max="1540" width="12.85546875" style="17" customWidth="1"/>
    <col min="1541" max="1541" width="12.7109375" style="17" customWidth="1"/>
    <col min="1542" max="1542" width="15.42578125" style="17" customWidth="1"/>
    <col min="1543" max="1547" width="12.5703125" style="17" customWidth="1"/>
    <col min="1548" max="1549" width="11.28515625" style="17" bestFit="1" customWidth="1"/>
    <col min="1550" max="1550" width="11" style="17" bestFit="1" customWidth="1"/>
    <col min="1551" max="1551" width="10.85546875" style="17" bestFit="1" customWidth="1"/>
    <col min="1552" max="1552" width="11.28515625" style="17" bestFit="1" customWidth="1"/>
    <col min="1553" max="1553" width="7.85546875" style="17" bestFit="1" customWidth="1"/>
    <col min="1554" max="1554" width="7" style="17" customWidth="1"/>
    <col min="1555" max="1555" width="17.42578125" style="17" customWidth="1"/>
    <col min="1556" max="1556" width="7.140625" style="17" customWidth="1"/>
    <col min="1557" max="1557" width="9.5703125" style="17" customWidth="1"/>
    <col min="1558" max="1559" width="15.5703125" style="17" customWidth="1"/>
    <col min="1560" max="1560" width="1.85546875" style="17" customWidth="1"/>
    <col min="1561" max="1561" width="1.7109375" style="17" customWidth="1"/>
    <col min="1562" max="1562" width="1.85546875" style="17" customWidth="1"/>
    <col min="1563" max="1566" width="12.140625" style="17" customWidth="1"/>
    <col min="1567" max="1567" width="1.85546875" style="17" customWidth="1"/>
    <col min="1568" max="1569" width="1.42578125" style="17" customWidth="1"/>
    <col min="1570" max="1570" width="11.42578125" style="17"/>
    <col min="1571" max="1573" width="18.7109375" style="17" customWidth="1"/>
    <col min="1574" max="1792" width="11.42578125" style="17"/>
    <col min="1793" max="1793" width="0.140625" style="17" customWidth="1"/>
    <col min="1794" max="1794" width="2.7109375" style="17" customWidth="1"/>
    <col min="1795" max="1795" width="42.5703125" style="17" customWidth="1"/>
    <col min="1796" max="1796" width="12.85546875" style="17" customWidth="1"/>
    <col min="1797" max="1797" width="12.7109375" style="17" customWidth="1"/>
    <col min="1798" max="1798" width="15.42578125" style="17" customWidth="1"/>
    <col min="1799" max="1803" width="12.5703125" style="17" customWidth="1"/>
    <col min="1804" max="1805" width="11.28515625" style="17" bestFit="1" customWidth="1"/>
    <col min="1806" max="1806" width="11" style="17" bestFit="1" customWidth="1"/>
    <col min="1807" max="1807" width="10.85546875" style="17" bestFit="1" customWidth="1"/>
    <col min="1808" max="1808" width="11.28515625" style="17" bestFit="1" customWidth="1"/>
    <col min="1809" max="1809" width="7.85546875" style="17" bestFit="1" customWidth="1"/>
    <col min="1810" max="1810" width="7" style="17" customWidth="1"/>
    <col min="1811" max="1811" width="17.42578125" style="17" customWidth="1"/>
    <col min="1812" max="1812" width="7.140625" style="17" customWidth="1"/>
    <col min="1813" max="1813" width="9.5703125" style="17" customWidth="1"/>
    <col min="1814" max="1815" width="15.5703125" style="17" customWidth="1"/>
    <col min="1816" max="1816" width="1.85546875" style="17" customWidth="1"/>
    <col min="1817" max="1817" width="1.7109375" style="17" customWidth="1"/>
    <col min="1818" max="1818" width="1.85546875" style="17" customWidth="1"/>
    <col min="1819" max="1822" width="12.140625" style="17" customWidth="1"/>
    <col min="1823" max="1823" width="1.85546875" style="17" customWidth="1"/>
    <col min="1824" max="1825" width="1.42578125" style="17" customWidth="1"/>
    <col min="1826" max="1826" width="11.42578125" style="17"/>
    <col min="1827" max="1829" width="18.7109375" style="17" customWidth="1"/>
    <col min="1830" max="2048" width="11.42578125" style="17"/>
    <col min="2049" max="2049" width="0.140625" style="17" customWidth="1"/>
    <col min="2050" max="2050" width="2.7109375" style="17" customWidth="1"/>
    <col min="2051" max="2051" width="42.5703125" style="17" customWidth="1"/>
    <col min="2052" max="2052" width="12.85546875" style="17" customWidth="1"/>
    <col min="2053" max="2053" width="12.7109375" style="17" customWidth="1"/>
    <col min="2054" max="2054" width="15.42578125" style="17" customWidth="1"/>
    <col min="2055" max="2059" width="12.5703125" style="17" customWidth="1"/>
    <col min="2060" max="2061" width="11.28515625" style="17" bestFit="1" customWidth="1"/>
    <col min="2062" max="2062" width="11" style="17" bestFit="1" customWidth="1"/>
    <col min="2063" max="2063" width="10.85546875" style="17" bestFit="1" customWidth="1"/>
    <col min="2064" max="2064" width="11.28515625" style="17" bestFit="1" customWidth="1"/>
    <col min="2065" max="2065" width="7.85546875" style="17" bestFit="1" customWidth="1"/>
    <col min="2066" max="2066" width="7" style="17" customWidth="1"/>
    <col min="2067" max="2067" width="17.42578125" style="17" customWidth="1"/>
    <col min="2068" max="2068" width="7.140625" style="17" customWidth="1"/>
    <col min="2069" max="2069" width="9.5703125" style="17" customWidth="1"/>
    <col min="2070" max="2071" width="15.5703125" style="17" customWidth="1"/>
    <col min="2072" max="2072" width="1.85546875" style="17" customWidth="1"/>
    <col min="2073" max="2073" width="1.7109375" style="17" customWidth="1"/>
    <col min="2074" max="2074" width="1.85546875" style="17" customWidth="1"/>
    <col min="2075" max="2078" width="12.140625" style="17" customWidth="1"/>
    <col min="2079" max="2079" width="1.85546875" style="17" customWidth="1"/>
    <col min="2080" max="2081" width="1.42578125" style="17" customWidth="1"/>
    <col min="2082" max="2082" width="11.42578125" style="17"/>
    <col min="2083" max="2085" width="18.7109375" style="17" customWidth="1"/>
    <col min="2086" max="2304" width="11.42578125" style="17"/>
    <col min="2305" max="2305" width="0.140625" style="17" customWidth="1"/>
    <col min="2306" max="2306" width="2.7109375" style="17" customWidth="1"/>
    <col min="2307" max="2307" width="42.5703125" style="17" customWidth="1"/>
    <col min="2308" max="2308" width="12.85546875" style="17" customWidth="1"/>
    <col min="2309" max="2309" width="12.7109375" style="17" customWidth="1"/>
    <col min="2310" max="2310" width="15.42578125" style="17" customWidth="1"/>
    <col min="2311" max="2315" width="12.5703125" style="17" customWidth="1"/>
    <col min="2316" max="2317" width="11.28515625" style="17" bestFit="1" customWidth="1"/>
    <col min="2318" max="2318" width="11" style="17" bestFit="1" customWidth="1"/>
    <col min="2319" max="2319" width="10.85546875" style="17" bestFit="1" customWidth="1"/>
    <col min="2320" max="2320" width="11.28515625" style="17" bestFit="1" customWidth="1"/>
    <col min="2321" max="2321" width="7.85546875" style="17" bestFit="1" customWidth="1"/>
    <col min="2322" max="2322" width="7" style="17" customWidth="1"/>
    <col min="2323" max="2323" width="17.42578125" style="17" customWidth="1"/>
    <col min="2324" max="2324" width="7.140625" style="17" customWidth="1"/>
    <col min="2325" max="2325" width="9.5703125" style="17" customWidth="1"/>
    <col min="2326" max="2327" width="15.5703125" style="17" customWidth="1"/>
    <col min="2328" max="2328" width="1.85546875" style="17" customWidth="1"/>
    <col min="2329" max="2329" width="1.7109375" style="17" customWidth="1"/>
    <col min="2330" max="2330" width="1.85546875" style="17" customWidth="1"/>
    <col min="2331" max="2334" width="12.140625" style="17" customWidth="1"/>
    <col min="2335" max="2335" width="1.85546875" style="17" customWidth="1"/>
    <col min="2336" max="2337" width="1.42578125" style="17" customWidth="1"/>
    <col min="2338" max="2338" width="11.42578125" style="17"/>
    <col min="2339" max="2341" width="18.7109375" style="17" customWidth="1"/>
    <col min="2342" max="2560" width="11.42578125" style="17"/>
    <col min="2561" max="2561" width="0.140625" style="17" customWidth="1"/>
    <col min="2562" max="2562" width="2.7109375" style="17" customWidth="1"/>
    <col min="2563" max="2563" width="42.5703125" style="17" customWidth="1"/>
    <col min="2564" max="2564" width="12.85546875" style="17" customWidth="1"/>
    <col min="2565" max="2565" width="12.7109375" style="17" customWidth="1"/>
    <col min="2566" max="2566" width="15.42578125" style="17" customWidth="1"/>
    <col min="2567" max="2571" width="12.5703125" style="17" customWidth="1"/>
    <col min="2572" max="2573" width="11.28515625" style="17" bestFit="1" customWidth="1"/>
    <col min="2574" max="2574" width="11" style="17" bestFit="1" customWidth="1"/>
    <col min="2575" max="2575" width="10.85546875" style="17" bestFit="1" customWidth="1"/>
    <col min="2576" max="2576" width="11.28515625" style="17" bestFit="1" customWidth="1"/>
    <col min="2577" max="2577" width="7.85546875" style="17" bestFit="1" customWidth="1"/>
    <col min="2578" max="2578" width="7" style="17" customWidth="1"/>
    <col min="2579" max="2579" width="17.42578125" style="17" customWidth="1"/>
    <col min="2580" max="2580" width="7.140625" style="17" customWidth="1"/>
    <col min="2581" max="2581" width="9.5703125" style="17" customWidth="1"/>
    <col min="2582" max="2583" width="15.5703125" style="17" customWidth="1"/>
    <col min="2584" max="2584" width="1.85546875" style="17" customWidth="1"/>
    <col min="2585" max="2585" width="1.7109375" style="17" customWidth="1"/>
    <col min="2586" max="2586" width="1.85546875" style="17" customWidth="1"/>
    <col min="2587" max="2590" width="12.140625" style="17" customWidth="1"/>
    <col min="2591" max="2591" width="1.85546875" style="17" customWidth="1"/>
    <col min="2592" max="2593" width="1.42578125" style="17" customWidth="1"/>
    <col min="2594" max="2594" width="11.42578125" style="17"/>
    <col min="2595" max="2597" width="18.7109375" style="17" customWidth="1"/>
    <col min="2598" max="2816" width="11.42578125" style="17"/>
    <col min="2817" max="2817" width="0.140625" style="17" customWidth="1"/>
    <col min="2818" max="2818" width="2.7109375" style="17" customWidth="1"/>
    <col min="2819" max="2819" width="42.5703125" style="17" customWidth="1"/>
    <col min="2820" max="2820" width="12.85546875" style="17" customWidth="1"/>
    <col min="2821" max="2821" width="12.7109375" style="17" customWidth="1"/>
    <col min="2822" max="2822" width="15.42578125" style="17" customWidth="1"/>
    <col min="2823" max="2827" width="12.5703125" style="17" customWidth="1"/>
    <col min="2828" max="2829" width="11.28515625" style="17" bestFit="1" customWidth="1"/>
    <col min="2830" max="2830" width="11" style="17" bestFit="1" customWidth="1"/>
    <col min="2831" max="2831" width="10.85546875" style="17" bestFit="1" customWidth="1"/>
    <col min="2832" max="2832" width="11.28515625" style="17" bestFit="1" customWidth="1"/>
    <col min="2833" max="2833" width="7.85546875" style="17" bestFit="1" customWidth="1"/>
    <col min="2834" max="2834" width="7" style="17" customWidth="1"/>
    <col min="2835" max="2835" width="17.42578125" style="17" customWidth="1"/>
    <col min="2836" max="2836" width="7.140625" style="17" customWidth="1"/>
    <col min="2837" max="2837" width="9.5703125" style="17" customWidth="1"/>
    <col min="2838" max="2839" width="15.5703125" style="17" customWidth="1"/>
    <col min="2840" max="2840" width="1.85546875" style="17" customWidth="1"/>
    <col min="2841" max="2841" width="1.7109375" style="17" customWidth="1"/>
    <col min="2842" max="2842" width="1.85546875" style="17" customWidth="1"/>
    <col min="2843" max="2846" width="12.140625" style="17" customWidth="1"/>
    <col min="2847" max="2847" width="1.85546875" style="17" customWidth="1"/>
    <col min="2848" max="2849" width="1.42578125" style="17" customWidth="1"/>
    <col min="2850" max="2850" width="11.42578125" style="17"/>
    <col min="2851" max="2853" width="18.7109375" style="17" customWidth="1"/>
    <col min="2854" max="3072" width="11.42578125" style="17"/>
    <col min="3073" max="3073" width="0.140625" style="17" customWidth="1"/>
    <col min="3074" max="3074" width="2.7109375" style="17" customWidth="1"/>
    <col min="3075" max="3075" width="42.5703125" style="17" customWidth="1"/>
    <col min="3076" max="3076" width="12.85546875" style="17" customWidth="1"/>
    <col min="3077" max="3077" width="12.7109375" style="17" customWidth="1"/>
    <col min="3078" max="3078" width="15.42578125" style="17" customWidth="1"/>
    <col min="3079" max="3083" width="12.5703125" style="17" customWidth="1"/>
    <col min="3084" max="3085" width="11.28515625" style="17" bestFit="1" customWidth="1"/>
    <col min="3086" max="3086" width="11" style="17" bestFit="1" customWidth="1"/>
    <col min="3087" max="3087" width="10.85546875" style="17" bestFit="1" customWidth="1"/>
    <col min="3088" max="3088" width="11.28515625" style="17" bestFit="1" customWidth="1"/>
    <col min="3089" max="3089" width="7.85546875" style="17" bestFit="1" customWidth="1"/>
    <col min="3090" max="3090" width="7" style="17" customWidth="1"/>
    <col min="3091" max="3091" width="17.42578125" style="17" customWidth="1"/>
    <col min="3092" max="3092" width="7.140625" style="17" customWidth="1"/>
    <col min="3093" max="3093" width="9.5703125" style="17" customWidth="1"/>
    <col min="3094" max="3095" width="15.5703125" style="17" customWidth="1"/>
    <col min="3096" max="3096" width="1.85546875" style="17" customWidth="1"/>
    <col min="3097" max="3097" width="1.7109375" style="17" customWidth="1"/>
    <col min="3098" max="3098" width="1.85546875" style="17" customWidth="1"/>
    <col min="3099" max="3102" width="12.140625" style="17" customWidth="1"/>
    <col min="3103" max="3103" width="1.85546875" style="17" customWidth="1"/>
    <col min="3104" max="3105" width="1.42578125" style="17" customWidth="1"/>
    <col min="3106" max="3106" width="11.42578125" style="17"/>
    <col min="3107" max="3109" width="18.7109375" style="17" customWidth="1"/>
    <col min="3110" max="3328" width="11.42578125" style="17"/>
    <col min="3329" max="3329" width="0.140625" style="17" customWidth="1"/>
    <col min="3330" max="3330" width="2.7109375" style="17" customWidth="1"/>
    <col min="3331" max="3331" width="42.5703125" style="17" customWidth="1"/>
    <col min="3332" max="3332" width="12.85546875" style="17" customWidth="1"/>
    <col min="3333" max="3333" width="12.7109375" style="17" customWidth="1"/>
    <col min="3334" max="3334" width="15.42578125" style="17" customWidth="1"/>
    <col min="3335" max="3339" width="12.5703125" style="17" customWidth="1"/>
    <col min="3340" max="3341" width="11.28515625" style="17" bestFit="1" customWidth="1"/>
    <col min="3342" max="3342" width="11" style="17" bestFit="1" customWidth="1"/>
    <col min="3343" max="3343" width="10.85546875" style="17" bestFit="1" customWidth="1"/>
    <col min="3344" max="3344" width="11.28515625" style="17" bestFit="1" customWidth="1"/>
    <col min="3345" max="3345" width="7.85546875" style="17" bestFit="1" customWidth="1"/>
    <col min="3346" max="3346" width="7" style="17" customWidth="1"/>
    <col min="3347" max="3347" width="17.42578125" style="17" customWidth="1"/>
    <col min="3348" max="3348" width="7.140625" style="17" customWidth="1"/>
    <col min="3349" max="3349" width="9.5703125" style="17" customWidth="1"/>
    <col min="3350" max="3351" width="15.5703125" style="17" customWidth="1"/>
    <col min="3352" max="3352" width="1.85546875" style="17" customWidth="1"/>
    <col min="3353" max="3353" width="1.7109375" style="17" customWidth="1"/>
    <col min="3354" max="3354" width="1.85546875" style="17" customWidth="1"/>
    <col min="3355" max="3358" width="12.140625" style="17" customWidth="1"/>
    <col min="3359" max="3359" width="1.85546875" style="17" customWidth="1"/>
    <col min="3360" max="3361" width="1.42578125" style="17" customWidth="1"/>
    <col min="3362" max="3362" width="11.42578125" style="17"/>
    <col min="3363" max="3365" width="18.7109375" style="17" customWidth="1"/>
    <col min="3366" max="3584" width="11.42578125" style="17"/>
    <col min="3585" max="3585" width="0.140625" style="17" customWidth="1"/>
    <col min="3586" max="3586" width="2.7109375" style="17" customWidth="1"/>
    <col min="3587" max="3587" width="42.5703125" style="17" customWidth="1"/>
    <col min="3588" max="3588" width="12.85546875" style="17" customWidth="1"/>
    <col min="3589" max="3589" width="12.7109375" style="17" customWidth="1"/>
    <col min="3590" max="3590" width="15.42578125" style="17" customWidth="1"/>
    <col min="3591" max="3595" width="12.5703125" style="17" customWidth="1"/>
    <col min="3596" max="3597" width="11.28515625" style="17" bestFit="1" customWidth="1"/>
    <col min="3598" max="3598" width="11" style="17" bestFit="1" customWidth="1"/>
    <col min="3599" max="3599" width="10.85546875" style="17" bestFit="1" customWidth="1"/>
    <col min="3600" max="3600" width="11.28515625" style="17" bestFit="1" customWidth="1"/>
    <col min="3601" max="3601" width="7.85546875" style="17" bestFit="1" customWidth="1"/>
    <col min="3602" max="3602" width="7" style="17" customWidth="1"/>
    <col min="3603" max="3603" width="17.42578125" style="17" customWidth="1"/>
    <col min="3604" max="3604" width="7.140625" style="17" customWidth="1"/>
    <col min="3605" max="3605" width="9.5703125" style="17" customWidth="1"/>
    <col min="3606" max="3607" width="15.5703125" style="17" customWidth="1"/>
    <col min="3608" max="3608" width="1.85546875" style="17" customWidth="1"/>
    <col min="3609" max="3609" width="1.7109375" style="17" customWidth="1"/>
    <col min="3610" max="3610" width="1.85546875" style="17" customWidth="1"/>
    <col min="3611" max="3614" width="12.140625" style="17" customWidth="1"/>
    <col min="3615" max="3615" width="1.85546875" style="17" customWidth="1"/>
    <col min="3616" max="3617" width="1.42578125" style="17" customWidth="1"/>
    <col min="3618" max="3618" width="11.42578125" style="17"/>
    <col min="3619" max="3621" width="18.7109375" style="17" customWidth="1"/>
    <col min="3622" max="3840" width="11.42578125" style="17"/>
    <col min="3841" max="3841" width="0.140625" style="17" customWidth="1"/>
    <col min="3842" max="3842" width="2.7109375" style="17" customWidth="1"/>
    <col min="3843" max="3843" width="42.5703125" style="17" customWidth="1"/>
    <col min="3844" max="3844" width="12.85546875" style="17" customWidth="1"/>
    <col min="3845" max="3845" width="12.7109375" style="17" customWidth="1"/>
    <col min="3846" max="3846" width="15.42578125" style="17" customWidth="1"/>
    <col min="3847" max="3851" width="12.5703125" style="17" customWidth="1"/>
    <col min="3852" max="3853" width="11.28515625" style="17" bestFit="1" customWidth="1"/>
    <col min="3854" max="3854" width="11" style="17" bestFit="1" customWidth="1"/>
    <col min="3855" max="3855" width="10.85546875" style="17" bestFit="1" customWidth="1"/>
    <col min="3856" max="3856" width="11.28515625" style="17" bestFit="1" customWidth="1"/>
    <col min="3857" max="3857" width="7.85546875" style="17" bestFit="1" customWidth="1"/>
    <col min="3858" max="3858" width="7" style="17" customWidth="1"/>
    <col min="3859" max="3859" width="17.42578125" style="17" customWidth="1"/>
    <col min="3860" max="3860" width="7.140625" style="17" customWidth="1"/>
    <col min="3861" max="3861" width="9.5703125" style="17" customWidth="1"/>
    <col min="3862" max="3863" width="15.5703125" style="17" customWidth="1"/>
    <col min="3864" max="3864" width="1.85546875" style="17" customWidth="1"/>
    <col min="3865" max="3865" width="1.7109375" style="17" customWidth="1"/>
    <col min="3866" max="3866" width="1.85546875" style="17" customWidth="1"/>
    <col min="3867" max="3870" width="12.140625" style="17" customWidth="1"/>
    <col min="3871" max="3871" width="1.85546875" style="17" customWidth="1"/>
    <col min="3872" max="3873" width="1.42578125" style="17" customWidth="1"/>
    <col min="3874" max="3874" width="11.42578125" style="17"/>
    <col min="3875" max="3877" width="18.7109375" style="17" customWidth="1"/>
    <col min="3878" max="4096" width="11.42578125" style="17"/>
    <col min="4097" max="4097" width="0.140625" style="17" customWidth="1"/>
    <col min="4098" max="4098" width="2.7109375" style="17" customWidth="1"/>
    <col min="4099" max="4099" width="42.5703125" style="17" customWidth="1"/>
    <col min="4100" max="4100" width="12.85546875" style="17" customWidth="1"/>
    <col min="4101" max="4101" width="12.7109375" style="17" customWidth="1"/>
    <col min="4102" max="4102" width="15.42578125" style="17" customWidth="1"/>
    <col min="4103" max="4107" width="12.5703125" style="17" customWidth="1"/>
    <col min="4108" max="4109" width="11.28515625" style="17" bestFit="1" customWidth="1"/>
    <col min="4110" max="4110" width="11" style="17" bestFit="1" customWidth="1"/>
    <col min="4111" max="4111" width="10.85546875" style="17" bestFit="1" customWidth="1"/>
    <col min="4112" max="4112" width="11.28515625" style="17" bestFit="1" customWidth="1"/>
    <col min="4113" max="4113" width="7.85546875" style="17" bestFit="1" customWidth="1"/>
    <col min="4114" max="4114" width="7" style="17" customWidth="1"/>
    <col min="4115" max="4115" width="17.42578125" style="17" customWidth="1"/>
    <col min="4116" max="4116" width="7.140625" style="17" customWidth="1"/>
    <col min="4117" max="4117" width="9.5703125" style="17" customWidth="1"/>
    <col min="4118" max="4119" width="15.5703125" style="17" customWidth="1"/>
    <col min="4120" max="4120" width="1.85546875" style="17" customWidth="1"/>
    <col min="4121" max="4121" width="1.7109375" style="17" customWidth="1"/>
    <col min="4122" max="4122" width="1.85546875" style="17" customWidth="1"/>
    <col min="4123" max="4126" width="12.140625" style="17" customWidth="1"/>
    <col min="4127" max="4127" width="1.85546875" style="17" customWidth="1"/>
    <col min="4128" max="4129" width="1.42578125" style="17" customWidth="1"/>
    <col min="4130" max="4130" width="11.42578125" style="17"/>
    <col min="4131" max="4133" width="18.7109375" style="17" customWidth="1"/>
    <col min="4134" max="4352" width="11.42578125" style="17"/>
    <col min="4353" max="4353" width="0.140625" style="17" customWidth="1"/>
    <col min="4354" max="4354" width="2.7109375" style="17" customWidth="1"/>
    <col min="4355" max="4355" width="42.5703125" style="17" customWidth="1"/>
    <col min="4356" max="4356" width="12.85546875" style="17" customWidth="1"/>
    <col min="4357" max="4357" width="12.7109375" style="17" customWidth="1"/>
    <col min="4358" max="4358" width="15.42578125" style="17" customWidth="1"/>
    <col min="4359" max="4363" width="12.5703125" style="17" customWidth="1"/>
    <col min="4364" max="4365" width="11.28515625" style="17" bestFit="1" customWidth="1"/>
    <col min="4366" max="4366" width="11" style="17" bestFit="1" customWidth="1"/>
    <col min="4367" max="4367" width="10.85546875" style="17" bestFit="1" customWidth="1"/>
    <col min="4368" max="4368" width="11.28515625" style="17" bestFit="1" customWidth="1"/>
    <col min="4369" max="4369" width="7.85546875" style="17" bestFit="1" customWidth="1"/>
    <col min="4370" max="4370" width="7" style="17" customWidth="1"/>
    <col min="4371" max="4371" width="17.42578125" style="17" customWidth="1"/>
    <col min="4372" max="4372" width="7.140625" style="17" customWidth="1"/>
    <col min="4373" max="4373" width="9.5703125" style="17" customWidth="1"/>
    <col min="4374" max="4375" width="15.5703125" style="17" customWidth="1"/>
    <col min="4376" max="4376" width="1.85546875" style="17" customWidth="1"/>
    <col min="4377" max="4377" width="1.7109375" style="17" customWidth="1"/>
    <col min="4378" max="4378" width="1.85546875" style="17" customWidth="1"/>
    <col min="4379" max="4382" width="12.140625" style="17" customWidth="1"/>
    <col min="4383" max="4383" width="1.85546875" style="17" customWidth="1"/>
    <col min="4384" max="4385" width="1.42578125" style="17" customWidth="1"/>
    <col min="4386" max="4386" width="11.42578125" style="17"/>
    <col min="4387" max="4389" width="18.7109375" style="17" customWidth="1"/>
    <col min="4390" max="4608" width="11.42578125" style="17"/>
    <col min="4609" max="4609" width="0.140625" style="17" customWidth="1"/>
    <col min="4610" max="4610" width="2.7109375" style="17" customWidth="1"/>
    <col min="4611" max="4611" width="42.5703125" style="17" customWidth="1"/>
    <col min="4612" max="4612" width="12.85546875" style="17" customWidth="1"/>
    <col min="4613" max="4613" width="12.7109375" style="17" customWidth="1"/>
    <col min="4614" max="4614" width="15.42578125" style="17" customWidth="1"/>
    <col min="4615" max="4619" width="12.5703125" style="17" customWidth="1"/>
    <col min="4620" max="4621" width="11.28515625" style="17" bestFit="1" customWidth="1"/>
    <col min="4622" max="4622" width="11" style="17" bestFit="1" customWidth="1"/>
    <col min="4623" max="4623" width="10.85546875" style="17" bestFit="1" customWidth="1"/>
    <col min="4624" max="4624" width="11.28515625" style="17" bestFit="1" customWidth="1"/>
    <col min="4625" max="4625" width="7.85546875" style="17" bestFit="1" customWidth="1"/>
    <col min="4626" max="4626" width="7" style="17" customWidth="1"/>
    <col min="4627" max="4627" width="17.42578125" style="17" customWidth="1"/>
    <col min="4628" max="4628" width="7.140625" style="17" customWidth="1"/>
    <col min="4629" max="4629" width="9.5703125" style="17" customWidth="1"/>
    <col min="4630" max="4631" width="15.5703125" style="17" customWidth="1"/>
    <col min="4632" max="4632" width="1.85546875" style="17" customWidth="1"/>
    <col min="4633" max="4633" width="1.7109375" style="17" customWidth="1"/>
    <col min="4634" max="4634" width="1.85546875" style="17" customWidth="1"/>
    <col min="4635" max="4638" width="12.140625" style="17" customWidth="1"/>
    <col min="4639" max="4639" width="1.85546875" style="17" customWidth="1"/>
    <col min="4640" max="4641" width="1.42578125" style="17" customWidth="1"/>
    <col min="4642" max="4642" width="11.42578125" style="17"/>
    <col min="4643" max="4645" width="18.7109375" style="17" customWidth="1"/>
    <col min="4646" max="4864" width="11.42578125" style="17"/>
    <col min="4865" max="4865" width="0.140625" style="17" customWidth="1"/>
    <col min="4866" max="4866" width="2.7109375" style="17" customWidth="1"/>
    <col min="4867" max="4867" width="42.5703125" style="17" customWidth="1"/>
    <col min="4868" max="4868" width="12.85546875" style="17" customWidth="1"/>
    <col min="4869" max="4869" width="12.7109375" style="17" customWidth="1"/>
    <col min="4870" max="4870" width="15.42578125" style="17" customWidth="1"/>
    <col min="4871" max="4875" width="12.5703125" style="17" customWidth="1"/>
    <col min="4876" max="4877" width="11.28515625" style="17" bestFit="1" customWidth="1"/>
    <col min="4878" max="4878" width="11" style="17" bestFit="1" customWidth="1"/>
    <col min="4879" max="4879" width="10.85546875" style="17" bestFit="1" customWidth="1"/>
    <col min="4880" max="4880" width="11.28515625" style="17" bestFit="1" customWidth="1"/>
    <col min="4881" max="4881" width="7.85546875" style="17" bestFit="1" customWidth="1"/>
    <col min="4882" max="4882" width="7" style="17" customWidth="1"/>
    <col min="4883" max="4883" width="17.42578125" style="17" customWidth="1"/>
    <col min="4884" max="4884" width="7.140625" style="17" customWidth="1"/>
    <col min="4885" max="4885" width="9.5703125" style="17" customWidth="1"/>
    <col min="4886" max="4887" width="15.5703125" style="17" customWidth="1"/>
    <col min="4888" max="4888" width="1.85546875" style="17" customWidth="1"/>
    <col min="4889" max="4889" width="1.7109375" style="17" customWidth="1"/>
    <col min="4890" max="4890" width="1.85546875" style="17" customWidth="1"/>
    <col min="4891" max="4894" width="12.140625" style="17" customWidth="1"/>
    <col min="4895" max="4895" width="1.85546875" style="17" customWidth="1"/>
    <col min="4896" max="4897" width="1.42578125" style="17" customWidth="1"/>
    <col min="4898" max="4898" width="11.42578125" style="17"/>
    <col min="4899" max="4901" width="18.7109375" style="17" customWidth="1"/>
    <col min="4902" max="5120" width="11.42578125" style="17"/>
    <col min="5121" max="5121" width="0.140625" style="17" customWidth="1"/>
    <col min="5122" max="5122" width="2.7109375" style="17" customWidth="1"/>
    <col min="5123" max="5123" width="42.5703125" style="17" customWidth="1"/>
    <col min="5124" max="5124" width="12.85546875" style="17" customWidth="1"/>
    <col min="5125" max="5125" width="12.7109375" style="17" customWidth="1"/>
    <col min="5126" max="5126" width="15.42578125" style="17" customWidth="1"/>
    <col min="5127" max="5131" width="12.5703125" style="17" customWidth="1"/>
    <col min="5132" max="5133" width="11.28515625" style="17" bestFit="1" customWidth="1"/>
    <col min="5134" max="5134" width="11" style="17" bestFit="1" customWidth="1"/>
    <col min="5135" max="5135" width="10.85546875" style="17" bestFit="1" customWidth="1"/>
    <col min="5136" max="5136" width="11.28515625" style="17" bestFit="1" customWidth="1"/>
    <col min="5137" max="5137" width="7.85546875" style="17" bestFit="1" customWidth="1"/>
    <col min="5138" max="5138" width="7" style="17" customWidth="1"/>
    <col min="5139" max="5139" width="17.42578125" style="17" customWidth="1"/>
    <col min="5140" max="5140" width="7.140625" style="17" customWidth="1"/>
    <col min="5141" max="5141" width="9.5703125" style="17" customWidth="1"/>
    <col min="5142" max="5143" width="15.5703125" style="17" customWidth="1"/>
    <col min="5144" max="5144" width="1.85546875" style="17" customWidth="1"/>
    <col min="5145" max="5145" width="1.7109375" style="17" customWidth="1"/>
    <col min="5146" max="5146" width="1.85546875" style="17" customWidth="1"/>
    <col min="5147" max="5150" width="12.140625" style="17" customWidth="1"/>
    <col min="5151" max="5151" width="1.85546875" style="17" customWidth="1"/>
    <col min="5152" max="5153" width="1.42578125" style="17" customWidth="1"/>
    <col min="5154" max="5154" width="11.42578125" style="17"/>
    <col min="5155" max="5157" width="18.7109375" style="17" customWidth="1"/>
    <col min="5158" max="5376" width="11.42578125" style="17"/>
    <col min="5377" max="5377" width="0.140625" style="17" customWidth="1"/>
    <col min="5378" max="5378" width="2.7109375" style="17" customWidth="1"/>
    <col min="5379" max="5379" width="42.5703125" style="17" customWidth="1"/>
    <col min="5380" max="5380" width="12.85546875" style="17" customWidth="1"/>
    <col min="5381" max="5381" width="12.7109375" style="17" customWidth="1"/>
    <col min="5382" max="5382" width="15.42578125" style="17" customWidth="1"/>
    <col min="5383" max="5387" width="12.5703125" style="17" customWidth="1"/>
    <col min="5388" max="5389" width="11.28515625" style="17" bestFit="1" customWidth="1"/>
    <col min="5390" max="5390" width="11" style="17" bestFit="1" customWidth="1"/>
    <col min="5391" max="5391" width="10.85546875" style="17" bestFit="1" customWidth="1"/>
    <col min="5392" max="5392" width="11.28515625" style="17" bestFit="1" customWidth="1"/>
    <col min="5393" max="5393" width="7.85546875" style="17" bestFit="1" customWidth="1"/>
    <col min="5394" max="5394" width="7" style="17" customWidth="1"/>
    <col min="5395" max="5395" width="17.42578125" style="17" customWidth="1"/>
    <col min="5396" max="5396" width="7.140625" style="17" customWidth="1"/>
    <col min="5397" max="5397" width="9.5703125" style="17" customWidth="1"/>
    <col min="5398" max="5399" width="15.5703125" style="17" customWidth="1"/>
    <col min="5400" max="5400" width="1.85546875" style="17" customWidth="1"/>
    <col min="5401" max="5401" width="1.7109375" style="17" customWidth="1"/>
    <col min="5402" max="5402" width="1.85546875" style="17" customWidth="1"/>
    <col min="5403" max="5406" width="12.140625" style="17" customWidth="1"/>
    <col min="5407" max="5407" width="1.85546875" style="17" customWidth="1"/>
    <col min="5408" max="5409" width="1.42578125" style="17" customWidth="1"/>
    <col min="5410" max="5410" width="11.42578125" style="17"/>
    <col min="5411" max="5413" width="18.7109375" style="17" customWidth="1"/>
    <col min="5414" max="5632" width="11.42578125" style="17"/>
    <col min="5633" max="5633" width="0.140625" style="17" customWidth="1"/>
    <col min="5634" max="5634" width="2.7109375" style="17" customWidth="1"/>
    <col min="5635" max="5635" width="42.5703125" style="17" customWidth="1"/>
    <col min="5636" max="5636" width="12.85546875" style="17" customWidth="1"/>
    <col min="5637" max="5637" width="12.7109375" style="17" customWidth="1"/>
    <col min="5638" max="5638" width="15.42578125" style="17" customWidth="1"/>
    <col min="5639" max="5643" width="12.5703125" style="17" customWidth="1"/>
    <col min="5644" max="5645" width="11.28515625" style="17" bestFit="1" customWidth="1"/>
    <col min="5646" max="5646" width="11" style="17" bestFit="1" customWidth="1"/>
    <col min="5647" max="5647" width="10.85546875" style="17" bestFit="1" customWidth="1"/>
    <col min="5648" max="5648" width="11.28515625" style="17" bestFit="1" customWidth="1"/>
    <col min="5649" max="5649" width="7.85546875" style="17" bestFit="1" customWidth="1"/>
    <col min="5650" max="5650" width="7" style="17" customWidth="1"/>
    <col min="5651" max="5651" width="17.42578125" style="17" customWidth="1"/>
    <col min="5652" max="5652" width="7.140625" style="17" customWidth="1"/>
    <col min="5653" max="5653" width="9.5703125" style="17" customWidth="1"/>
    <col min="5654" max="5655" width="15.5703125" style="17" customWidth="1"/>
    <col min="5656" max="5656" width="1.85546875" style="17" customWidth="1"/>
    <col min="5657" max="5657" width="1.7109375" style="17" customWidth="1"/>
    <col min="5658" max="5658" width="1.85546875" style="17" customWidth="1"/>
    <col min="5659" max="5662" width="12.140625" style="17" customWidth="1"/>
    <col min="5663" max="5663" width="1.85546875" style="17" customWidth="1"/>
    <col min="5664" max="5665" width="1.42578125" style="17" customWidth="1"/>
    <col min="5666" max="5666" width="11.42578125" style="17"/>
    <col min="5667" max="5669" width="18.7109375" style="17" customWidth="1"/>
    <col min="5670" max="5888" width="11.42578125" style="17"/>
    <col min="5889" max="5889" width="0.140625" style="17" customWidth="1"/>
    <col min="5890" max="5890" width="2.7109375" style="17" customWidth="1"/>
    <col min="5891" max="5891" width="42.5703125" style="17" customWidth="1"/>
    <col min="5892" max="5892" width="12.85546875" style="17" customWidth="1"/>
    <col min="5893" max="5893" width="12.7109375" style="17" customWidth="1"/>
    <col min="5894" max="5894" width="15.42578125" style="17" customWidth="1"/>
    <col min="5895" max="5899" width="12.5703125" style="17" customWidth="1"/>
    <col min="5900" max="5901" width="11.28515625" style="17" bestFit="1" customWidth="1"/>
    <col min="5902" max="5902" width="11" style="17" bestFit="1" customWidth="1"/>
    <col min="5903" max="5903" width="10.85546875" style="17" bestFit="1" customWidth="1"/>
    <col min="5904" max="5904" width="11.28515625" style="17" bestFit="1" customWidth="1"/>
    <col min="5905" max="5905" width="7.85546875" style="17" bestFit="1" customWidth="1"/>
    <col min="5906" max="5906" width="7" style="17" customWidth="1"/>
    <col min="5907" max="5907" width="17.42578125" style="17" customWidth="1"/>
    <col min="5908" max="5908" width="7.140625" style="17" customWidth="1"/>
    <col min="5909" max="5909" width="9.5703125" style="17" customWidth="1"/>
    <col min="5910" max="5911" width="15.5703125" style="17" customWidth="1"/>
    <col min="5912" max="5912" width="1.85546875" style="17" customWidth="1"/>
    <col min="5913" max="5913" width="1.7109375" style="17" customWidth="1"/>
    <col min="5914" max="5914" width="1.85546875" style="17" customWidth="1"/>
    <col min="5915" max="5918" width="12.140625" style="17" customWidth="1"/>
    <col min="5919" max="5919" width="1.85546875" style="17" customWidth="1"/>
    <col min="5920" max="5921" width="1.42578125" style="17" customWidth="1"/>
    <col min="5922" max="5922" width="11.42578125" style="17"/>
    <col min="5923" max="5925" width="18.7109375" style="17" customWidth="1"/>
    <col min="5926" max="6144" width="11.42578125" style="17"/>
    <col min="6145" max="6145" width="0.140625" style="17" customWidth="1"/>
    <col min="6146" max="6146" width="2.7109375" style="17" customWidth="1"/>
    <col min="6147" max="6147" width="42.5703125" style="17" customWidth="1"/>
    <col min="6148" max="6148" width="12.85546875" style="17" customWidth="1"/>
    <col min="6149" max="6149" width="12.7109375" style="17" customWidth="1"/>
    <col min="6150" max="6150" width="15.42578125" style="17" customWidth="1"/>
    <col min="6151" max="6155" width="12.5703125" style="17" customWidth="1"/>
    <col min="6156" max="6157" width="11.28515625" style="17" bestFit="1" customWidth="1"/>
    <col min="6158" max="6158" width="11" style="17" bestFit="1" customWidth="1"/>
    <col min="6159" max="6159" width="10.85546875" style="17" bestFit="1" customWidth="1"/>
    <col min="6160" max="6160" width="11.28515625" style="17" bestFit="1" customWidth="1"/>
    <col min="6161" max="6161" width="7.85546875" style="17" bestFit="1" customWidth="1"/>
    <col min="6162" max="6162" width="7" style="17" customWidth="1"/>
    <col min="6163" max="6163" width="17.42578125" style="17" customWidth="1"/>
    <col min="6164" max="6164" width="7.140625" style="17" customWidth="1"/>
    <col min="6165" max="6165" width="9.5703125" style="17" customWidth="1"/>
    <col min="6166" max="6167" width="15.5703125" style="17" customWidth="1"/>
    <col min="6168" max="6168" width="1.85546875" style="17" customWidth="1"/>
    <col min="6169" max="6169" width="1.7109375" style="17" customWidth="1"/>
    <col min="6170" max="6170" width="1.85546875" style="17" customWidth="1"/>
    <col min="6171" max="6174" width="12.140625" style="17" customWidth="1"/>
    <col min="6175" max="6175" width="1.85546875" style="17" customWidth="1"/>
    <col min="6176" max="6177" width="1.42578125" style="17" customWidth="1"/>
    <col min="6178" max="6178" width="11.42578125" style="17"/>
    <col min="6179" max="6181" width="18.7109375" style="17" customWidth="1"/>
    <col min="6182" max="6400" width="11.42578125" style="17"/>
    <col min="6401" max="6401" width="0.140625" style="17" customWidth="1"/>
    <col min="6402" max="6402" width="2.7109375" style="17" customWidth="1"/>
    <col min="6403" max="6403" width="42.5703125" style="17" customWidth="1"/>
    <col min="6404" max="6404" width="12.85546875" style="17" customWidth="1"/>
    <col min="6405" max="6405" width="12.7109375" style="17" customWidth="1"/>
    <col min="6406" max="6406" width="15.42578125" style="17" customWidth="1"/>
    <col min="6407" max="6411" width="12.5703125" style="17" customWidth="1"/>
    <col min="6412" max="6413" width="11.28515625" style="17" bestFit="1" customWidth="1"/>
    <col min="6414" max="6414" width="11" style="17" bestFit="1" customWidth="1"/>
    <col min="6415" max="6415" width="10.85546875" style="17" bestFit="1" customWidth="1"/>
    <col min="6416" max="6416" width="11.28515625" style="17" bestFit="1" customWidth="1"/>
    <col min="6417" max="6417" width="7.85546875" style="17" bestFit="1" customWidth="1"/>
    <col min="6418" max="6418" width="7" style="17" customWidth="1"/>
    <col min="6419" max="6419" width="17.42578125" style="17" customWidth="1"/>
    <col min="6420" max="6420" width="7.140625" style="17" customWidth="1"/>
    <col min="6421" max="6421" width="9.5703125" style="17" customWidth="1"/>
    <col min="6422" max="6423" width="15.5703125" style="17" customWidth="1"/>
    <col min="6424" max="6424" width="1.85546875" style="17" customWidth="1"/>
    <col min="6425" max="6425" width="1.7109375" style="17" customWidth="1"/>
    <col min="6426" max="6426" width="1.85546875" style="17" customWidth="1"/>
    <col min="6427" max="6430" width="12.140625" style="17" customWidth="1"/>
    <col min="6431" max="6431" width="1.85546875" style="17" customWidth="1"/>
    <col min="6432" max="6433" width="1.42578125" style="17" customWidth="1"/>
    <col min="6434" max="6434" width="11.42578125" style="17"/>
    <col min="6435" max="6437" width="18.7109375" style="17" customWidth="1"/>
    <col min="6438" max="6656" width="11.42578125" style="17"/>
    <col min="6657" max="6657" width="0.140625" style="17" customWidth="1"/>
    <col min="6658" max="6658" width="2.7109375" style="17" customWidth="1"/>
    <col min="6659" max="6659" width="42.5703125" style="17" customWidth="1"/>
    <col min="6660" max="6660" width="12.85546875" style="17" customWidth="1"/>
    <col min="6661" max="6661" width="12.7109375" style="17" customWidth="1"/>
    <col min="6662" max="6662" width="15.42578125" style="17" customWidth="1"/>
    <col min="6663" max="6667" width="12.5703125" style="17" customWidth="1"/>
    <col min="6668" max="6669" width="11.28515625" style="17" bestFit="1" customWidth="1"/>
    <col min="6670" max="6670" width="11" style="17" bestFit="1" customWidth="1"/>
    <col min="6671" max="6671" width="10.85546875" style="17" bestFit="1" customWidth="1"/>
    <col min="6672" max="6672" width="11.28515625" style="17" bestFit="1" customWidth="1"/>
    <col min="6673" max="6673" width="7.85546875" style="17" bestFit="1" customWidth="1"/>
    <col min="6674" max="6674" width="7" style="17" customWidth="1"/>
    <col min="6675" max="6675" width="17.42578125" style="17" customWidth="1"/>
    <col min="6676" max="6676" width="7.140625" style="17" customWidth="1"/>
    <col min="6677" max="6677" width="9.5703125" style="17" customWidth="1"/>
    <col min="6678" max="6679" width="15.5703125" style="17" customWidth="1"/>
    <col min="6680" max="6680" width="1.85546875" style="17" customWidth="1"/>
    <col min="6681" max="6681" width="1.7109375" style="17" customWidth="1"/>
    <col min="6682" max="6682" width="1.85546875" style="17" customWidth="1"/>
    <col min="6683" max="6686" width="12.140625" style="17" customWidth="1"/>
    <col min="6687" max="6687" width="1.85546875" style="17" customWidth="1"/>
    <col min="6688" max="6689" width="1.42578125" style="17" customWidth="1"/>
    <col min="6690" max="6690" width="11.42578125" style="17"/>
    <col min="6691" max="6693" width="18.7109375" style="17" customWidth="1"/>
    <col min="6694" max="6912" width="11.42578125" style="17"/>
    <col min="6913" max="6913" width="0.140625" style="17" customWidth="1"/>
    <col min="6914" max="6914" width="2.7109375" style="17" customWidth="1"/>
    <col min="6915" max="6915" width="42.5703125" style="17" customWidth="1"/>
    <col min="6916" max="6916" width="12.85546875" style="17" customWidth="1"/>
    <col min="6917" max="6917" width="12.7109375" style="17" customWidth="1"/>
    <col min="6918" max="6918" width="15.42578125" style="17" customWidth="1"/>
    <col min="6919" max="6923" width="12.5703125" style="17" customWidth="1"/>
    <col min="6924" max="6925" width="11.28515625" style="17" bestFit="1" customWidth="1"/>
    <col min="6926" max="6926" width="11" style="17" bestFit="1" customWidth="1"/>
    <col min="6927" max="6927" width="10.85546875" style="17" bestFit="1" customWidth="1"/>
    <col min="6928" max="6928" width="11.28515625" style="17" bestFit="1" customWidth="1"/>
    <col min="6929" max="6929" width="7.85546875" style="17" bestFit="1" customWidth="1"/>
    <col min="6930" max="6930" width="7" style="17" customWidth="1"/>
    <col min="6931" max="6931" width="17.42578125" style="17" customWidth="1"/>
    <col min="6932" max="6932" width="7.140625" style="17" customWidth="1"/>
    <col min="6933" max="6933" width="9.5703125" style="17" customWidth="1"/>
    <col min="6934" max="6935" width="15.5703125" style="17" customWidth="1"/>
    <col min="6936" max="6936" width="1.85546875" style="17" customWidth="1"/>
    <col min="6937" max="6937" width="1.7109375" style="17" customWidth="1"/>
    <col min="6938" max="6938" width="1.85546875" style="17" customWidth="1"/>
    <col min="6939" max="6942" width="12.140625" style="17" customWidth="1"/>
    <col min="6943" max="6943" width="1.85546875" style="17" customWidth="1"/>
    <col min="6944" max="6945" width="1.42578125" style="17" customWidth="1"/>
    <col min="6946" max="6946" width="11.42578125" style="17"/>
    <col min="6947" max="6949" width="18.7109375" style="17" customWidth="1"/>
    <col min="6950" max="7168" width="11.42578125" style="17"/>
    <col min="7169" max="7169" width="0.140625" style="17" customWidth="1"/>
    <col min="7170" max="7170" width="2.7109375" style="17" customWidth="1"/>
    <col min="7171" max="7171" width="42.5703125" style="17" customWidth="1"/>
    <col min="7172" max="7172" width="12.85546875" style="17" customWidth="1"/>
    <col min="7173" max="7173" width="12.7109375" style="17" customWidth="1"/>
    <col min="7174" max="7174" width="15.42578125" style="17" customWidth="1"/>
    <col min="7175" max="7179" width="12.5703125" style="17" customWidth="1"/>
    <col min="7180" max="7181" width="11.28515625" style="17" bestFit="1" customWidth="1"/>
    <col min="7182" max="7182" width="11" style="17" bestFit="1" customWidth="1"/>
    <col min="7183" max="7183" width="10.85546875" style="17" bestFit="1" customWidth="1"/>
    <col min="7184" max="7184" width="11.28515625" style="17" bestFit="1" customWidth="1"/>
    <col min="7185" max="7185" width="7.85546875" style="17" bestFit="1" customWidth="1"/>
    <col min="7186" max="7186" width="7" style="17" customWidth="1"/>
    <col min="7187" max="7187" width="17.42578125" style="17" customWidth="1"/>
    <col min="7188" max="7188" width="7.140625" style="17" customWidth="1"/>
    <col min="7189" max="7189" width="9.5703125" style="17" customWidth="1"/>
    <col min="7190" max="7191" width="15.5703125" style="17" customWidth="1"/>
    <col min="7192" max="7192" width="1.85546875" style="17" customWidth="1"/>
    <col min="7193" max="7193" width="1.7109375" style="17" customWidth="1"/>
    <col min="7194" max="7194" width="1.85546875" style="17" customWidth="1"/>
    <col min="7195" max="7198" width="12.140625" style="17" customWidth="1"/>
    <col min="7199" max="7199" width="1.85546875" style="17" customWidth="1"/>
    <col min="7200" max="7201" width="1.42578125" style="17" customWidth="1"/>
    <col min="7202" max="7202" width="11.42578125" style="17"/>
    <col min="7203" max="7205" width="18.7109375" style="17" customWidth="1"/>
    <col min="7206" max="7424" width="11.42578125" style="17"/>
    <col min="7425" max="7425" width="0.140625" style="17" customWidth="1"/>
    <col min="7426" max="7426" width="2.7109375" style="17" customWidth="1"/>
    <col min="7427" max="7427" width="42.5703125" style="17" customWidth="1"/>
    <col min="7428" max="7428" width="12.85546875" style="17" customWidth="1"/>
    <col min="7429" max="7429" width="12.7109375" style="17" customWidth="1"/>
    <col min="7430" max="7430" width="15.42578125" style="17" customWidth="1"/>
    <col min="7431" max="7435" width="12.5703125" style="17" customWidth="1"/>
    <col min="7436" max="7437" width="11.28515625" style="17" bestFit="1" customWidth="1"/>
    <col min="7438" max="7438" width="11" style="17" bestFit="1" customWidth="1"/>
    <col min="7439" max="7439" width="10.85546875" style="17" bestFit="1" customWidth="1"/>
    <col min="7440" max="7440" width="11.28515625" style="17" bestFit="1" customWidth="1"/>
    <col min="7441" max="7441" width="7.85546875" style="17" bestFit="1" customWidth="1"/>
    <col min="7442" max="7442" width="7" style="17" customWidth="1"/>
    <col min="7443" max="7443" width="17.42578125" style="17" customWidth="1"/>
    <col min="7444" max="7444" width="7.140625" style="17" customWidth="1"/>
    <col min="7445" max="7445" width="9.5703125" style="17" customWidth="1"/>
    <col min="7446" max="7447" width="15.5703125" style="17" customWidth="1"/>
    <col min="7448" max="7448" width="1.85546875" style="17" customWidth="1"/>
    <col min="7449" max="7449" width="1.7109375" style="17" customWidth="1"/>
    <col min="7450" max="7450" width="1.85546875" style="17" customWidth="1"/>
    <col min="7451" max="7454" width="12.140625" style="17" customWidth="1"/>
    <col min="7455" max="7455" width="1.85546875" style="17" customWidth="1"/>
    <col min="7456" max="7457" width="1.42578125" style="17" customWidth="1"/>
    <col min="7458" max="7458" width="11.42578125" style="17"/>
    <col min="7459" max="7461" width="18.7109375" style="17" customWidth="1"/>
    <col min="7462" max="7680" width="11.42578125" style="17"/>
    <col min="7681" max="7681" width="0.140625" style="17" customWidth="1"/>
    <col min="7682" max="7682" width="2.7109375" style="17" customWidth="1"/>
    <col min="7683" max="7683" width="42.5703125" style="17" customWidth="1"/>
    <col min="7684" max="7684" width="12.85546875" style="17" customWidth="1"/>
    <col min="7685" max="7685" width="12.7109375" style="17" customWidth="1"/>
    <col min="7686" max="7686" width="15.42578125" style="17" customWidth="1"/>
    <col min="7687" max="7691" width="12.5703125" style="17" customWidth="1"/>
    <col min="7692" max="7693" width="11.28515625" style="17" bestFit="1" customWidth="1"/>
    <col min="7694" max="7694" width="11" style="17" bestFit="1" customWidth="1"/>
    <col min="7695" max="7695" width="10.85546875" style="17" bestFit="1" customWidth="1"/>
    <col min="7696" max="7696" width="11.28515625" style="17" bestFit="1" customWidth="1"/>
    <col min="7697" max="7697" width="7.85546875" style="17" bestFit="1" customWidth="1"/>
    <col min="7698" max="7698" width="7" style="17" customWidth="1"/>
    <col min="7699" max="7699" width="17.42578125" style="17" customWidth="1"/>
    <col min="7700" max="7700" width="7.140625" style="17" customWidth="1"/>
    <col min="7701" max="7701" width="9.5703125" style="17" customWidth="1"/>
    <col min="7702" max="7703" width="15.5703125" style="17" customWidth="1"/>
    <col min="7704" max="7704" width="1.85546875" style="17" customWidth="1"/>
    <col min="7705" max="7705" width="1.7109375" style="17" customWidth="1"/>
    <col min="7706" max="7706" width="1.85546875" style="17" customWidth="1"/>
    <col min="7707" max="7710" width="12.140625" style="17" customWidth="1"/>
    <col min="7711" max="7711" width="1.85546875" style="17" customWidth="1"/>
    <col min="7712" max="7713" width="1.42578125" style="17" customWidth="1"/>
    <col min="7714" max="7714" width="11.42578125" style="17"/>
    <col min="7715" max="7717" width="18.7109375" style="17" customWidth="1"/>
    <col min="7718" max="7936" width="11.42578125" style="17"/>
    <col min="7937" max="7937" width="0.140625" style="17" customWidth="1"/>
    <col min="7938" max="7938" width="2.7109375" style="17" customWidth="1"/>
    <col min="7939" max="7939" width="42.5703125" style="17" customWidth="1"/>
    <col min="7940" max="7940" width="12.85546875" style="17" customWidth="1"/>
    <col min="7941" max="7941" width="12.7109375" style="17" customWidth="1"/>
    <col min="7942" max="7942" width="15.42578125" style="17" customWidth="1"/>
    <col min="7943" max="7947" width="12.5703125" style="17" customWidth="1"/>
    <col min="7948" max="7949" width="11.28515625" style="17" bestFit="1" customWidth="1"/>
    <col min="7950" max="7950" width="11" style="17" bestFit="1" customWidth="1"/>
    <col min="7951" max="7951" width="10.85546875" style="17" bestFit="1" customWidth="1"/>
    <col min="7952" max="7952" width="11.28515625" style="17" bestFit="1" customWidth="1"/>
    <col min="7953" max="7953" width="7.85546875" style="17" bestFit="1" customWidth="1"/>
    <col min="7954" max="7954" width="7" style="17" customWidth="1"/>
    <col min="7955" max="7955" width="17.42578125" style="17" customWidth="1"/>
    <col min="7956" max="7956" width="7.140625" style="17" customWidth="1"/>
    <col min="7957" max="7957" width="9.5703125" style="17" customWidth="1"/>
    <col min="7958" max="7959" width="15.5703125" style="17" customWidth="1"/>
    <col min="7960" max="7960" width="1.85546875" style="17" customWidth="1"/>
    <col min="7961" max="7961" width="1.7109375" style="17" customWidth="1"/>
    <col min="7962" max="7962" width="1.85546875" style="17" customWidth="1"/>
    <col min="7963" max="7966" width="12.140625" style="17" customWidth="1"/>
    <col min="7967" max="7967" width="1.85546875" style="17" customWidth="1"/>
    <col min="7968" max="7969" width="1.42578125" style="17" customWidth="1"/>
    <col min="7970" max="7970" width="11.42578125" style="17"/>
    <col min="7971" max="7973" width="18.7109375" style="17" customWidth="1"/>
    <col min="7974" max="8192" width="11.42578125" style="17"/>
    <col min="8193" max="8193" width="0.140625" style="17" customWidth="1"/>
    <col min="8194" max="8194" width="2.7109375" style="17" customWidth="1"/>
    <col min="8195" max="8195" width="42.5703125" style="17" customWidth="1"/>
    <col min="8196" max="8196" width="12.85546875" style="17" customWidth="1"/>
    <col min="8197" max="8197" width="12.7109375" style="17" customWidth="1"/>
    <col min="8198" max="8198" width="15.42578125" style="17" customWidth="1"/>
    <col min="8199" max="8203" width="12.5703125" style="17" customWidth="1"/>
    <col min="8204" max="8205" width="11.28515625" style="17" bestFit="1" customWidth="1"/>
    <col min="8206" max="8206" width="11" style="17" bestFit="1" customWidth="1"/>
    <col min="8207" max="8207" width="10.85546875" style="17" bestFit="1" customWidth="1"/>
    <col min="8208" max="8208" width="11.28515625" style="17" bestFit="1" customWidth="1"/>
    <col min="8209" max="8209" width="7.85546875" style="17" bestFit="1" customWidth="1"/>
    <col min="8210" max="8210" width="7" style="17" customWidth="1"/>
    <col min="8211" max="8211" width="17.42578125" style="17" customWidth="1"/>
    <col min="8212" max="8212" width="7.140625" style="17" customWidth="1"/>
    <col min="8213" max="8213" width="9.5703125" style="17" customWidth="1"/>
    <col min="8214" max="8215" width="15.5703125" style="17" customWidth="1"/>
    <col min="8216" max="8216" width="1.85546875" style="17" customWidth="1"/>
    <col min="8217" max="8217" width="1.7109375" style="17" customWidth="1"/>
    <col min="8218" max="8218" width="1.85546875" style="17" customWidth="1"/>
    <col min="8219" max="8222" width="12.140625" style="17" customWidth="1"/>
    <col min="8223" max="8223" width="1.85546875" style="17" customWidth="1"/>
    <col min="8224" max="8225" width="1.42578125" style="17" customWidth="1"/>
    <col min="8226" max="8226" width="11.42578125" style="17"/>
    <col min="8227" max="8229" width="18.7109375" style="17" customWidth="1"/>
    <col min="8230" max="8448" width="11.42578125" style="17"/>
    <col min="8449" max="8449" width="0.140625" style="17" customWidth="1"/>
    <col min="8450" max="8450" width="2.7109375" style="17" customWidth="1"/>
    <col min="8451" max="8451" width="42.5703125" style="17" customWidth="1"/>
    <col min="8452" max="8452" width="12.85546875" style="17" customWidth="1"/>
    <col min="8453" max="8453" width="12.7109375" style="17" customWidth="1"/>
    <col min="8454" max="8454" width="15.42578125" style="17" customWidth="1"/>
    <col min="8455" max="8459" width="12.5703125" style="17" customWidth="1"/>
    <col min="8460" max="8461" width="11.28515625" style="17" bestFit="1" customWidth="1"/>
    <col min="8462" max="8462" width="11" style="17" bestFit="1" customWidth="1"/>
    <col min="8463" max="8463" width="10.85546875" style="17" bestFit="1" customWidth="1"/>
    <col min="8464" max="8464" width="11.28515625" style="17" bestFit="1" customWidth="1"/>
    <col min="8465" max="8465" width="7.85546875" style="17" bestFit="1" customWidth="1"/>
    <col min="8466" max="8466" width="7" style="17" customWidth="1"/>
    <col min="8467" max="8467" width="17.42578125" style="17" customWidth="1"/>
    <col min="8468" max="8468" width="7.140625" style="17" customWidth="1"/>
    <col min="8469" max="8469" width="9.5703125" style="17" customWidth="1"/>
    <col min="8470" max="8471" width="15.5703125" style="17" customWidth="1"/>
    <col min="8472" max="8472" width="1.85546875" style="17" customWidth="1"/>
    <col min="8473" max="8473" width="1.7109375" style="17" customWidth="1"/>
    <col min="8474" max="8474" width="1.85546875" style="17" customWidth="1"/>
    <col min="8475" max="8478" width="12.140625" style="17" customWidth="1"/>
    <col min="8479" max="8479" width="1.85546875" style="17" customWidth="1"/>
    <col min="8480" max="8481" width="1.42578125" style="17" customWidth="1"/>
    <col min="8482" max="8482" width="11.42578125" style="17"/>
    <col min="8483" max="8485" width="18.7109375" style="17" customWidth="1"/>
    <col min="8486" max="8704" width="11.42578125" style="17"/>
    <col min="8705" max="8705" width="0.140625" style="17" customWidth="1"/>
    <col min="8706" max="8706" width="2.7109375" style="17" customWidth="1"/>
    <col min="8707" max="8707" width="42.5703125" style="17" customWidth="1"/>
    <col min="8708" max="8708" width="12.85546875" style="17" customWidth="1"/>
    <col min="8709" max="8709" width="12.7109375" style="17" customWidth="1"/>
    <col min="8710" max="8710" width="15.42578125" style="17" customWidth="1"/>
    <col min="8711" max="8715" width="12.5703125" style="17" customWidth="1"/>
    <col min="8716" max="8717" width="11.28515625" style="17" bestFit="1" customWidth="1"/>
    <col min="8718" max="8718" width="11" style="17" bestFit="1" customWidth="1"/>
    <col min="8719" max="8719" width="10.85546875" style="17" bestFit="1" customWidth="1"/>
    <col min="8720" max="8720" width="11.28515625" style="17" bestFit="1" customWidth="1"/>
    <col min="8721" max="8721" width="7.85546875" style="17" bestFit="1" customWidth="1"/>
    <col min="8722" max="8722" width="7" style="17" customWidth="1"/>
    <col min="8723" max="8723" width="17.42578125" style="17" customWidth="1"/>
    <col min="8724" max="8724" width="7.140625" style="17" customWidth="1"/>
    <col min="8725" max="8725" width="9.5703125" style="17" customWidth="1"/>
    <col min="8726" max="8727" width="15.5703125" style="17" customWidth="1"/>
    <col min="8728" max="8728" width="1.85546875" style="17" customWidth="1"/>
    <col min="8729" max="8729" width="1.7109375" style="17" customWidth="1"/>
    <col min="8730" max="8730" width="1.85546875" style="17" customWidth="1"/>
    <col min="8731" max="8734" width="12.140625" style="17" customWidth="1"/>
    <col min="8735" max="8735" width="1.85546875" style="17" customWidth="1"/>
    <col min="8736" max="8737" width="1.42578125" style="17" customWidth="1"/>
    <col min="8738" max="8738" width="11.42578125" style="17"/>
    <col min="8739" max="8741" width="18.7109375" style="17" customWidth="1"/>
    <col min="8742" max="8960" width="11.42578125" style="17"/>
    <col min="8961" max="8961" width="0.140625" style="17" customWidth="1"/>
    <col min="8962" max="8962" width="2.7109375" style="17" customWidth="1"/>
    <col min="8963" max="8963" width="42.5703125" style="17" customWidth="1"/>
    <col min="8964" max="8964" width="12.85546875" style="17" customWidth="1"/>
    <col min="8965" max="8965" width="12.7109375" style="17" customWidth="1"/>
    <col min="8966" max="8966" width="15.42578125" style="17" customWidth="1"/>
    <col min="8967" max="8971" width="12.5703125" style="17" customWidth="1"/>
    <col min="8972" max="8973" width="11.28515625" style="17" bestFit="1" customWidth="1"/>
    <col min="8974" max="8974" width="11" style="17" bestFit="1" customWidth="1"/>
    <col min="8975" max="8975" width="10.85546875" style="17" bestFit="1" customWidth="1"/>
    <col min="8976" max="8976" width="11.28515625" style="17" bestFit="1" customWidth="1"/>
    <col min="8977" max="8977" width="7.85546875" style="17" bestFit="1" customWidth="1"/>
    <col min="8978" max="8978" width="7" style="17" customWidth="1"/>
    <col min="8979" max="8979" width="17.42578125" style="17" customWidth="1"/>
    <col min="8980" max="8980" width="7.140625" style="17" customWidth="1"/>
    <col min="8981" max="8981" width="9.5703125" style="17" customWidth="1"/>
    <col min="8982" max="8983" width="15.5703125" style="17" customWidth="1"/>
    <col min="8984" max="8984" width="1.85546875" style="17" customWidth="1"/>
    <col min="8985" max="8985" width="1.7109375" style="17" customWidth="1"/>
    <col min="8986" max="8986" width="1.85546875" style="17" customWidth="1"/>
    <col min="8987" max="8990" width="12.140625" style="17" customWidth="1"/>
    <col min="8991" max="8991" width="1.85546875" style="17" customWidth="1"/>
    <col min="8992" max="8993" width="1.42578125" style="17" customWidth="1"/>
    <col min="8994" max="8994" width="11.42578125" style="17"/>
    <col min="8995" max="8997" width="18.7109375" style="17" customWidth="1"/>
    <col min="8998" max="9216" width="11.42578125" style="17"/>
    <col min="9217" max="9217" width="0.140625" style="17" customWidth="1"/>
    <col min="9218" max="9218" width="2.7109375" style="17" customWidth="1"/>
    <col min="9219" max="9219" width="42.5703125" style="17" customWidth="1"/>
    <col min="9220" max="9220" width="12.85546875" style="17" customWidth="1"/>
    <col min="9221" max="9221" width="12.7109375" style="17" customWidth="1"/>
    <col min="9222" max="9222" width="15.42578125" style="17" customWidth="1"/>
    <col min="9223" max="9227" width="12.5703125" style="17" customWidth="1"/>
    <col min="9228" max="9229" width="11.28515625" style="17" bestFit="1" customWidth="1"/>
    <col min="9230" max="9230" width="11" style="17" bestFit="1" customWidth="1"/>
    <col min="9231" max="9231" width="10.85546875" style="17" bestFit="1" customWidth="1"/>
    <col min="9232" max="9232" width="11.28515625" style="17" bestFit="1" customWidth="1"/>
    <col min="9233" max="9233" width="7.85546875" style="17" bestFit="1" customWidth="1"/>
    <col min="9234" max="9234" width="7" style="17" customWidth="1"/>
    <col min="9235" max="9235" width="17.42578125" style="17" customWidth="1"/>
    <col min="9236" max="9236" width="7.140625" style="17" customWidth="1"/>
    <col min="9237" max="9237" width="9.5703125" style="17" customWidth="1"/>
    <col min="9238" max="9239" width="15.5703125" style="17" customWidth="1"/>
    <col min="9240" max="9240" width="1.85546875" style="17" customWidth="1"/>
    <col min="9241" max="9241" width="1.7109375" style="17" customWidth="1"/>
    <col min="9242" max="9242" width="1.85546875" style="17" customWidth="1"/>
    <col min="9243" max="9246" width="12.140625" style="17" customWidth="1"/>
    <col min="9247" max="9247" width="1.85546875" style="17" customWidth="1"/>
    <col min="9248" max="9249" width="1.42578125" style="17" customWidth="1"/>
    <col min="9250" max="9250" width="11.42578125" style="17"/>
    <col min="9251" max="9253" width="18.7109375" style="17" customWidth="1"/>
    <col min="9254" max="9472" width="11.42578125" style="17"/>
    <col min="9473" max="9473" width="0.140625" style="17" customWidth="1"/>
    <col min="9474" max="9474" width="2.7109375" style="17" customWidth="1"/>
    <col min="9475" max="9475" width="42.5703125" style="17" customWidth="1"/>
    <col min="9476" max="9476" width="12.85546875" style="17" customWidth="1"/>
    <col min="9477" max="9477" width="12.7109375" style="17" customWidth="1"/>
    <col min="9478" max="9478" width="15.42578125" style="17" customWidth="1"/>
    <col min="9479" max="9483" width="12.5703125" style="17" customWidth="1"/>
    <col min="9484" max="9485" width="11.28515625" style="17" bestFit="1" customWidth="1"/>
    <col min="9486" max="9486" width="11" style="17" bestFit="1" customWidth="1"/>
    <col min="9487" max="9487" width="10.85546875" style="17" bestFit="1" customWidth="1"/>
    <col min="9488" max="9488" width="11.28515625" style="17" bestFit="1" customWidth="1"/>
    <col min="9489" max="9489" width="7.85546875" style="17" bestFit="1" customWidth="1"/>
    <col min="9490" max="9490" width="7" style="17" customWidth="1"/>
    <col min="9491" max="9491" width="17.42578125" style="17" customWidth="1"/>
    <col min="9492" max="9492" width="7.140625" style="17" customWidth="1"/>
    <col min="9493" max="9493" width="9.5703125" style="17" customWidth="1"/>
    <col min="9494" max="9495" width="15.5703125" style="17" customWidth="1"/>
    <col min="9496" max="9496" width="1.85546875" style="17" customWidth="1"/>
    <col min="9497" max="9497" width="1.7109375" style="17" customWidth="1"/>
    <col min="9498" max="9498" width="1.85546875" style="17" customWidth="1"/>
    <col min="9499" max="9502" width="12.140625" style="17" customWidth="1"/>
    <col min="9503" max="9503" width="1.85546875" style="17" customWidth="1"/>
    <col min="9504" max="9505" width="1.42578125" style="17" customWidth="1"/>
    <col min="9506" max="9506" width="11.42578125" style="17"/>
    <col min="9507" max="9509" width="18.7109375" style="17" customWidth="1"/>
    <col min="9510" max="9728" width="11.42578125" style="17"/>
    <col min="9729" max="9729" width="0.140625" style="17" customWidth="1"/>
    <col min="9730" max="9730" width="2.7109375" style="17" customWidth="1"/>
    <col min="9731" max="9731" width="42.5703125" style="17" customWidth="1"/>
    <col min="9732" max="9732" width="12.85546875" style="17" customWidth="1"/>
    <col min="9733" max="9733" width="12.7109375" style="17" customWidth="1"/>
    <col min="9734" max="9734" width="15.42578125" style="17" customWidth="1"/>
    <col min="9735" max="9739" width="12.5703125" style="17" customWidth="1"/>
    <col min="9740" max="9741" width="11.28515625" style="17" bestFit="1" customWidth="1"/>
    <col min="9742" max="9742" width="11" style="17" bestFit="1" customWidth="1"/>
    <col min="9743" max="9743" width="10.85546875" style="17" bestFit="1" customWidth="1"/>
    <col min="9744" max="9744" width="11.28515625" style="17" bestFit="1" customWidth="1"/>
    <col min="9745" max="9745" width="7.85546875" style="17" bestFit="1" customWidth="1"/>
    <col min="9746" max="9746" width="7" style="17" customWidth="1"/>
    <col min="9747" max="9747" width="17.42578125" style="17" customWidth="1"/>
    <col min="9748" max="9748" width="7.140625" style="17" customWidth="1"/>
    <col min="9749" max="9749" width="9.5703125" style="17" customWidth="1"/>
    <col min="9750" max="9751" width="15.5703125" style="17" customWidth="1"/>
    <col min="9752" max="9752" width="1.85546875" style="17" customWidth="1"/>
    <col min="9753" max="9753" width="1.7109375" style="17" customWidth="1"/>
    <col min="9754" max="9754" width="1.85546875" style="17" customWidth="1"/>
    <col min="9755" max="9758" width="12.140625" style="17" customWidth="1"/>
    <col min="9759" max="9759" width="1.85546875" style="17" customWidth="1"/>
    <col min="9760" max="9761" width="1.42578125" style="17" customWidth="1"/>
    <col min="9762" max="9762" width="11.42578125" style="17"/>
    <col min="9763" max="9765" width="18.7109375" style="17" customWidth="1"/>
    <col min="9766" max="9984" width="11.42578125" style="17"/>
    <col min="9985" max="9985" width="0.140625" style="17" customWidth="1"/>
    <col min="9986" max="9986" width="2.7109375" style="17" customWidth="1"/>
    <col min="9987" max="9987" width="42.5703125" style="17" customWidth="1"/>
    <col min="9988" max="9988" width="12.85546875" style="17" customWidth="1"/>
    <col min="9989" max="9989" width="12.7109375" style="17" customWidth="1"/>
    <col min="9990" max="9990" width="15.42578125" style="17" customWidth="1"/>
    <col min="9991" max="9995" width="12.5703125" style="17" customWidth="1"/>
    <col min="9996" max="9997" width="11.28515625" style="17" bestFit="1" customWidth="1"/>
    <col min="9998" max="9998" width="11" style="17" bestFit="1" customWidth="1"/>
    <col min="9999" max="9999" width="10.85546875" style="17" bestFit="1" customWidth="1"/>
    <col min="10000" max="10000" width="11.28515625" style="17" bestFit="1" customWidth="1"/>
    <col min="10001" max="10001" width="7.85546875" style="17" bestFit="1" customWidth="1"/>
    <col min="10002" max="10002" width="7" style="17" customWidth="1"/>
    <col min="10003" max="10003" width="17.42578125" style="17" customWidth="1"/>
    <col min="10004" max="10004" width="7.140625" style="17" customWidth="1"/>
    <col min="10005" max="10005" width="9.5703125" style="17" customWidth="1"/>
    <col min="10006" max="10007" width="15.5703125" style="17" customWidth="1"/>
    <col min="10008" max="10008" width="1.85546875" style="17" customWidth="1"/>
    <col min="10009" max="10009" width="1.7109375" style="17" customWidth="1"/>
    <col min="10010" max="10010" width="1.85546875" style="17" customWidth="1"/>
    <col min="10011" max="10014" width="12.140625" style="17" customWidth="1"/>
    <col min="10015" max="10015" width="1.85546875" style="17" customWidth="1"/>
    <col min="10016" max="10017" width="1.42578125" style="17" customWidth="1"/>
    <col min="10018" max="10018" width="11.42578125" style="17"/>
    <col min="10019" max="10021" width="18.7109375" style="17" customWidth="1"/>
    <col min="10022" max="10240" width="11.42578125" style="17"/>
    <col min="10241" max="10241" width="0.140625" style="17" customWidth="1"/>
    <col min="10242" max="10242" width="2.7109375" style="17" customWidth="1"/>
    <col min="10243" max="10243" width="42.5703125" style="17" customWidth="1"/>
    <col min="10244" max="10244" width="12.85546875" style="17" customWidth="1"/>
    <col min="10245" max="10245" width="12.7109375" style="17" customWidth="1"/>
    <col min="10246" max="10246" width="15.42578125" style="17" customWidth="1"/>
    <col min="10247" max="10251" width="12.5703125" style="17" customWidth="1"/>
    <col min="10252" max="10253" width="11.28515625" style="17" bestFit="1" customWidth="1"/>
    <col min="10254" max="10254" width="11" style="17" bestFit="1" customWidth="1"/>
    <col min="10255" max="10255" width="10.85546875" style="17" bestFit="1" customWidth="1"/>
    <col min="10256" max="10256" width="11.28515625" style="17" bestFit="1" customWidth="1"/>
    <col min="10257" max="10257" width="7.85546875" style="17" bestFit="1" customWidth="1"/>
    <col min="10258" max="10258" width="7" style="17" customWidth="1"/>
    <col min="10259" max="10259" width="17.42578125" style="17" customWidth="1"/>
    <col min="10260" max="10260" width="7.140625" style="17" customWidth="1"/>
    <col min="10261" max="10261" width="9.5703125" style="17" customWidth="1"/>
    <col min="10262" max="10263" width="15.5703125" style="17" customWidth="1"/>
    <col min="10264" max="10264" width="1.85546875" style="17" customWidth="1"/>
    <col min="10265" max="10265" width="1.7109375" style="17" customWidth="1"/>
    <col min="10266" max="10266" width="1.85546875" style="17" customWidth="1"/>
    <col min="10267" max="10270" width="12.140625" style="17" customWidth="1"/>
    <col min="10271" max="10271" width="1.85546875" style="17" customWidth="1"/>
    <col min="10272" max="10273" width="1.42578125" style="17" customWidth="1"/>
    <col min="10274" max="10274" width="11.42578125" style="17"/>
    <col min="10275" max="10277" width="18.7109375" style="17" customWidth="1"/>
    <col min="10278" max="10496" width="11.42578125" style="17"/>
    <col min="10497" max="10497" width="0.140625" style="17" customWidth="1"/>
    <col min="10498" max="10498" width="2.7109375" style="17" customWidth="1"/>
    <col min="10499" max="10499" width="42.5703125" style="17" customWidth="1"/>
    <col min="10500" max="10500" width="12.85546875" style="17" customWidth="1"/>
    <col min="10501" max="10501" width="12.7109375" style="17" customWidth="1"/>
    <col min="10502" max="10502" width="15.42578125" style="17" customWidth="1"/>
    <col min="10503" max="10507" width="12.5703125" style="17" customWidth="1"/>
    <col min="10508" max="10509" width="11.28515625" style="17" bestFit="1" customWidth="1"/>
    <col min="10510" max="10510" width="11" style="17" bestFit="1" customWidth="1"/>
    <col min="10511" max="10511" width="10.85546875" style="17" bestFit="1" customWidth="1"/>
    <col min="10512" max="10512" width="11.28515625" style="17" bestFit="1" customWidth="1"/>
    <col min="10513" max="10513" width="7.85546875" style="17" bestFit="1" customWidth="1"/>
    <col min="10514" max="10514" width="7" style="17" customWidth="1"/>
    <col min="10515" max="10515" width="17.42578125" style="17" customWidth="1"/>
    <col min="10516" max="10516" width="7.140625" style="17" customWidth="1"/>
    <col min="10517" max="10517" width="9.5703125" style="17" customWidth="1"/>
    <col min="10518" max="10519" width="15.5703125" style="17" customWidth="1"/>
    <col min="10520" max="10520" width="1.85546875" style="17" customWidth="1"/>
    <col min="10521" max="10521" width="1.7109375" style="17" customWidth="1"/>
    <col min="10522" max="10522" width="1.85546875" style="17" customWidth="1"/>
    <col min="10523" max="10526" width="12.140625" style="17" customWidth="1"/>
    <col min="10527" max="10527" width="1.85546875" style="17" customWidth="1"/>
    <col min="10528" max="10529" width="1.42578125" style="17" customWidth="1"/>
    <col min="10530" max="10530" width="11.42578125" style="17"/>
    <col min="10531" max="10533" width="18.7109375" style="17" customWidth="1"/>
    <col min="10534" max="10752" width="11.42578125" style="17"/>
    <col min="10753" max="10753" width="0.140625" style="17" customWidth="1"/>
    <col min="10754" max="10754" width="2.7109375" style="17" customWidth="1"/>
    <col min="10755" max="10755" width="42.5703125" style="17" customWidth="1"/>
    <col min="10756" max="10756" width="12.85546875" style="17" customWidth="1"/>
    <col min="10757" max="10757" width="12.7109375" style="17" customWidth="1"/>
    <col min="10758" max="10758" width="15.42578125" style="17" customWidth="1"/>
    <col min="10759" max="10763" width="12.5703125" style="17" customWidth="1"/>
    <col min="10764" max="10765" width="11.28515625" style="17" bestFit="1" customWidth="1"/>
    <col min="10766" max="10766" width="11" style="17" bestFit="1" customWidth="1"/>
    <col min="10767" max="10767" width="10.85546875" style="17" bestFit="1" customWidth="1"/>
    <col min="10768" max="10768" width="11.28515625" style="17" bestFit="1" customWidth="1"/>
    <col min="10769" max="10769" width="7.85546875" style="17" bestFit="1" customWidth="1"/>
    <col min="10770" max="10770" width="7" style="17" customWidth="1"/>
    <col min="10771" max="10771" width="17.42578125" style="17" customWidth="1"/>
    <col min="10772" max="10772" width="7.140625" style="17" customWidth="1"/>
    <col min="10773" max="10773" width="9.5703125" style="17" customWidth="1"/>
    <col min="10774" max="10775" width="15.5703125" style="17" customWidth="1"/>
    <col min="10776" max="10776" width="1.85546875" style="17" customWidth="1"/>
    <col min="10777" max="10777" width="1.7109375" style="17" customWidth="1"/>
    <col min="10778" max="10778" width="1.85546875" style="17" customWidth="1"/>
    <col min="10779" max="10782" width="12.140625" style="17" customWidth="1"/>
    <col min="10783" max="10783" width="1.85546875" style="17" customWidth="1"/>
    <col min="10784" max="10785" width="1.42578125" style="17" customWidth="1"/>
    <col min="10786" max="10786" width="11.42578125" style="17"/>
    <col min="10787" max="10789" width="18.7109375" style="17" customWidth="1"/>
    <col min="10790" max="11008" width="11.42578125" style="17"/>
    <col min="11009" max="11009" width="0.140625" style="17" customWidth="1"/>
    <col min="11010" max="11010" width="2.7109375" style="17" customWidth="1"/>
    <col min="11011" max="11011" width="42.5703125" style="17" customWidth="1"/>
    <col min="11012" max="11012" width="12.85546875" style="17" customWidth="1"/>
    <col min="11013" max="11013" width="12.7109375" style="17" customWidth="1"/>
    <col min="11014" max="11014" width="15.42578125" style="17" customWidth="1"/>
    <col min="11015" max="11019" width="12.5703125" style="17" customWidth="1"/>
    <col min="11020" max="11021" width="11.28515625" style="17" bestFit="1" customWidth="1"/>
    <col min="11022" max="11022" width="11" style="17" bestFit="1" customWidth="1"/>
    <col min="11023" max="11023" width="10.85546875" style="17" bestFit="1" customWidth="1"/>
    <col min="11024" max="11024" width="11.28515625" style="17" bestFit="1" customWidth="1"/>
    <col min="11025" max="11025" width="7.85546875" style="17" bestFit="1" customWidth="1"/>
    <col min="11026" max="11026" width="7" style="17" customWidth="1"/>
    <col min="11027" max="11027" width="17.42578125" style="17" customWidth="1"/>
    <col min="11028" max="11028" width="7.140625" style="17" customWidth="1"/>
    <col min="11029" max="11029" width="9.5703125" style="17" customWidth="1"/>
    <col min="11030" max="11031" width="15.5703125" style="17" customWidth="1"/>
    <col min="11032" max="11032" width="1.85546875" style="17" customWidth="1"/>
    <col min="11033" max="11033" width="1.7109375" style="17" customWidth="1"/>
    <col min="11034" max="11034" width="1.85546875" style="17" customWidth="1"/>
    <col min="11035" max="11038" width="12.140625" style="17" customWidth="1"/>
    <col min="11039" max="11039" width="1.85546875" style="17" customWidth="1"/>
    <col min="11040" max="11041" width="1.42578125" style="17" customWidth="1"/>
    <col min="11042" max="11042" width="11.42578125" style="17"/>
    <col min="11043" max="11045" width="18.7109375" style="17" customWidth="1"/>
    <col min="11046" max="11264" width="11.42578125" style="17"/>
    <col min="11265" max="11265" width="0.140625" style="17" customWidth="1"/>
    <col min="11266" max="11266" width="2.7109375" style="17" customWidth="1"/>
    <col min="11267" max="11267" width="42.5703125" style="17" customWidth="1"/>
    <col min="11268" max="11268" width="12.85546875" style="17" customWidth="1"/>
    <col min="11269" max="11269" width="12.7109375" style="17" customWidth="1"/>
    <col min="11270" max="11270" width="15.42578125" style="17" customWidth="1"/>
    <col min="11271" max="11275" width="12.5703125" style="17" customWidth="1"/>
    <col min="11276" max="11277" width="11.28515625" style="17" bestFit="1" customWidth="1"/>
    <col min="11278" max="11278" width="11" style="17" bestFit="1" customWidth="1"/>
    <col min="11279" max="11279" width="10.85546875" style="17" bestFit="1" customWidth="1"/>
    <col min="11280" max="11280" width="11.28515625" style="17" bestFit="1" customWidth="1"/>
    <col min="11281" max="11281" width="7.85546875" style="17" bestFit="1" customWidth="1"/>
    <col min="11282" max="11282" width="7" style="17" customWidth="1"/>
    <col min="11283" max="11283" width="17.42578125" style="17" customWidth="1"/>
    <col min="11284" max="11284" width="7.140625" style="17" customWidth="1"/>
    <col min="11285" max="11285" width="9.5703125" style="17" customWidth="1"/>
    <col min="11286" max="11287" width="15.5703125" style="17" customWidth="1"/>
    <col min="11288" max="11288" width="1.85546875" style="17" customWidth="1"/>
    <col min="11289" max="11289" width="1.7109375" style="17" customWidth="1"/>
    <col min="11290" max="11290" width="1.85546875" style="17" customWidth="1"/>
    <col min="11291" max="11294" width="12.140625" style="17" customWidth="1"/>
    <col min="11295" max="11295" width="1.85546875" style="17" customWidth="1"/>
    <col min="11296" max="11297" width="1.42578125" style="17" customWidth="1"/>
    <col min="11298" max="11298" width="11.42578125" style="17"/>
    <col min="11299" max="11301" width="18.7109375" style="17" customWidth="1"/>
    <col min="11302" max="11520" width="11.42578125" style="17"/>
    <col min="11521" max="11521" width="0.140625" style="17" customWidth="1"/>
    <col min="11522" max="11522" width="2.7109375" style="17" customWidth="1"/>
    <col min="11523" max="11523" width="42.5703125" style="17" customWidth="1"/>
    <col min="11524" max="11524" width="12.85546875" style="17" customWidth="1"/>
    <col min="11525" max="11525" width="12.7109375" style="17" customWidth="1"/>
    <col min="11526" max="11526" width="15.42578125" style="17" customWidth="1"/>
    <col min="11527" max="11531" width="12.5703125" style="17" customWidth="1"/>
    <col min="11532" max="11533" width="11.28515625" style="17" bestFit="1" customWidth="1"/>
    <col min="11534" max="11534" width="11" style="17" bestFit="1" customWidth="1"/>
    <col min="11535" max="11535" width="10.85546875" style="17" bestFit="1" customWidth="1"/>
    <col min="11536" max="11536" width="11.28515625" style="17" bestFit="1" customWidth="1"/>
    <col min="11537" max="11537" width="7.85546875" style="17" bestFit="1" customWidth="1"/>
    <col min="11538" max="11538" width="7" style="17" customWidth="1"/>
    <col min="11539" max="11539" width="17.42578125" style="17" customWidth="1"/>
    <col min="11540" max="11540" width="7.140625" style="17" customWidth="1"/>
    <col min="11541" max="11541" width="9.5703125" style="17" customWidth="1"/>
    <col min="11542" max="11543" width="15.5703125" style="17" customWidth="1"/>
    <col min="11544" max="11544" width="1.85546875" style="17" customWidth="1"/>
    <col min="11545" max="11545" width="1.7109375" style="17" customWidth="1"/>
    <col min="11546" max="11546" width="1.85546875" style="17" customWidth="1"/>
    <col min="11547" max="11550" width="12.140625" style="17" customWidth="1"/>
    <col min="11551" max="11551" width="1.85546875" style="17" customWidth="1"/>
    <col min="11552" max="11553" width="1.42578125" style="17" customWidth="1"/>
    <col min="11554" max="11554" width="11.42578125" style="17"/>
    <col min="11555" max="11557" width="18.7109375" style="17" customWidth="1"/>
    <col min="11558" max="11776" width="11.42578125" style="17"/>
    <col min="11777" max="11777" width="0.140625" style="17" customWidth="1"/>
    <col min="11778" max="11778" width="2.7109375" style="17" customWidth="1"/>
    <col min="11779" max="11779" width="42.5703125" style="17" customWidth="1"/>
    <col min="11780" max="11780" width="12.85546875" style="17" customWidth="1"/>
    <col min="11781" max="11781" width="12.7109375" style="17" customWidth="1"/>
    <col min="11782" max="11782" width="15.42578125" style="17" customWidth="1"/>
    <col min="11783" max="11787" width="12.5703125" style="17" customWidth="1"/>
    <col min="11788" max="11789" width="11.28515625" style="17" bestFit="1" customWidth="1"/>
    <col min="11790" max="11790" width="11" style="17" bestFit="1" customWidth="1"/>
    <col min="11791" max="11791" width="10.85546875" style="17" bestFit="1" customWidth="1"/>
    <col min="11792" max="11792" width="11.28515625" style="17" bestFit="1" customWidth="1"/>
    <col min="11793" max="11793" width="7.85546875" style="17" bestFit="1" customWidth="1"/>
    <col min="11794" max="11794" width="7" style="17" customWidth="1"/>
    <col min="11795" max="11795" width="17.42578125" style="17" customWidth="1"/>
    <col min="11796" max="11796" width="7.140625" style="17" customWidth="1"/>
    <col min="11797" max="11797" width="9.5703125" style="17" customWidth="1"/>
    <col min="11798" max="11799" width="15.5703125" style="17" customWidth="1"/>
    <col min="11800" max="11800" width="1.85546875" style="17" customWidth="1"/>
    <col min="11801" max="11801" width="1.7109375" style="17" customWidth="1"/>
    <col min="11802" max="11802" width="1.85546875" style="17" customWidth="1"/>
    <col min="11803" max="11806" width="12.140625" style="17" customWidth="1"/>
    <col min="11807" max="11807" width="1.85546875" style="17" customWidth="1"/>
    <col min="11808" max="11809" width="1.42578125" style="17" customWidth="1"/>
    <col min="11810" max="11810" width="11.42578125" style="17"/>
    <col min="11811" max="11813" width="18.7109375" style="17" customWidth="1"/>
    <col min="11814" max="12032" width="11.42578125" style="17"/>
    <col min="12033" max="12033" width="0.140625" style="17" customWidth="1"/>
    <col min="12034" max="12034" width="2.7109375" style="17" customWidth="1"/>
    <col min="12035" max="12035" width="42.5703125" style="17" customWidth="1"/>
    <col min="12036" max="12036" width="12.85546875" style="17" customWidth="1"/>
    <col min="12037" max="12037" width="12.7109375" style="17" customWidth="1"/>
    <col min="12038" max="12038" width="15.42578125" style="17" customWidth="1"/>
    <col min="12039" max="12043" width="12.5703125" style="17" customWidth="1"/>
    <col min="12044" max="12045" width="11.28515625" style="17" bestFit="1" customWidth="1"/>
    <col min="12046" max="12046" width="11" style="17" bestFit="1" customWidth="1"/>
    <col min="12047" max="12047" width="10.85546875" style="17" bestFit="1" customWidth="1"/>
    <col min="12048" max="12048" width="11.28515625" style="17" bestFit="1" customWidth="1"/>
    <col min="12049" max="12049" width="7.85546875" style="17" bestFit="1" customWidth="1"/>
    <col min="12050" max="12050" width="7" style="17" customWidth="1"/>
    <col min="12051" max="12051" width="17.42578125" style="17" customWidth="1"/>
    <col min="12052" max="12052" width="7.140625" style="17" customWidth="1"/>
    <col min="12053" max="12053" width="9.5703125" style="17" customWidth="1"/>
    <col min="12054" max="12055" width="15.5703125" style="17" customWidth="1"/>
    <col min="12056" max="12056" width="1.85546875" style="17" customWidth="1"/>
    <col min="12057" max="12057" width="1.7109375" style="17" customWidth="1"/>
    <col min="12058" max="12058" width="1.85546875" style="17" customWidth="1"/>
    <col min="12059" max="12062" width="12.140625" style="17" customWidth="1"/>
    <col min="12063" max="12063" width="1.85546875" style="17" customWidth="1"/>
    <col min="12064" max="12065" width="1.42578125" style="17" customWidth="1"/>
    <col min="12066" max="12066" width="11.42578125" style="17"/>
    <col min="12067" max="12069" width="18.7109375" style="17" customWidth="1"/>
    <col min="12070" max="12288" width="11.42578125" style="17"/>
    <col min="12289" max="12289" width="0.140625" style="17" customWidth="1"/>
    <col min="12290" max="12290" width="2.7109375" style="17" customWidth="1"/>
    <col min="12291" max="12291" width="42.5703125" style="17" customWidth="1"/>
    <col min="12292" max="12292" width="12.85546875" style="17" customWidth="1"/>
    <col min="12293" max="12293" width="12.7109375" style="17" customWidth="1"/>
    <col min="12294" max="12294" width="15.42578125" style="17" customWidth="1"/>
    <col min="12295" max="12299" width="12.5703125" style="17" customWidth="1"/>
    <col min="12300" max="12301" width="11.28515625" style="17" bestFit="1" customWidth="1"/>
    <col min="12302" max="12302" width="11" style="17" bestFit="1" customWidth="1"/>
    <col min="12303" max="12303" width="10.85546875" style="17" bestFit="1" customWidth="1"/>
    <col min="12304" max="12304" width="11.28515625" style="17" bestFit="1" customWidth="1"/>
    <col min="12305" max="12305" width="7.85546875" style="17" bestFit="1" customWidth="1"/>
    <col min="12306" max="12306" width="7" style="17" customWidth="1"/>
    <col min="12307" max="12307" width="17.42578125" style="17" customWidth="1"/>
    <col min="12308" max="12308" width="7.140625" style="17" customWidth="1"/>
    <col min="12309" max="12309" width="9.5703125" style="17" customWidth="1"/>
    <col min="12310" max="12311" width="15.5703125" style="17" customWidth="1"/>
    <col min="12312" max="12312" width="1.85546875" style="17" customWidth="1"/>
    <col min="12313" max="12313" width="1.7109375" style="17" customWidth="1"/>
    <col min="12314" max="12314" width="1.85546875" style="17" customWidth="1"/>
    <col min="12315" max="12318" width="12.140625" style="17" customWidth="1"/>
    <col min="12319" max="12319" width="1.85546875" style="17" customWidth="1"/>
    <col min="12320" max="12321" width="1.42578125" style="17" customWidth="1"/>
    <col min="12322" max="12322" width="11.42578125" style="17"/>
    <col min="12323" max="12325" width="18.7109375" style="17" customWidth="1"/>
    <col min="12326" max="12544" width="11.42578125" style="17"/>
    <col min="12545" max="12545" width="0.140625" style="17" customWidth="1"/>
    <col min="12546" max="12546" width="2.7109375" style="17" customWidth="1"/>
    <col min="12547" max="12547" width="42.5703125" style="17" customWidth="1"/>
    <col min="12548" max="12548" width="12.85546875" style="17" customWidth="1"/>
    <col min="12549" max="12549" width="12.7109375" style="17" customWidth="1"/>
    <col min="12550" max="12550" width="15.42578125" style="17" customWidth="1"/>
    <col min="12551" max="12555" width="12.5703125" style="17" customWidth="1"/>
    <col min="12556" max="12557" width="11.28515625" style="17" bestFit="1" customWidth="1"/>
    <col min="12558" max="12558" width="11" style="17" bestFit="1" customWidth="1"/>
    <col min="12559" max="12559" width="10.85546875" style="17" bestFit="1" customWidth="1"/>
    <col min="12560" max="12560" width="11.28515625" style="17" bestFit="1" customWidth="1"/>
    <col min="12561" max="12561" width="7.85546875" style="17" bestFit="1" customWidth="1"/>
    <col min="12562" max="12562" width="7" style="17" customWidth="1"/>
    <col min="12563" max="12563" width="17.42578125" style="17" customWidth="1"/>
    <col min="12564" max="12564" width="7.140625" style="17" customWidth="1"/>
    <col min="12565" max="12565" width="9.5703125" style="17" customWidth="1"/>
    <col min="12566" max="12567" width="15.5703125" style="17" customWidth="1"/>
    <col min="12568" max="12568" width="1.85546875" style="17" customWidth="1"/>
    <col min="12569" max="12569" width="1.7109375" style="17" customWidth="1"/>
    <col min="12570" max="12570" width="1.85546875" style="17" customWidth="1"/>
    <col min="12571" max="12574" width="12.140625" style="17" customWidth="1"/>
    <col min="12575" max="12575" width="1.85546875" style="17" customWidth="1"/>
    <col min="12576" max="12577" width="1.42578125" style="17" customWidth="1"/>
    <col min="12578" max="12578" width="11.42578125" style="17"/>
    <col min="12579" max="12581" width="18.7109375" style="17" customWidth="1"/>
    <col min="12582" max="12800" width="11.42578125" style="17"/>
    <col min="12801" max="12801" width="0.140625" style="17" customWidth="1"/>
    <col min="12802" max="12802" width="2.7109375" style="17" customWidth="1"/>
    <col min="12803" max="12803" width="42.5703125" style="17" customWidth="1"/>
    <col min="12804" max="12804" width="12.85546875" style="17" customWidth="1"/>
    <col min="12805" max="12805" width="12.7109375" style="17" customWidth="1"/>
    <col min="12806" max="12806" width="15.42578125" style="17" customWidth="1"/>
    <col min="12807" max="12811" width="12.5703125" style="17" customWidth="1"/>
    <col min="12812" max="12813" width="11.28515625" style="17" bestFit="1" customWidth="1"/>
    <col min="12814" max="12814" width="11" style="17" bestFit="1" customWidth="1"/>
    <col min="12815" max="12815" width="10.85546875" style="17" bestFit="1" customWidth="1"/>
    <col min="12816" max="12816" width="11.28515625" style="17" bestFit="1" customWidth="1"/>
    <col min="12817" max="12817" width="7.85546875" style="17" bestFit="1" customWidth="1"/>
    <col min="12818" max="12818" width="7" style="17" customWidth="1"/>
    <col min="12819" max="12819" width="17.42578125" style="17" customWidth="1"/>
    <col min="12820" max="12820" width="7.140625" style="17" customWidth="1"/>
    <col min="12821" max="12821" width="9.5703125" style="17" customWidth="1"/>
    <col min="12822" max="12823" width="15.5703125" style="17" customWidth="1"/>
    <col min="12824" max="12824" width="1.85546875" style="17" customWidth="1"/>
    <col min="12825" max="12825" width="1.7109375" style="17" customWidth="1"/>
    <col min="12826" max="12826" width="1.85546875" style="17" customWidth="1"/>
    <col min="12827" max="12830" width="12.140625" style="17" customWidth="1"/>
    <col min="12831" max="12831" width="1.85546875" style="17" customWidth="1"/>
    <col min="12832" max="12833" width="1.42578125" style="17" customWidth="1"/>
    <col min="12834" max="12834" width="11.42578125" style="17"/>
    <col min="12835" max="12837" width="18.7109375" style="17" customWidth="1"/>
    <col min="12838" max="13056" width="11.42578125" style="17"/>
    <col min="13057" max="13057" width="0.140625" style="17" customWidth="1"/>
    <col min="13058" max="13058" width="2.7109375" style="17" customWidth="1"/>
    <col min="13059" max="13059" width="42.5703125" style="17" customWidth="1"/>
    <col min="13060" max="13060" width="12.85546875" style="17" customWidth="1"/>
    <col min="13061" max="13061" width="12.7109375" style="17" customWidth="1"/>
    <col min="13062" max="13062" width="15.42578125" style="17" customWidth="1"/>
    <col min="13063" max="13067" width="12.5703125" style="17" customWidth="1"/>
    <col min="13068" max="13069" width="11.28515625" style="17" bestFit="1" customWidth="1"/>
    <col min="13070" max="13070" width="11" style="17" bestFit="1" customWidth="1"/>
    <col min="13071" max="13071" width="10.85546875" style="17" bestFit="1" customWidth="1"/>
    <col min="13072" max="13072" width="11.28515625" style="17" bestFit="1" customWidth="1"/>
    <col min="13073" max="13073" width="7.85546875" style="17" bestFit="1" customWidth="1"/>
    <col min="13074" max="13074" width="7" style="17" customWidth="1"/>
    <col min="13075" max="13075" width="17.42578125" style="17" customWidth="1"/>
    <col min="13076" max="13076" width="7.140625" style="17" customWidth="1"/>
    <col min="13077" max="13077" width="9.5703125" style="17" customWidth="1"/>
    <col min="13078" max="13079" width="15.5703125" style="17" customWidth="1"/>
    <col min="13080" max="13080" width="1.85546875" style="17" customWidth="1"/>
    <col min="13081" max="13081" width="1.7109375" style="17" customWidth="1"/>
    <col min="13082" max="13082" width="1.85546875" style="17" customWidth="1"/>
    <col min="13083" max="13086" width="12.140625" style="17" customWidth="1"/>
    <col min="13087" max="13087" width="1.85546875" style="17" customWidth="1"/>
    <col min="13088" max="13089" width="1.42578125" style="17" customWidth="1"/>
    <col min="13090" max="13090" width="11.42578125" style="17"/>
    <col min="13091" max="13093" width="18.7109375" style="17" customWidth="1"/>
    <col min="13094" max="13312" width="11.42578125" style="17"/>
    <col min="13313" max="13313" width="0.140625" style="17" customWidth="1"/>
    <col min="13314" max="13314" width="2.7109375" style="17" customWidth="1"/>
    <col min="13315" max="13315" width="42.5703125" style="17" customWidth="1"/>
    <col min="13316" max="13316" width="12.85546875" style="17" customWidth="1"/>
    <col min="13317" max="13317" width="12.7109375" style="17" customWidth="1"/>
    <col min="13318" max="13318" width="15.42578125" style="17" customWidth="1"/>
    <col min="13319" max="13323" width="12.5703125" style="17" customWidth="1"/>
    <col min="13324" max="13325" width="11.28515625" style="17" bestFit="1" customWidth="1"/>
    <col min="13326" max="13326" width="11" style="17" bestFit="1" customWidth="1"/>
    <col min="13327" max="13327" width="10.85546875" style="17" bestFit="1" customWidth="1"/>
    <col min="13328" max="13328" width="11.28515625" style="17" bestFit="1" customWidth="1"/>
    <col min="13329" max="13329" width="7.85546875" style="17" bestFit="1" customWidth="1"/>
    <col min="13330" max="13330" width="7" style="17" customWidth="1"/>
    <col min="13331" max="13331" width="17.42578125" style="17" customWidth="1"/>
    <col min="13332" max="13332" width="7.140625" style="17" customWidth="1"/>
    <col min="13333" max="13333" width="9.5703125" style="17" customWidth="1"/>
    <col min="13334" max="13335" width="15.5703125" style="17" customWidth="1"/>
    <col min="13336" max="13336" width="1.85546875" style="17" customWidth="1"/>
    <col min="13337" max="13337" width="1.7109375" style="17" customWidth="1"/>
    <col min="13338" max="13338" width="1.85546875" style="17" customWidth="1"/>
    <col min="13339" max="13342" width="12.140625" style="17" customWidth="1"/>
    <col min="13343" max="13343" width="1.85546875" style="17" customWidth="1"/>
    <col min="13344" max="13345" width="1.42578125" style="17" customWidth="1"/>
    <col min="13346" max="13346" width="11.42578125" style="17"/>
    <col min="13347" max="13349" width="18.7109375" style="17" customWidth="1"/>
    <col min="13350" max="13568" width="11.42578125" style="17"/>
    <col min="13569" max="13569" width="0.140625" style="17" customWidth="1"/>
    <col min="13570" max="13570" width="2.7109375" style="17" customWidth="1"/>
    <col min="13571" max="13571" width="42.5703125" style="17" customWidth="1"/>
    <col min="13572" max="13572" width="12.85546875" style="17" customWidth="1"/>
    <col min="13573" max="13573" width="12.7109375" style="17" customWidth="1"/>
    <col min="13574" max="13574" width="15.42578125" style="17" customWidth="1"/>
    <col min="13575" max="13579" width="12.5703125" style="17" customWidth="1"/>
    <col min="13580" max="13581" width="11.28515625" style="17" bestFit="1" customWidth="1"/>
    <col min="13582" max="13582" width="11" style="17" bestFit="1" customWidth="1"/>
    <col min="13583" max="13583" width="10.85546875" style="17" bestFit="1" customWidth="1"/>
    <col min="13584" max="13584" width="11.28515625" style="17" bestFit="1" customWidth="1"/>
    <col min="13585" max="13585" width="7.85546875" style="17" bestFit="1" customWidth="1"/>
    <col min="13586" max="13586" width="7" style="17" customWidth="1"/>
    <col min="13587" max="13587" width="17.42578125" style="17" customWidth="1"/>
    <col min="13588" max="13588" width="7.140625" style="17" customWidth="1"/>
    <col min="13589" max="13589" width="9.5703125" style="17" customWidth="1"/>
    <col min="13590" max="13591" width="15.5703125" style="17" customWidth="1"/>
    <col min="13592" max="13592" width="1.85546875" style="17" customWidth="1"/>
    <col min="13593" max="13593" width="1.7109375" style="17" customWidth="1"/>
    <col min="13594" max="13594" width="1.85546875" style="17" customWidth="1"/>
    <col min="13595" max="13598" width="12.140625" style="17" customWidth="1"/>
    <col min="13599" max="13599" width="1.85546875" style="17" customWidth="1"/>
    <col min="13600" max="13601" width="1.42578125" style="17" customWidth="1"/>
    <col min="13602" max="13602" width="11.42578125" style="17"/>
    <col min="13603" max="13605" width="18.7109375" style="17" customWidth="1"/>
    <col min="13606" max="13824" width="11.42578125" style="17"/>
    <col min="13825" max="13825" width="0.140625" style="17" customWidth="1"/>
    <col min="13826" max="13826" width="2.7109375" style="17" customWidth="1"/>
    <col min="13827" max="13827" width="42.5703125" style="17" customWidth="1"/>
    <col min="13828" max="13828" width="12.85546875" style="17" customWidth="1"/>
    <col min="13829" max="13829" width="12.7109375" style="17" customWidth="1"/>
    <col min="13830" max="13830" width="15.42578125" style="17" customWidth="1"/>
    <col min="13831" max="13835" width="12.5703125" style="17" customWidth="1"/>
    <col min="13836" max="13837" width="11.28515625" style="17" bestFit="1" customWidth="1"/>
    <col min="13838" max="13838" width="11" style="17" bestFit="1" customWidth="1"/>
    <col min="13839" max="13839" width="10.85546875" style="17" bestFit="1" customWidth="1"/>
    <col min="13840" max="13840" width="11.28515625" style="17" bestFit="1" customWidth="1"/>
    <col min="13841" max="13841" width="7.85546875" style="17" bestFit="1" customWidth="1"/>
    <col min="13842" max="13842" width="7" style="17" customWidth="1"/>
    <col min="13843" max="13843" width="17.42578125" style="17" customWidth="1"/>
    <col min="13844" max="13844" width="7.140625" style="17" customWidth="1"/>
    <col min="13845" max="13845" width="9.5703125" style="17" customWidth="1"/>
    <col min="13846" max="13847" width="15.5703125" style="17" customWidth="1"/>
    <col min="13848" max="13848" width="1.85546875" style="17" customWidth="1"/>
    <col min="13849" max="13849" width="1.7109375" style="17" customWidth="1"/>
    <col min="13850" max="13850" width="1.85546875" style="17" customWidth="1"/>
    <col min="13851" max="13854" width="12.140625" style="17" customWidth="1"/>
    <col min="13855" max="13855" width="1.85546875" style="17" customWidth="1"/>
    <col min="13856" max="13857" width="1.42578125" style="17" customWidth="1"/>
    <col min="13858" max="13858" width="11.42578125" style="17"/>
    <col min="13859" max="13861" width="18.7109375" style="17" customWidth="1"/>
    <col min="13862" max="14080" width="11.42578125" style="17"/>
    <col min="14081" max="14081" width="0.140625" style="17" customWidth="1"/>
    <col min="14082" max="14082" width="2.7109375" style="17" customWidth="1"/>
    <col min="14083" max="14083" width="42.5703125" style="17" customWidth="1"/>
    <col min="14084" max="14084" width="12.85546875" style="17" customWidth="1"/>
    <col min="14085" max="14085" width="12.7109375" style="17" customWidth="1"/>
    <col min="14086" max="14086" width="15.42578125" style="17" customWidth="1"/>
    <col min="14087" max="14091" width="12.5703125" style="17" customWidth="1"/>
    <col min="14092" max="14093" width="11.28515625" style="17" bestFit="1" customWidth="1"/>
    <col min="14094" max="14094" width="11" style="17" bestFit="1" customWidth="1"/>
    <col min="14095" max="14095" width="10.85546875" style="17" bestFit="1" customWidth="1"/>
    <col min="14096" max="14096" width="11.28515625" style="17" bestFit="1" customWidth="1"/>
    <col min="14097" max="14097" width="7.85546875" style="17" bestFit="1" customWidth="1"/>
    <col min="14098" max="14098" width="7" style="17" customWidth="1"/>
    <col min="14099" max="14099" width="17.42578125" style="17" customWidth="1"/>
    <col min="14100" max="14100" width="7.140625" style="17" customWidth="1"/>
    <col min="14101" max="14101" width="9.5703125" style="17" customWidth="1"/>
    <col min="14102" max="14103" width="15.5703125" style="17" customWidth="1"/>
    <col min="14104" max="14104" width="1.85546875" style="17" customWidth="1"/>
    <col min="14105" max="14105" width="1.7109375" style="17" customWidth="1"/>
    <col min="14106" max="14106" width="1.85546875" style="17" customWidth="1"/>
    <col min="14107" max="14110" width="12.140625" style="17" customWidth="1"/>
    <col min="14111" max="14111" width="1.85546875" style="17" customWidth="1"/>
    <col min="14112" max="14113" width="1.42578125" style="17" customWidth="1"/>
    <col min="14114" max="14114" width="11.42578125" style="17"/>
    <col min="14115" max="14117" width="18.7109375" style="17" customWidth="1"/>
    <col min="14118" max="14336" width="11.42578125" style="17"/>
    <col min="14337" max="14337" width="0.140625" style="17" customWidth="1"/>
    <col min="14338" max="14338" width="2.7109375" style="17" customWidth="1"/>
    <col min="14339" max="14339" width="42.5703125" style="17" customWidth="1"/>
    <col min="14340" max="14340" width="12.85546875" style="17" customWidth="1"/>
    <col min="14341" max="14341" width="12.7109375" style="17" customWidth="1"/>
    <col min="14342" max="14342" width="15.42578125" style="17" customWidth="1"/>
    <col min="14343" max="14347" width="12.5703125" style="17" customWidth="1"/>
    <col min="14348" max="14349" width="11.28515625" style="17" bestFit="1" customWidth="1"/>
    <col min="14350" max="14350" width="11" style="17" bestFit="1" customWidth="1"/>
    <col min="14351" max="14351" width="10.85546875" style="17" bestFit="1" customWidth="1"/>
    <col min="14352" max="14352" width="11.28515625" style="17" bestFit="1" customWidth="1"/>
    <col min="14353" max="14353" width="7.85546875" style="17" bestFit="1" customWidth="1"/>
    <col min="14354" max="14354" width="7" style="17" customWidth="1"/>
    <col min="14355" max="14355" width="17.42578125" style="17" customWidth="1"/>
    <col min="14356" max="14356" width="7.140625" style="17" customWidth="1"/>
    <col min="14357" max="14357" width="9.5703125" style="17" customWidth="1"/>
    <col min="14358" max="14359" width="15.5703125" style="17" customWidth="1"/>
    <col min="14360" max="14360" width="1.85546875" style="17" customWidth="1"/>
    <col min="14361" max="14361" width="1.7109375" style="17" customWidth="1"/>
    <col min="14362" max="14362" width="1.85546875" style="17" customWidth="1"/>
    <col min="14363" max="14366" width="12.140625" style="17" customWidth="1"/>
    <col min="14367" max="14367" width="1.85546875" style="17" customWidth="1"/>
    <col min="14368" max="14369" width="1.42578125" style="17" customWidth="1"/>
    <col min="14370" max="14370" width="11.42578125" style="17"/>
    <col min="14371" max="14373" width="18.7109375" style="17" customWidth="1"/>
    <col min="14374" max="14592" width="11.42578125" style="17"/>
    <col min="14593" max="14593" width="0.140625" style="17" customWidth="1"/>
    <col min="14594" max="14594" width="2.7109375" style="17" customWidth="1"/>
    <col min="14595" max="14595" width="42.5703125" style="17" customWidth="1"/>
    <col min="14596" max="14596" width="12.85546875" style="17" customWidth="1"/>
    <col min="14597" max="14597" width="12.7109375" style="17" customWidth="1"/>
    <col min="14598" max="14598" width="15.42578125" style="17" customWidth="1"/>
    <col min="14599" max="14603" width="12.5703125" style="17" customWidth="1"/>
    <col min="14604" max="14605" width="11.28515625" style="17" bestFit="1" customWidth="1"/>
    <col min="14606" max="14606" width="11" style="17" bestFit="1" customWidth="1"/>
    <col min="14607" max="14607" width="10.85546875" style="17" bestFit="1" customWidth="1"/>
    <col min="14608" max="14608" width="11.28515625" style="17" bestFit="1" customWidth="1"/>
    <col min="14609" max="14609" width="7.85546875" style="17" bestFit="1" customWidth="1"/>
    <col min="14610" max="14610" width="7" style="17" customWidth="1"/>
    <col min="14611" max="14611" width="17.42578125" style="17" customWidth="1"/>
    <col min="14612" max="14612" width="7.140625" style="17" customWidth="1"/>
    <col min="14613" max="14613" width="9.5703125" style="17" customWidth="1"/>
    <col min="14614" max="14615" width="15.5703125" style="17" customWidth="1"/>
    <col min="14616" max="14616" width="1.85546875" style="17" customWidth="1"/>
    <col min="14617" max="14617" width="1.7109375" style="17" customWidth="1"/>
    <col min="14618" max="14618" width="1.85546875" style="17" customWidth="1"/>
    <col min="14619" max="14622" width="12.140625" style="17" customWidth="1"/>
    <col min="14623" max="14623" width="1.85546875" style="17" customWidth="1"/>
    <col min="14624" max="14625" width="1.42578125" style="17" customWidth="1"/>
    <col min="14626" max="14626" width="11.42578125" style="17"/>
    <col min="14627" max="14629" width="18.7109375" style="17" customWidth="1"/>
    <col min="14630" max="14848" width="11.42578125" style="17"/>
    <col min="14849" max="14849" width="0.140625" style="17" customWidth="1"/>
    <col min="14850" max="14850" width="2.7109375" style="17" customWidth="1"/>
    <col min="14851" max="14851" width="42.5703125" style="17" customWidth="1"/>
    <col min="14852" max="14852" width="12.85546875" style="17" customWidth="1"/>
    <col min="14853" max="14853" width="12.7109375" style="17" customWidth="1"/>
    <col min="14854" max="14854" width="15.42578125" style="17" customWidth="1"/>
    <col min="14855" max="14859" width="12.5703125" style="17" customWidth="1"/>
    <col min="14860" max="14861" width="11.28515625" style="17" bestFit="1" customWidth="1"/>
    <col min="14862" max="14862" width="11" style="17" bestFit="1" customWidth="1"/>
    <col min="14863" max="14863" width="10.85546875" style="17" bestFit="1" customWidth="1"/>
    <col min="14864" max="14864" width="11.28515625" style="17" bestFit="1" customWidth="1"/>
    <col min="14865" max="14865" width="7.85546875" style="17" bestFit="1" customWidth="1"/>
    <col min="14866" max="14866" width="7" style="17" customWidth="1"/>
    <col min="14867" max="14867" width="17.42578125" style="17" customWidth="1"/>
    <col min="14868" max="14868" width="7.140625" style="17" customWidth="1"/>
    <col min="14869" max="14869" width="9.5703125" style="17" customWidth="1"/>
    <col min="14870" max="14871" width="15.5703125" style="17" customWidth="1"/>
    <col min="14872" max="14872" width="1.85546875" style="17" customWidth="1"/>
    <col min="14873" max="14873" width="1.7109375" style="17" customWidth="1"/>
    <col min="14874" max="14874" width="1.85546875" style="17" customWidth="1"/>
    <col min="14875" max="14878" width="12.140625" style="17" customWidth="1"/>
    <col min="14879" max="14879" width="1.85546875" style="17" customWidth="1"/>
    <col min="14880" max="14881" width="1.42578125" style="17" customWidth="1"/>
    <col min="14882" max="14882" width="11.42578125" style="17"/>
    <col min="14883" max="14885" width="18.7109375" style="17" customWidth="1"/>
    <col min="14886" max="15104" width="11.42578125" style="17"/>
    <col min="15105" max="15105" width="0.140625" style="17" customWidth="1"/>
    <col min="15106" max="15106" width="2.7109375" style="17" customWidth="1"/>
    <col min="15107" max="15107" width="42.5703125" style="17" customWidth="1"/>
    <col min="15108" max="15108" width="12.85546875" style="17" customWidth="1"/>
    <col min="15109" max="15109" width="12.7109375" style="17" customWidth="1"/>
    <col min="15110" max="15110" width="15.42578125" style="17" customWidth="1"/>
    <col min="15111" max="15115" width="12.5703125" style="17" customWidth="1"/>
    <col min="15116" max="15117" width="11.28515625" style="17" bestFit="1" customWidth="1"/>
    <col min="15118" max="15118" width="11" style="17" bestFit="1" customWidth="1"/>
    <col min="15119" max="15119" width="10.85546875" style="17" bestFit="1" customWidth="1"/>
    <col min="15120" max="15120" width="11.28515625" style="17" bestFit="1" customWidth="1"/>
    <col min="15121" max="15121" width="7.85546875" style="17" bestFit="1" customWidth="1"/>
    <col min="15122" max="15122" width="7" style="17" customWidth="1"/>
    <col min="15123" max="15123" width="17.42578125" style="17" customWidth="1"/>
    <col min="15124" max="15124" width="7.140625" style="17" customWidth="1"/>
    <col min="15125" max="15125" width="9.5703125" style="17" customWidth="1"/>
    <col min="15126" max="15127" width="15.5703125" style="17" customWidth="1"/>
    <col min="15128" max="15128" width="1.85546875" style="17" customWidth="1"/>
    <col min="15129" max="15129" width="1.7109375" style="17" customWidth="1"/>
    <col min="15130" max="15130" width="1.85546875" style="17" customWidth="1"/>
    <col min="15131" max="15134" width="12.140625" style="17" customWidth="1"/>
    <col min="15135" max="15135" width="1.85546875" style="17" customWidth="1"/>
    <col min="15136" max="15137" width="1.42578125" style="17" customWidth="1"/>
    <col min="15138" max="15138" width="11.42578125" style="17"/>
    <col min="15139" max="15141" width="18.7109375" style="17" customWidth="1"/>
    <col min="15142" max="15360" width="11.42578125" style="17"/>
    <col min="15361" max="15361" width="0.140625" style="17" customWidth="1"/>
    <col min="15362" max="15362" width="2.7109375" style="17" customWidth="1"/>
    <col min="15363" max="15363" width="42.5703125" style="17" customWidth="1"/>
    <col min="15364" max="15364" width="12.85546875" style="17" customWidth="1"/>
    <col min="15365" max="15365" width="12.7109375" style="17" customWidth="1"/>
    <col min="15366" max="15366" width="15.42578125" style="17" customWidth="1"/>
    <col min="15367" max="15371" width="12.5703125" style="17" customWidth="1"/>
    <col min="15372" max="15373" width="11.28515625" style="17" bestFit="1" customWidth="1"/>
    <col min="15374" max="15374" width="11" style="17" bestFit="1" customWidth="1"/>
    <col min="15375" max="15375" width="10.85546875" style="17" bestFit="1" customWidth="1"/>
    <col min="15376" max="15376" width="11.28515625" style="17" bestFit="1" customWidth="1"/>
    <col min="15377" max="15377" width="7.85546875" style="17" bestFit="1" customWidth="1"/>
    <col min="15378" max="15378" width="7" style="17" customWidth="1"/>
    <col min="15379" max="15379" width="17.42578125" style="17" customWidth="1"/>
    <col min="15380" max="15380" width="7.140625" style="17" customWidth="1"/>
    <col min="15381" max="15381" width="9.5703125" style="17" customWidth="1"/>
    <col min="15382" max="15383" width="15.5703125" style="17" customWidth="1"/>
    <col min="15384" max="15384" width="1.85546875" style="17" customWidth="1"/>
    <col min="15385" max="15385" width="1.7109375" style="17" customWidth="1"/>
    <col min="15386" max="15386" width="1.85546875" style="17" customWidth="1"/>
    <col min="15387" max="15390" width="12.140625" style="17" customWidth="1"/>
    <col min="15391" max="15391" width="1.85546875" style="17" customWidth="1"/>
    <col min="15392" max="15393" width="1.42578125" style="17" customWidth="1"/>
    <col min="15394" max="15394" width="11.42578125" style="17"/>
    <col min="15395" max="15397" width="18.7109375" style="17" customWidth="1"/>
    <col min="15398" max="15616" width="11.42578125" style="17"/>
    <col min="15617" max="15617" width="0.140625" style="17" customWidth="1"/>
    <col min="15618" max="15618" width="2.7109375" style="17" customWidth="1"/>
    <col min="15619" max="15619" width="42.5703125" style="17" customWidth="1"/>
    <col min="15620" max="15620" width="12.85546875" style="17" customWidth="1"/>
    <col min="15621" max="15621" width="12.7109375" style="17" customWidth="1"/>
    <col min="15622" max="15622" width="15.42578125" style="17" customWidth="1"/>
    <col min="15623" max="15627" width="12.5703125" style="17" customWidth="1"/>
    <col min="15628" max="15629" width="11.28515625" style="17" bestFit="1" customWidth="1"/>
    <col min="15630" max="15630" width="11" style="17" bestFit="1" customWidth="1"/>
    <col min="15631" max="15631" width="10.85546875" style="17" bestFit="1" customWidth="1"/>
    <col min="15632" max="15632" width="11.28515625" style="17" bestFit="1" customWidth="1"/>
    <col min="15633" max="15633" width="7.85546875" style="17" bestFit="1" customWidth="1"/>
    <col min="15634" max="15634" width="7" style="17" customWidth="1"/>
    <col min="15635" max="15635" width="17.42578125" style="17" customWidth="1"/>
    <col min="15636" max="15636" width="7.140625" style="17" customWidth="1"/>
    <col min="15637" max="15637" width="9.5703125" style="17" customWidth="1"/>
    <col min="15638" max="15639" width="15.5703125" style="17" customWidth="1"/>
    <col min="15640" max="15640" width="1.85546875" style="17" customWidth="1"/>
    <col min="15641" max="15641" width="1.7109375" style="17" customWidth="1"/>
    <col min="15642" max="15642" width="1.85546875" style="17" customWidth="1"/>
    <col min="15643" max="15646" width="12.140625" style="17" customWidth="1"/>
    <col min="15647" max="15647" width="1.85546875" style="17" customWidth="1"/>
    <col min="15648" max="15649" width="1.42578125" style="17" customWidth="1"/>
    <col min="15650" max="15650" width="11.42578125" style="17"/>
    <col min="15651" max="15653" width="18.7109375" style="17" customWidth="1"/>
    <col min="15654" max="15872" width="11.42578125" style="17"/>
    <col min="15873" max="15873" width="0.140625" style="17" customWidth="1"/>
    <col min="15874" max="15874" width="2.7109375" style="17" customWidth="1"/>
    <col min="15875" max="15875" width="42.5703125" style="17" customWidth="1"/>
    <col min="15876" max="15876" width="12.85546875" style="17" customWidth="1"/>
    <col min="15877" max="15877" width="12.7109375" style="17" customWidth="1"/>
    <col min="15878" max="15878" width="15.42578125" style="17" customWidth="1"/>
    <col min="15879" max="15883" width="12.5703125" style="17" customWidth="1"/>
    <col min="15884" max="15885" width="11.28515625" style="17" bestFit="1" customWidth="1"/>
    <col min="15886" max="15886" width="11" style="17" bestFit="1" customWidth="1"/>
    <col min="15887" max="15887" width="10.85546875" style="17" bestFit="1" customWidth="1"/>
    <col min="15888" max="15888" width="11.28515625" style="17" bestFit="1" customWidth="1"/>
    <col min="15889" max="15889" width="7.85546875" style="17" bestFit="1" customWidth="1"/>
    <col min="15890" max="15890" width="7" style="17" customWidth="1"/>
    <col min="15891" max="15891" width="17.42578125" style="17" customWidth="1"/>
    <col min="15892" max="15892" width="7.140625" style="17" customWidth="1"/>
    <col min="15893" max="15893" width="9.5703125" style="17" customWidth="1"/>
    <col min="15894" max="15895" width="15.5703125" style="17" customWidth="1"/>
    <col min="15896" max="15896" width="1.85546875" style="17" customWidth="1"/>
    <col min="15897" max="15897" width="1.7109375" style="17" customWidth="1"/>
    <col min="15898" max="15898" width="1.85546875" style="17" customWidth="1"/>
    <col min="15899" max="15902" width="12.140625" style="17" customWidth="1"/>
    <col min="15903" max="15903" width="1.85546875" style="17" customWidth="1"/>
    <col min="15904" max="15905" width="1.42578125" style="17" customWidth="1"/>
    <col min="15906" max="15906" width="11.42578125" style="17"/>
    <col min="15907" max="15909" width="18.7109375" style="17" customWidth="1"/>
    <col min="15910" max="16128" width="11.42578125" style="17"/>
    <col min="16129" max="16129" width="0.140625" style="17" customWidth="1"/>
    <col min="16130" max="16130" width="2.7109375" style="17" customWidth="1"/>
    <col min="16131" max="16131" width="42.5703125" style="17" customWidth="1"/>
    <col min="16132" max="16132" width="12.85546875" style="17" customWidth="1"/>
    <col min="16133" max="16133" width="12.7109375" style="17" customWidth="1"/>
    <col min="16134" max="16134" width="15.42578125" style="17" customWidth="1"/>
    <col min="16135" max="16139" width="12.5703125" style="17" customWidth="1"/>
    <col min="16140" max="16141" width="11.28515625" style="17" bestFit="1" customWidth="1"/>
    <col min="16142" max="16142" width="11" style="17" bestFit="1" customWidth="1"/>
    <col min="16143" max="16143" width="10.85546875" style="17" bestFit="1" customWidth="1"/>
    <col min="16144" max="16144" width="11.28515625" style="17" bestFit="1" customWidth="1"/>
    <col min="16145" max="16145" width="7.85546875" style="17" bestFit="1" customWidth="1"/>
    <col min="16146" max="16146" width="7" style="17" customWidth="1"/>
    <col min="16147" max="16147" width="17.42578125" style="17" customWidth="1"/>
    <col min="16148" max="16148" width="7.140625" style="17" customWidth="1"/>
    <col min="16149" max="16149" width="9.5703125" style="17" customWidth="1"/>
    <col min="16150" max="16151" width="15.5703125" style="17" customWidth="1"/>
    <col min="16152" max="16152" width="1.85546875" style="17" customWidth="1"/>
    <col min="16153" max="16153" width="1.7109375" style="17" customWidth="1"/>
    <col min="16154" max="16154" width="1.85546875" style="17" customWidth="1"/>
    <col min="16155" max="16158" width="12.140625" style="17" customWidth="1"/>
    <col min="16159" max="16159" width="1.85546875" style="17" customWidth="1"/>
    <col min="16160" max="16161" width="1.42578125" style="17" customWidth="1"/>
    <col min="16162" max="16162" width="11.42578125" style="17"/>
    <col min="16163" max="16165" width="18.7109375" style="17" customWidth="1"/>
    <col min="16166" max="16384" width="11.42578125" style="17"/>
  </cols>
  <sheetData>
    <row r="1" spans="2:44" s="13" customFormat="1" ht="21.75" customHeight="1">
      <c r="E1" s="14"/>
      <c r="H1" s="15" t="s">
        <v>86</v>
      </c>
    </row>
    <row r="2" spans="2:44" s="13" customFormat="1" ht="15" customHeight="1">
      <c r="E2" s="14"/>
      <c r="H2" s="362" t="s">
        <v>348</v>
      </c>
    </row>
    <row r="3" spans="2:44" s="13" customFormat="1" ht="19.899999999999999" customHeight="1">
      <c r="C3" s="16"/>
    </row>
    <row r="4" spans="2:44" ht="12" customHeight="1"/>
    <row r="5" spans="2:44">
      <c r="B5" s="21"/>
      <c r="C5" s="22" t="s">
        <v>311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2:44" ht="81.75">
      <c r="B6" s="21"/>
      <c r="C6" s="23"/>
      <c r="D6" s="24" t="s">
        <v>87</v>
      </c>
      <c r="E6" s="24" t="s">
        <v>71</v>
      </c>
      <c r="F6" s="24" t="s">
        <v>74</v>
      </c>
      <c r="G6" s="24" t="s">
        <v>37</v>
      </c>
      <c r="H6" s="24" t="s">
        <v>81</v>
      </c>
      <c r="I6" s="24" t="s">
        <v>38</v>
      </c>
      <c r="J6" s="24" t="s">
        <v>88</v>
      </c>
      <c r="K6" s="24" t="s">
        <v>83</v>
      </c>
      <c r="L6" s="24" t="s">
        <v>80</v>
      </c>
      <c r="M6" s="24" t="s">
        <v>65</v>
      </c>
      <c r="N6" s="24" t="s">
        <v>42</v>
      </c>
      <c r="O6" s="24" t="s">
        <v>92</v>
      </c>
      <c r="P6" s="24" t="s">
        <v>93</v>
      </c>
      <c r="Q6" s="24" t="s">
        <v>94</v>
      </c>
      <c r="R6" s="24" t="s">
        <v>82</v>
      </c>
      <c r="S6" s="24" t="s">
        <v>39</v>
      </c>
      <c r="T6" s="24" t="s">
        <v>95</v>
      </c>
      <c r="U6" s="24" t="s">
        <v>96</v>
      </c>
      <c r="V6" s="24" t="s">
        <v>70</v>
      </c>
      <c r="W6" s="25" t="s">
        <v>41</v>
      </c>
      <c r="X6" s="25" t="s">
        <v>99</v>
      </c>
      <c r="Y6" s="25" t="s">
        <v>100</v>
      </c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2:44">
      <c r="B7" s="21"/>
      <c r="C7" s="9" t="s">
        <v>26</v>
      </c>
      <c r="D7" s="27">
        <f>'Data 1'!D7</f>
        <v>608.52707852800006</v>
      </c>
      <c r="E7" s="27">
        <f>'Data 1'!E7</f>
        <v>2546.9114290000002</v>
      </c>
      <c r="F7" s="27">
        <f>'Data 1'!F7</f>
        <v>1916.3031756</v>
      </c>
      <c r="G7" s="27" t="str">
        <f>'Data 1'!G7</f>
        <v>-</v>
      </c>
      <c r="H7" s="27">
        <f>'Data 1'!H7</f>
        <v>439.07914099999999</v>
      </c>
      <c r="I7" s="27">
        <f>'Data 1'!I7</f>
        <v>3.5095189999999996</v>
      </c>
      <c r="J7" s="27">
        <f>'Data 1'!J7</f>
        <v>229.90395999999998</v>
      </c>
      <c r="K7" s="27">
        <f>'Data 1'!K7</f>
        <v>622.13793999999996</v>
      </c>
      <c r="L7" s="27">
        <f>'Data 1'!L7</f>
        <v>5494.1233493999998</v>
      </c>
      <c r="M7" s="27">
        <f>'Data 1'!M7</f>
        <v>3476.5441340000002</v>
      </c>
      <c r="N7" s="27" t="str">
        <f>'Data 1'!N7</f>
        <v>-</v>
      </c>
      <c r="O7" s="27">
        <f>'Data 1'!O7</f>
        <v>1095.8329693839999</v>
      </c>
      <c r="P7" s="27">
        <f>'Data 1'!P7</f>
        <v>7055.2354156000001</v>
      </c>
      <c r="Q7" s="27">
        <f>'Data 1'!Q7</f>
        <v>152.932547</v>
      </c>
      <c r="R7" s="27">
        <f>'Data 1'!R7</f>
        <v>96.991486999999992</v>
      </c>
      <c r="S7" s="27" t="str">
        <f>'Data 1'!S7</f>
        <v>-</v>
      </c>
      <c r="T7" s="27">
        <f>'Data 1'!T7</f>
        <v>82.256695999999991</v>
      </c>
      <c r="U7" s="27">
        <f>'Data 1'!U7</f>
        <v>510.41778499999998</v>
      </c>
      <c r="V7" s="27">
        <f>'Data 1'!V7</f>
        <v>388.30863900000003</v>
      </c>
      <c r="W7" s="27">
        <f t="shared" ref="W7:W21" si="0">SUM(D7:V7)</f>
        <v>24719.015265512</v>
      </c>
      <c r="X7" s="27">
        <f t="shared" ref="X7:X25" si="1">SUM(D7:F7,H7,J7:M7,O7:R7,T7:V7)</f>
        <v>24715.505746512001</v>
      </c>
      <c r="Y7" s="27">
        <f t="shared" ref="Y7:Y25" si="2">SUM(G7,I7,N7,S7)</f>
        <v>3.5095189999999996</v>
      </c>
      <c r="Z7" s="19"/>
      <c r="AA7" s="19"/>
      <c r="AB7" s="19"/>
      <c r="AC7" s="19"/>
      <c r="AD7" s="19"/>
      <c r="AE7" s="19"/>
      <c r="AF7" s="19"/>
      <c r="AG7" s="19"/>
      <c r="AH7" s="19"/>
      <c r="AI7" s="29"/>
      <c r="AJ7" s="19"/>
      <c r="AK7" s="19"/>
      <c r="AL7" s="19"/>
      <c r="AM7" s="19"/>
      <c r="AN7" s="19"/>
      <c r="AO7" s="19"/>
      <c r="AP7" s="19"/>
      <c r="AQ7" s="19"/>
      <c r="AR7" s="19"/>
    </row>
    <row r="8" spans="2:44">
      <c r="B8" s="21"/>
      <c r="C8" s="9" t="s">
        <v>68</v>
      </c>
      <c r="D8" s="27" t="str">
        <f>'Data 1'!D13</f>
        <v>-</v>
      </c>
      <c r="E8" s="27" t="str">
        <f>'Data 1'!E13</f>
        <v>-</v>
      </c>
      <c r="F8" s="27" t="str">
        <f>'Data 1'!F13</f>
        <v>-</v>
      </c>
      <c r="G8" s="27" t="str">
        <f>'Data 1'!G13</f>
        <v>-</v>
      </c>
      <c r="H8" s="27" t="str">
        <f>'Data 1'!H13</f>
        <v>-</v>
      </c>
      <c r="I8" s="27">
        <f>'Data 1'!I13</f>
        <v>23.248718</v>
      </c>
      <c r="J8" s="27" t="str">
        <f>'Data 1'!J13</f>
        <v>-</v>
      </c>
      <c r="K8" s="27" t="str">
        <f>'Data 1'!K13</f>
        <v>-</v>
      </c>
      <c r="L8" s="27" t="str">
        <f>'Data 1'!L13</f>
        <v>-</v>
      </c>
      <c r="M8" s="27" t="str">
        <f>'Data 1'!M13</f>
        <v>-</v>
      </c>
      <c r="N8" s="27" t="str">
        <f>'Data 1'!N13</f>
        <v>-</v>
      </c>
      <c r="O8" s="27" t="str">
        <f>'Data 1'!O13</f>
        <v>-</v>
      </c>
      <c r="P8" s="27" t="str">
        <f>'Data 1'!P13</f>
        <v>-</v>
      </c>
      <c r="Q8" s="27" t="str">
        <f>'Data 1'!Q13</f>
        <v>-</v>
      </c>
      <c r="R8" s="27" t="str">
        <f>'Data 1'!R13</f>
        <v>-</v>
      </c>
      <c r="S8" s="27" t="str">
        <f>'Data 1'!S13</f>
        <v>-</v>
      </c>
      <c r="T8" s="27" t="str">
        <f>'Data 1'!T13</f>
        <v>-</v>
      </c>
      <c r="U8" s="27" t="str">
        <f>'Data 1'!U13</f>
        <v>-</v>
      </c>
      <c r="V8" s="27" t="str">
        <f>'Data 1'!V13</f>
        <v>-</v>
      </c>
      <c r="W8" s="27">
        <f t="shared" ref="W8:W13" si="3">SUM(D8:V8)</f>
        <v>23.248718</v>
      </c>
      <c r="X8" s="27">
        <f t="shared" ref="X8:X14" si="4">SUM(D8:F8,H8,J8:M8,O8:R8,T8:V8)</f>
        <v>0</v>
      </c>
      <c r="Y8" s="27">
        <f t="shared" ref="Y8:Y14" si="5">SUM(G8,I8,N8,S8)</f>
        <v>23.248718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2:44">
      <c r="B9" s="21"/>
      <c r="C9" s="9" t="s">
        <v>50</v>
      </c>
      <c r="D9" s="27">
        <f>'Data 1'!D14</f>
        <v>6849.146068</v>
      </c>
      <c r="E9" s="27">
        <f>'Data 1'!E14</f>
        <v>5360.4630880000004</v>
      </c>
      <c r="F9" s="27">
        <f>'Data 1'!F14</f>
        <v>1185.9513489999999</v>
      </c>
      <c r="G9" s="27">
        <f>'Data 1'!G14</f>
        <v>6.0848199999999997</v>
      </c>
      <c r="H9" s="27">
        <f>'Data 1'!H14</f>
        <v>2573.7643110000004</v>
      </c>
      <c r="I9" s="27">
        <f>'Data 1'!I14</f>
        <v>1138.116575</v>
      </c>
      <c r="J9" s="27">
        <f>'Data 1'!J14</f>
        <v>72.912354999999991</v>
      </c>
      <c r="K9" s="27">
        <f>'Data 1'!K14</f>
        <v>8524.252144</v>
      </c>
      <c r="L9" s="27">
        <f>'Data 1'!L14</f>
        <v>12456.885193</v>
      </c>
      <c r="M9" s="27">
        <f>'Data 1'!M14</f>
        <v>3052.8779989999998</v>
      </c>
      <c r="N9" s="27" t="str">
        <f>'Data 1'!N14</f>
        <v>-</v>
      </c>
      <c r="O9" s="27">
        <f>'Data 1'!O14</f>
        <v>91.370704000000003</v>
      </c>
      <c r="P9" s="27">
        <f>'Data 1'!P14</f>
        <v>8706.7693639999998</v>
      </c>
      <c r="Q9" s="27">
        <f>'Data 1'!Q14</f>
        <v>975.14605500000005</v>
      </c>
      <c r="R9" s="27" t="str">
        <f>'Data 1'!R14</f>
        <v>-</v>
      </c>
      <c r="S9" s="27" t="str">
        <f>'Data 1'!S14</f>
        <v>-</v>
      </c>
      <c r="T9" s="27">
        <f>'Data 1'!T14</f>
        <v>524.57987000000003</v>
      </c>
      <c r="U9" s="27">
        <f>'Data 1'!U14</f>
        <v>2397.5924070000001</v>
      </c>
      <c r="V9" s="27">
        <f>'Data 1'!V14</f>
        <v>329.143597</v>
      </c>
      <c r="W9" s="27">
        <f t="shared" si="3"/>
        <v>54245.055898999999</v>
      </c>
      <c r="X9" s="27">
        <f t="shared" si="4"/>
        <v>53100.854504000003</v>
      </c>
      <c r="Y9" s="27">
        <f t="shared" si="5"/>
        <v>1144.201395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2:44">
      <c r="B10" s="21"/>
      <c r="C10" s="9" t="s">
        <v>51</v>
      </c>
      <c r="D10" s="27">
        <f>'Data 1'!D15</f>
        <v>1763.316546</v>
      </c>
      <c r="E10" s="27">
        <f>'Data 1'!E15</f>
        <v>328.12453099999999</v>
      </c>
      <c r="F10" s="27">
        <f>'Data 1'!F15</f>
        <v>0.468169</v>
      </c>
      <c r="G10" s="27">
        <f>'Data 1'!G15</f>
        <v>121.04503299999999</v>
      </c>
      <c r="H10" s="27">
        <f>'Data 1'!H15</f>
        <v>540.961142</v>
      </c>
      <c r="I10" s="27">
        <f>'Data 1'!I15</f>
        <v>278.920098</v>
      </c>
      <c r="J10" s="27">
        <f>'Data 1'!J15</f>
        <v>2.0740129999999999</v>
      </c>
      <c r="K10" s="27">
        <f>'Data 1'!K15</f>
        <v>1969.5148359999998</v>
      </c>
      <c r="L10" s="27">
        <f>'Data 1'!L15</f>
        <v>864.25749499999995</v>
      </c>
      <c r="M10" s="27">
        <f>'Data 1'!M15</f>
        <v>410.85935899999998</v>
      </c>
      <c r="N10" s="27" t="str">
        <f>'Data 1'!N15</f>
        <v>-</v>
      </c>
      <c r="O10" s="27">
        <f>'Data 1'!O15</f>
        <v>1194.242017</v>
      </c>
      <c r="P10" s="27">
        <f>'Data 1'!P15</f>
        <v>20.293183000000003</v>
      </c>
      <c r="Q10" s="27">
        <f>'Data 1'!Q15</f>
        <v>139.55488</v>
      </c>
      <c r="R10" s="27">
        <f>'Data 1'!R15</f>
        <v>91.676293999999999</v>
      </c>
      <c r="S10" s="27">
        <f>'Data 1'!S15</f>
        <v>8.0373E-2</v>
      </c>
      <c r="T10" s="27">
        <f>'Data 1'!T15</f>
        <v>1184.823169</v>
      </c>
      <c r="U10" s="27">
        <f>'Data 1'!U15</f>
        <v>311.12923999999998</v>
      </c>
      <c r="V10" s="27">
        <f>'Data 1'!V15</f>
        <v>30.678502999999999</v>
      </c>
      <c r="W10" s="27">
        <f t="shared" si="3"/>
        <v>9252.0188809999981</v>
      </c>
      <c r="X10" s="27">
        <f t="shared" si="4"/>
        <v>8851.9733769999984</v>
      </c>
      <c r="Y10" s="27">
        <f t="shared" si="5"/>
        <v>400.04550399999999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29"/>
      <c r="AN10" s="19"/>
      <c r="AO10" s="19"/>
      <c r="AP10" s="19"/>
      <c r="AQ10" s="19"/>
      <c r="AR10" s="19"/>
    </row>
    <row r="11" spans="2:44">
      <c r="B11" s="21"/>
      <c r="C11" s="9" t="s">
        <v>66</v>
      </c>
      <c r="D11" s="27">
        <f>'Data 1'!D16</f>
        <v>2239.979241</v>
      </c>
      <c r="E11" s="27" t="str">
        <f>'Data 1'!E16</f>
        <v>-</v>
      </c>
      <c r="F11" s="27" t="str">
        <f>'Data 1'!F16</f>
        <v>-</v>
      </c>
      <c r="G11" s="27" t="str">
        <f>'Data 1'!G16</f>
        <v>-</v>
      </c>
      <c r="H11" s="27">
        <f>'Data 1'!H16</f>
        <v>87.782623000000001</v>
      </c>
      <c r="I11" s="27" t="str">
        <f>'Data 1'!I16</f>
        <v>-</v>
      </c>
      <c r="J11" s="27" t="str">
        <f>'Data 1'!J16</f>
        <v>-</v>
      </c>
      <c r="K11" s="27">
        <f>'Data 1'!K16</f>
        <v>723.96888200000001</v>
      </c>
      <c r="L11" s="27" t="str">
        <f>'Data 1'!L16</f>
        <v>-</v>
      </c>
      <c r="M11" s="27">
        <f>'Data 1'!M16</f>
        <v>28.856235000000002</v>
      </c>
      <c r="N11" s="27" t="str">
        <f>'Data 1'!N16</f>
        <v>-</v>
      </c>
      <c r="O11" s="27">
        <f>'Data 1'!O16</f>
        <v>2043.335562</v>
      </c>
      <c r="P11" s="27" t="str">
        <f>'Data 1'!P16</f>
        <v>-</v>
      </c>
      <c r="Q11" s="27" t="str">
        <f>'Data 1'!Q16</f>
        <v>-</v>
      </c>
      <c r="R11" s="27" t="str">
        <f>'Data 1'!R16</f>
        <v>-</v>
      </c>
      <c r="S11" s="27" t="str">
        <f>'Data 1'!S16</f>
        <v>-</v>
      </c>
      <c r="T11" s="27">
        <f>'Data 1'!T16</f>
        <v>42.508601999999996</v>
      </c>
      <c r="U11" s="27" t="str">
        <f>'Data 1'!U16</f>
        <v>-</v>
      </c>
      <c r="V11" s="27" t="str">
        <f>'Data 1'!V16</f>
        <v>-</v>
      </c>
      <c r="W11" s="27">
        <f t="shared" si="3"/>
        <v>5166.4311450000005</v>
      </c>
      <c r="X11" s="27">
        <f t="shared" si="4"/>
        <v>5166.4311450000005</v>
      </c>
      <c r="Y11" s="27">
        <f t="shared" si="5"/>
        <v>0</v>
      </c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2:44">
      <c r="B12" s="21"/>
      <c r="C12" s="9" t="s">
        <v>75</v>
      </c>
      <c r="D12" s="27">
        <f>'Data 1'!D17</f>
        <v>1428.9951389999999</v>
      </c>
      <c r="E12" s="27">
        <f>'Data 1'!E17</f>
        <v>57.642563000000003</v>
      </c>
      <c r="F12" s="27">
        <f>'Data 1'!F17</f>
        <v>255.52084599999998</v>
      </c>
      <c r="G12" s="27">
        <f>'Data 1'!G17</f>
        <v>1.139367</v>
      </c>
      <c r="H12" s="27">
        <f>'Data 1'!H17</f>
        <v>35.938586999999998</v>
      </c>
      <c r="I12" s="27">
        <f>'Data 1'!I17</f>
        <v>9.773575000000001</v>
      </c>
      <c r="J12" s="27">
        <f>'Data 1'!J17</f>
        <v>72.909684999999996</v>
      </c>
      <c r="K12" s="27">
        <f>'Data 1'!K17</f>
        <v>275.06766899999997</v>
      </c>
      <c r="L12" s="27">
        <f>'Data 1'!L17</f>
        <v>271.95207900000003</v>
      </c>
      <c r="M12" s="27">
        <f>'Data 1'!M17</f>
        <v>155.41232300000001</v>
      </c>
      <c r="N12" s="27" t="str">
        <f>'Data 1'!N17</f>
        <v>-</v>
      </c>
      <c r="O12" s="27">
        <f>'Data 1'!O17</f>
        <v>233.488392</v>
      </c>
      <c r="P12" s="27">
        <f>'Data 1'!P17</f>
        <v>257.88558499999999</v>
      </c>
      <c r="Q12" s="27">
        <f>'Data 1'!Q17</f>
        <v>6.8119219999999991</v>
      </c>
      <c r="R12" s="27">
        <f>'Data 1'!R17</f>
        <v>162.571606</v>
      </c>
      <c r="S12" s="27" t="str">
        <f>'Data 1'!S17</f>
        <v>-</v>
      </c>
      <c r="T12" s="27">
        <f>'Data 1'!T17</f>
        <v>46.567340999999999</v>
      </c>
      <c r="U12" s="27">
        <f>'Data 1'!U17</f>
        <v>292.374281</v>
      </c>
      <c r="V12" s="27">
        <f>'Data 1'!V17</f>
        <v>53.664268999999997</v>
      </c>
      <c r="W12" s="27">
        <f t="shared" si="3"/>
        <v>3617.7152289999999</v>
      </c>
      <c r="X12" s="27">
        <f t="shared" si="4"/>
        <v>3606.802287</v>
      </c>
      <c r="Y12" s="27">
        <f t="shared" si="5"/>
        <v>10.912942000000001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2:44">
      <c r="B13" s="21"/>
      <c r="C13" s="9" t="s">
        <v>91</v>
      </c>
      <c r="D13" s="27" t="str">
        <f>'Data 1'!D20</f>
        <v>-</v>
      </c>
      <c r="E13" s="27" t="str">
        <f>'Data 1'!E20</f>
        <v>-</v>
      </c>
      <c r="F13" s="27" t="str">
        <f>'Data 1'!F20</f>
        <v>-</v>
      </c>
      <c r="G13" s="27">
        <f>'Data 1'!G20</f>
        <v>145.46326099999999</v>
      </c>
      <c r="H13" s="27" t="str">
        <f>'Data 1'!H20</f>
        <v>-</v>
      </c>
      <c r="I13" s="27" t="str">
        <f>'Data 1'!I20</f>
        <v>-</v>
      </c>
      <c r="J13" s="27">
        <f>'Data 1'!J20</f>
        <v>37.915873500000004</v>
      </c>
      <c r="K13" s="27" t="str">
        <f>'Data 1'!K20</f>
        <v>-</v>
      </c>
      <c r="L13" s="27" t="str">
        <f>'Data 1'!L20</f>
        <v>-</v>
      </c>
      <c r="M13" s="27">
        <f>'Data 1'!M20</f>
        <v>136.77803549999999</v>
      </c>
      <c r="N13" s="27" t="str">
        <f>'Data 1'!N20</f>
        <v>-</v>
      </c>
      <c r="O13" s="27" t="str">
        <f>'Data 1'!O20</f>
        <v>-</v>
      </c>
      <c r="P13" s="27">
        <f>'Data 1'!P20</f>
        <v>165.92364550000002</v>
      </c>
      <c r="Q13" s="27" t="str">
        <f>'Data 1'!Q20</f>
        <v>-</v>
      </c>
      <c r="R13" s="27">
        <f>'Data 1'!R20</f>
        <v>83.303767999999991</v>
      </c>
      <c r="S13" s="27">
        <f>'Data 1'!S20</f>
        <v>5.3969984999999996</v>
      </c>
      <c r="T13" s="27" t="str">
        <f>'Data 1'!T20</f>
        <v>-</v>
      </c>
      <c r="U13" s="27" t="str">
        <f>'Data 1'!U20</f>
        <v>-</v>
      </c>
      <c r="V13" s="27">
        <f>'Data 1'!V20</f>
        <v>315.03216900000001</v>
      </c>
      <c r="W13" s="27">
        <f t="shared" si="3"/>
        <v>889.81375099999991</v>
      </c>
      <c r="X13" s="27">
        <f t="shared" si="4"/>
        <v>738.95349149999993</v>
      </c>
      <c r="Y13" s="27">
        <f t="shared" si="5"/>
        <v>150.86025949999998</v>
      </c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2:44">
      <c r="B14" s="21"/>
      <c r="C14" s="30" t="s">
        <v>149</v>
      </c>
      <c r="D14" s="31">
        <f>SUM(D7:D13)</f>
        <v>12889.964072528002</v>
      </c>
      <c r="E14" s="31">
        <f t="shared" ref="E14:W14" si="6">SUM(E7:E13)</f>
        <v>8293.1416109999991</v>
      </c>
      <c r="F14" s="31">
        <f t="shared" si="6"/>
        <v>3358.2435396000001</v>
      </c>
      <c r="G14" s="31">
        <f t="shared" si="6"/>
        <v>273.73248100000001</v>
      </c>
      <c r="H14" s="31">
        <f t="shared" si="6"/>
        <v>3677.5258040000008</v>
      </c>
      <c r="I14" s="31">
        <f t="shared" si="6"/>
        <v>1453.568485</v>
      </c>
      <c r="J14" s="31">
        <f t="shared" si="6"/>
        <v>415.7158864999999</v>
      </c>
      <c r="K14" s="31">
        <f t="shared" si="6"/>
        <v>12114.941471</v>
      </c>
      <c r="L14" s="31">
        <f t="shared" si="6"/>
        <v>19087.218116399999</v>
      </c>
      <c r="M14" s="31">
        <f t="shared" si="6"/>
        <v>7261.3280854999994</v>
      </c>
      <c r="N14" s="31">
        <f t="shared" si="6"/>
        <v>0</v>
      </c>
      <c r="O14" s="31">
        <f t="shared" si="6"/>
        <v>4658.2696443840005</v>
      </c>
      <c r="P14" s="31">
        <f t="shared" si="6"/>
        <v>16206.107193100001</v>
      </c>
      <c r="Q14" s="31">
        <f t="shared" si="6"/>
        <v>1274.4454040000001</v>
      </c>
      <c r="R14" s="31">
        <f t="shared" si="6"/>
        <v>434.54315499999996</v>
      </c>
      <c r="S14" s="31">
        <f t="shared" si="6"/>
        <v>5.4773714999999994</v>
      </c>
      <c r="T14" s="31">
        <f t="shared" si="6"/>
        <v>1880.735678</v>
      </c>
      <c r="U14" s="31">
        <f t="shared" si="6"/>
        <v>3511.5137129999998</v>
      </c>
      <c r="V14" s="31">
        <f t="shared" si="6"/>
        <v>1116.8271770000001</v>
      </c>
      <c r="W14" s="31">
        <f t="shared" si="6"/>
        <v>97913.298888511985</v>
      </c>
      <c r="X14" s="31">
        <f t="shared" si="4"/>
        <v>96180.520551011999</v>
      </c>
      <c r="Y14" s="31">
        <f t="shared" si="5"/>
        <v>1732.7783374999999</v>
      </c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2:44" ht="11.25" customHeight="1">
      <c r="B15" s="21"/>
      <c r="C15" s="9" t="s">
        <v>67</v>
      </c>
      <c r="D15" s="27">
        <f>'Data 1'!D8</f>
        <v>107.323718472</v>
      </c>
      <c r="E15" s="27">
        <f>'Data 1'!E8</f>
        <v>109.722308</v>
      </c>
      <c r="F15" s="27">
        <f>'Data 1'!F8</f>
        <v>8.2607504000000009</v>
      </c>
      <c r="G15" s="27" t="str">
        <f>'Data 1'!G8</f>
        <v>-</v>
      </c>
      <c r="H15" s="27">
        <f>'Data 1'!H8</f>
        <v>814.04141900000002</v>
      </c>
      <c r="I15" s="27" t="str">
        <f>'Data 1'!I8</f>
        <v>-</v>
      </c>
      <c r="J15" s="27">
        <f>'Data 1'!J8</f>
        <v>260.41194000000002</v>
      </c>
      <c r="K15" s="27">
        <f>'Data 1'!K8</f>
        <v>42.846559999999997</v>
      </c>
      <c r="L15" s="27">
        <f>'Data 1'!L8</f>
        <v>161.73527687000001</v>
      </c>
      <c r="M15" s="27">
        <f>'Data 1'!M8</f>
        <v>94.472954999999999</v>
      </c>
      <c r="N15" s="27" t="str">
        <f>'Data 1'!N8</f>
        <v>-</v>
      </c>
      <c r="O15" s="27">
        <f>'Data 1'!O8</f>
        <v>4.6844809999999999</v>
      </c>
      <c r="P15" s="27">
        <f>'Data 1'!P8</f>
        <v>42.005647599999996</v>
      </c>
      <c r="Q15" s="27" t="str">
        <f>'Data 1'!Q8</f>
        <v>-</v>
      </c>
      <c r="R15" s="27" t="str">
        <f>'Data 1'!R8</f>
        <v>-</v>
      </c>
      <c r="S15" s="27" t="str">
        <f>'Data 1'!S8</f>
        <v>-</v>
      </c>
      <c r="T15" s="27" t="str">
        <f>'Data 1'!T8</f>
        <v>-</v>
      </c>
      <c r="U15" s="27" t="str">
        <f>'Data 1'!U8</f>
        <v>-</v>
      </c>
      <c r="V15" s="27" t="str">
        <f>'Data 1'!V8</f>
        <v>-</v>
      </c>
      <c r="W15" s="27">
        <f t="shared" si="0"/>
        <v>1645.5050563419998</v>
      </c>
      <c r="X15" s="27">
        <f t="shared" si="1"/>
        <v>1645.5050563419998</v>
      </c>
      <c r="Y15" s="27">
        <f t="shared" si="2"/>
        <v>0</v>
      </c>
      <c r="Z15" s="19"/>
      <c r="AA15" s="19"/>
      <c r="AB15" s="19"/>
      <c r="AC15" s="19"/>
      <c r="AD15" s="19"/>
      <c r="AE15" s="19"/>
      <c r="AF15" s="19"/>
      <c r="AG15" s="19"/>
      <c r="AH15" s="19"/>
      <c r="AI15" s="2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2:44">
      <c r="B16" s="21"/>
      <c r="C16" s="9" t="s">
        <v>27</v>
      </c>
      <c r="D16" s="27" t="str">
        <f>'Data 1'!D9</f>
        <v>-</v>
      </c>
      <c r="E16" s="27" t="str">
        <f>'Data 1'!E9</f>
        <v>-</v>
      </c>
      <c r="F16" s="27" t="str">
        <f>'Data 1'!F9</f>
        <v>-</v>
      </c>
      <c r="G16" s="27" t="str">
        <f>'Data 1'!G9</f>
        <v>-</v>
      </c>
      <c r="H16" s="27">
        <f>'Data 1'!H9</f>
        <v>8056.1628200000005</v>
      </c>
      <c r="I16" s="27" t="str">
        <f>'Data 1'!I9</f>
        <v>-</v>
      </c>
      <c r="J16" s="27" t="str">
        <f>'Data 1'!J9</f>
        <v>-</v>
      </c>
      <c r="K16" s="27">
        <f>'Data 1'!K9</f>
        <v>7892.0727879999995</v>
      </c>
      <c r="L16" s="27" t="str">
        <f>'Data 1'!L9</f>
        <v>-</v>
      </c>
      <c r="M16" s="27">
        <f>'Data 1'!M9</f>
        <v>23560.519215999997</v>
      </c>
      <c r="N16" s="27" t="str">
        <f>'Data 1'!N9</f>
        <v>-</v>
      </c>
      <c r="O16" s="27">
        <f>'Data 1'!O9</f>
        <v>16315.471951</v>
      </c>
      <c r="P16" s="27" t="str">
        <f>'Data 1'!P9</f>
        <v>-</v>
      </c>
      <c r="Q16" s="27" t="str">
        <f>'Data 1'!Q9</f>
        <v>-</v>
      </c>
      <c r="R16" s="27" t="str">
        <f>'Data 1'!R9</f>
        <v>-</v>
      </c>
      <c r="S16" s="27" t="str">
        <f>'Data 1'!S9</f>
        <v>-</v>
      </c>
      <c r="T16" s="27" t="str">
        <f>'Data 1'!T9</f>
        <v>-</v>
      </c>
      <c r="U16" s="27" t="str">
        <f>'Data 1'!U9</f>
        <v>-</v>
      </c>
      <c r="V16" s="27" t="str">
        <f>'Data 1'!V9</f>
        <v>-</v>
      </c>
      <c r="W16" s="27">
        <f t="shared" si="0"/>
        <v>55824.226774999996</v>
      </c>
      <c r="X16" s="27">
        <f t="shared" si="1"/>
        <v>55824.226774999996</v>
      </c>
      <c r="Y16" s="27">
        <f t="shared" si="2"/>
        <v>0</v>
      </c>
      <c r="Z16" s="19"/>
      <c r="AA16" s="19"/>
      <c r="AB16" s="2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2:45">
      <c r="B17" s="21"/>
      <c r="C17" s="9" t="s">
        <v>28</v>
      </c>
      <c r="D17" s="27">
        <f>'Data 1'!D10</f>
        <v>2874.5691979999997</v>
      </c>
      <c r="E17" s="27">
        <f>'Data 1'!E10</f>
        <v>1451.37988</v>
      </c>
      <c r="F17" s="27">
        <f>'Data 1'!F10</f>
        <v>3545.4257579999999</v>
      </c>
      <c r="G17" s="27">
        <f>'Data 1'!G10</f>
        <v>1999.939695</v>
      </c>
      <c r="H17" s="27" t="str">
        <f>'Data 1'!H10</f>
        <v>-</v>
      </c>
      <c r="I17" s="27" t="str">
        <f>'Data 1'!I10</f>
        <v>-</v>
      </c>
      <c r="J17" s="27" t="str">
        <f>'Data 1'!J10</f>
        <v>-</v>
      </c>
      <c r="K17" s="27" t="str">
        <f>'Data 1'!K10</f>
        <v>-</v>
      </c>
      <c r="L17" s="27">
        <f>'Data 1'!L10</f>
        <v>333.263036</v>
      </c>
      <c r="M17" s="27" t="str">
        <f>'Data 1'!M10</f>
        <v>-</v>
      </c>
      <c r="N17" s="27" t="str">
        <f>'Data 1'!N10</f>
        <v>-</v>
      </c>
      <c r="O17" s="27" t="str">
        <f>'Data 1'!O10</f>
        <v>-</v>
      </c>
      <c r="P17" s="27">
        <f>'Data 1'!P10</f>
        <v>2466.0598309999996</v>
      </c>
      <c r="Q17" s="27" t="str">
        <f>'Data 1'!Q10</f>
        <v>-</v>
      </c>
      <c r="R17" s="27" t="str">
        <f>'Data 1'!R10</f>
        <v>-</v>
      </c>
      <c r="S17" s="27" t="str">
        <f>'Data 1'!S10</f>
        <v>-</v>
      </c>
      <c r="T17" s="27" t="str">
        <f>'Data 1'!T10</f>
        <v>-</v>
      </c>
      <c r="U17" s="27" t="str">
        <f>'Data 1'!U10</f>
        <v>-</v>
      </c>
      <c r="V17" s="27" t="str">
        <f>'Data 1'!V10</f>
        <v>-</v>
      </c>
      <c r="W17" s="27">
        <f t="shared" si="0"/>
        <v>12670.637397999999</v>
      </c>
      <c r="X17" s="27">
        <f t="shared" si="1"/>
        <v>10670.697702999998</v>
      </c>
      <c r="Y17" s="27">
        <f t="shared" si="2"/>
        <v>1999.939695</v>
      </c>
      <c r="Z17" s="19"/>
      <c r="AA17" s="2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2:45">
      <c r="B18" s="21"/>
      <c r="C18" s="9" t="s">
        <v>98</v>
      </c>
      <c r="D18" s="27" t="str">
        <f>'Data 1'!D11</f>
        <v>-</v>
      </c>
      <c r="E18" s="27" t="str">
        <f>'Data 1'!E11</f>
        <v>-</v>
      </c>
      <c r="F18" s="27" t="str">
        <f>'Data 1'!F11</f>
        <v>-</v>
      </c>
      <c r="G18" s="27">
        <f>'Data 1'!G11</f>
        <v>921.62529500000005</v>
      </c>
      <c r="H18" s="27">
        <f>'Data 1'!H11</f>
        <v>-9.9999999999999995E-7</v>
      </c>
      <c r="I18" s="27">
        <f>'Data 1'!I11</f>
        <v>4367.8920990000006</v>
      </c>
      <c r="J18" s="27" t="str">
        <f>'Data 1'!J11</f>
        <v>-</v>
      </c>
      <c r="K18" s="27" t="str">
        <f>'Data 1'!K11</f>
        <v>-</v>
      </c>
      <c r="L18" s="27" t="str">
        <f>'Data 1'!L11</f>
        <v>-</v>
      </c>
      <c r="M18" s="27" t="str">
        <f>'Data 1'!M11</f>
        <v>-</v>
      </c>
      <c r="N18" s="27">
        <f>'Data 1'!N11</f>
        <v>206.04823999999999</v>
      </c>
      <c r="O18" s="27" t="str">
        <f>'Data 1'!O11</f>
        <v>-</v>
      </c>
      <c r="P18" s="27" t="str">
        <f>'Data 1'!P11</f>
        <v>-</v>
      </c>
      <c r="Q18" s="27" t="str">
        <f>'Data 1'!Q11</f>
        <v>-</v>
      </c>
      <c r="R18" s="27" t="str">
        <f>'Data 1'!R11</f>
        <v>-</v>
      </c>
      <c r="S18" s="27">
        <f>'Data 1'!S11</f>
        <v>200.03025500000001</v>
      </c>
      <c r="T18" s="27" t="str">
        <f>'Data 1'!T11</f>
        <v>-</v>
      </c>
      <c r="U18" s="27" t="str">
        <f>'Data 1'!U11</f>
        <v>-</v>
      </c>
      <c r="V18" s="27" t="str">
        <f>'Data 1'!V11</f>
        <v>-</v>
      </c>
      <c r="W18" s="27">
        <f t="shared" si="0"/>
        <v>5695.5958880000007</v>
      </c>
      <c r="X18" s="27">
        <f t="shared" si="1"/>
        <v>-9.9999999999999995E-7</v>
      </c>
      <c r="Y18" s="27">
        <f t="shared" si="2"/>
        <v>5695.5958890000002</v>
      </c>
      <c r="Z18" s="19"/>
      <c r="AA18" s="19"/>
      <c r="AB18" s="19"/>
      <c r="AC18" s="2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2:45">
      <c r="B19" s="21"/>
      <c r="C19" s="9" t="s">
        <v>44</v>
      </c>
      <c r="D19" s="27">
        <f>'Data 1'!D12</f>
        <v>12941.320755000001</v>
      </c>
      <c r="E19" s="27">
        <f>'Data 1'!E12</f>
        <v>2082.9749539999998</v>
      </c>
      <c r="F19" s="27">
        <f>'Data 1'!F12</f>
        <v>2209.4074259999998</v>
      </c>
      <c r="G19" s="27">
        <f>'Data 1'!G12</f>
        <v>1045.1970490000001</v>
      </c>
      <c r="H19" s="27">
        <f>'Data 1'!H12</f>
        <v>4644.8233700000001</v>
      </c>
      <c r="I19" s="27">
        <f>'Data 1'!I12</f>
        <v>3053.51755</v>
      </c>
      <c r="J19" s="27" t="str">
        <f>'Data 1'!J12</f>
        <v>-</v>
      </c>
      <c r="K19" s="27">
        <f>'Data 1'!K12</f>
        <v>1488.0818689999999</v>
      </c>
      <c r="L19" s="27" t="str">
        <f>'Data 1'!L12</f>
        <v>-</v>
      </c>
      <c r="M19" s="27">
        <f>'Data 1'!M12</f>
        <v>8763.5389829999986</v>
      </c>
      <c r="N19" s="27" t="str">
        <f>'Data 1'!N12</f>
        <v>-</v>
      </c>
      <c r="O19" s="27" t="str">
        <f>'Data 1'!O12</f>
        <v>-</v>
      </c>
      <c r="P19" s="27">
        <f>'Data 1'!P12</f>
        <v>3455.5005610000003</v>
      </c>
      <c r="Q19" s="27">
        <f>'Data 1'!Q12</f>
        <v>1222.4732590000001</v>
      </c>
      <c r="R19" s="27" t="str">
        <f>'Data 1'!R12</f>
        <v>-</v>
      </c>
      <c r="S19" s="27" t="str">
        <f>'Data 1'!S12</f>
        <v>-</v>
      </c>
      <c r="T19" s="27">
        <f>'Data 1'!T12</f>
        <v>6812.3239620000004</v>
      </c>
      <c r="U19" s="27">
        <f>'Data 1'!U12</f>
        <v>3048.0867330000001</v>
      </c>
      <c r="V19" s="27">
        <f>'Data 1'!V12</f>
        <v>4474.723747</v>
      </c>
      <c r="W19" s="27">
        <f t="shared" si="0"/>
        <v>55241.970217999988</v>
      </c>
      <c r="X19" s="27">
        <f t="shared" si="1"/>
        <v>51143.255619000003</v>
      </c>
      <c r="Y19" s="27">
        <f t="shared" si="2"/>
        <v>4098.7145989999999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9"/>
      <c r="AK19" s="19"/>
      <c r="AL19" s="19"/>
      <c r="AM19" s="19"/>
      <c r="AN19" s="19"/>
      <c r="AO19" s="19"/>
      <c r="AP19" s="19"/>
      <c r="AQ19" s="19"/>
      <c r="AR19" s="19"/>
    </row>
    <row r="20" spans="2:45" ht="11.25" customHeight="1">
      <c r="B20" s="21"/>
      <c r="C20" s="9" t="s">
        <v>73</v>
      </c>
      <c r="D20" s="27">
        <f>'Data 1'!D18</f>
        <v>5196.1051749999997</v>
      </c>
      <c r="E20" s="27">
        <f>'Data 1'!E18</f>
        <v>3038.4455839999996</v>
      </c>
      <c r="F20" s="27">
        <f>'Data 1'!F18</f>
        <v>358.82596100000001</v>
      </c>
      <c r="G20" s="27">
        <f>'Data 1'!G18</f>
        <v>34.42747</v>
      </c>
      <c r="H20" s="27">
        <f>'Data 1'!H18</f>
        <v>1616.6030800000001</v>
      </c>
      <c r="I20" s="27" t="str">
        <f>'Data 1'!I18</f>
        <v>-</v>
      </c>
      <c r="J20" s="27">
        <f>'Data 1'!J18</f>
        <v>1583.3344010000001</v>
      </c>
      <c r="K20" s="27">
        <f>'Data 1'!K18</f>
        <v>1311.4678409999999</v>
      </c>
      <c r="L20" s="27">
        <f>'Data 1'!L18</f>
        <v>2820.453156</v>
      </c>
      <c r="M20" s="27">
        <f>'Data 1'!M18</f>
        <v>5383.192489</v>
      </c>
      <c r="N20" s="27" t="str">
        <f>'Data 1'!N18</f>
        <v>-</v>
      </c>
      <c r="O20" s="27">
        <f>'Data 1'!O18</f>
        <v>53.929693</v>
      </c>
      <c r="P20" s="27">
        <f>'Data 1'!P18</f>
        <v>2520.2165110000001</v>
      </c>
      <c r="Q20" s="27">
        <f>'Data 1'!Q18</f>
        <v>85.782925000000006</v>
      </c>
      <c r="R20" s="27">
        <f>'Data 1'!R18</f>
        <v>844.18293299999993</v>
      </c>
      <c r="S20" s="27" t="str">
        <f>'Data 1'!S18</f>
        <v>-</v>
      </c>
      <c r="T20" s="27">
        <f>'Data 1'!T18</f>
        <v>1779.42471</v>
      </c>
      <c r="U20" s="27">
        <f>'Data 1'!U18</f>
        <v>909.88024100000007</v>
      </c>
      <c r="V20" s="27">
        <f>'Data 1'!V18</f>
        <v>2078.8668790000002</v>
      </c>
      <c r="W20" s="27">
        <f t="shared" si="0"/>
        <v>29615.139048999998</v>
      </c>
      <c r="X20" s="27">
        <f t="shared" si="1"/>
        <v>29580.711578999995</v>
      </c>
      <c r="Y20" s="27">
        <f t="shared" si="2"/>
        <v>34.42747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2:45">
      <c r="B21" s="21"/>
      <c r="C21" s="9" t="s">
        <v>90</v>
      </c>
      <c r="D21" s="27">
        <f>'Data 1'!D19</f>
        <v>5.4454009999999995</v>
      </c>
      <c r="E21" s="27">
        <f>'Data 1'!E19</f>
        <v>376.11670299999997</v>
      </c>
      <c r="F21" s="27">
        <f>'Data 1'!F19</f>
        <v>639.28295800000001</v>
      </c>
      <c r="G21" s="27">
        <f>'Data 1'!G19</f>
        <v>145.46326099999999</v>
      </c>
      <c r="H21" s="27">
        <f>'Data 1'!H19</f>
        <v>59.737607000000004</v>
      </c>
      <c r="I21" s="27" t="str">
        <f>'Data 1'!I19</f>
        <v>-</v>
      </c>
      <c r="J21" s="27">
        <f>'Data 1'!J19</f>
        <v>37.915873500000004</v>
      </c>
      <c r="K21" s="27" t="str">
        <f>'Data 1'!K19</f>
        <v>-</v>
      </c>
      <c r="L21" s="27" t="str">
        <f>'Data 1'!L19</f>
        <v>-</v>
      </c>
      <c r="M21" s="27">
        <f>'Data 1'!M19</f>
        <v>143.91106150000002</v>
      </c>
      <c r="N21" s="27" t="str">
        <f>'Data 1'!N19</f>
        <v>-</v>
      </c>
      <c r="O21" s="27" t="str">
        <f>'Data 1'!O19</f>
        <v>-</v>
      </c>
      <c r="P21" s="27">
        <f>'Data 1'!P19</f>
        <v>165.92364449999999</v>
      </c>
      <c r="Q21" s="27" t="str">
        <f>'Data 1'!Q19</f>
        <v>-</v>
      </c>
      <c r="R21" s="27">
        <f>'Data 1'!R19</f>
        <v>83.303767999999991</v>
      </c>
      <c r="S21" s="27">
        <f>'Data 1'!S19</f>
        <v>5.3969984999999996</v>
      </c>
      <c r="T21" s="27" t="str">
        <f>'Data 1'!T19</f>
        <v>-</v>
      </c>
      <c r="U21" s="27" t="str">
        <f>'Data 1'!U19</f>
        <v>-</v>
      </c>
      <c r="V21" s="27">
        <f>'Data 1'!V19</f>
        <v>559.96603000000005</v>
      </c>
      <c r="W21" s="27">
        <f t="shared" si="0"/>
        <v>2222.4633060000001</v>
      </c>
      <c r="X21" s="27">
        <f t="shared" si="1"/>
        <v>2071.6030464999999</v>
      </c>
      <c r="Y21" s="27">
        <f t="shared" si="2"/>
        <v>150.86025949999998</v>
      </c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2:45">
      <c r="B22" s="21"/>
      <c r="C22" s="30" t="s">
        <v>150</v>
      </c>
      <c r="D22" s="31">
        <f>SUM(D15:D21)</f>
        <v>21124.764247472001</v>
      </c>
      <c r="E22" s="31">
        <f t="shared" ref="E22:W22" si="7">SUM(E15:E21)</f>
        <v>7058.6394289999989</v>
      </c>
      <c r="F22" s="31">
        <f t="shared" si="7"/>
        <v>6761.2028534000001</v>
      </c>
      <c r="G22" s="31">
        <f t="shared" si="7"/>
        <v>4146.6527700000006</v>
      </c>
      <c r="H22" s="31">
        <f t="shared" si="7"/>
        <v>15191.368295</v>
      </c>
      <c r="I22" s="31">
        <f t="shared" si="7"/>
        <v>7421.4096490000011</v>
      </c>
      <c r="J22" s="31">
        <f t="shared" si="7"/>
        <v>1881.6622145000001</v>
      </c>
      <c r="K22" s="31">
        <f t="shared" si="7"/>
        <v>10734.469057999999</v>
      </c>
      <c r="L22" s="31">
        <f t="shared" si="7"/>
        <v>3315.4514688700001</v>
      </c>
      <c r="M22" s="31">
        <f t="shared" si="7"/>
        <v>37945.6347045</v>
      </c>
      <c r="N22" s="31">
        <f t="shared" si="7"/>
        <v>206.04823999999999</v>
      </c>
      <c r="O22" s="31">
        <f t="shared" si="7"/>
        <v>16374.086125</v>
      </c>
      <c r="P22" s="31">
        <f t="shared" si="7"/>
        <v>8649.7061951000014</v>
      </c>
      <c r="Q22" s="31">
        <f t="shared" si="7"/>
        <v>1308.2561840000001</v>
      </c>
      <c r="R22" s="31">
        <f t="shared" si="7"/>
        <v>927.48670099999993</v>
      </c>
      <c r="S22" s="31">
        <f t="shared" si="7"/>
        <v>205.42725350000001</v>
      </c>
      <c r="T22" s="31">
        <f t="shared" si="7"/>
        <v>8591.7486719999997</v>
      </c>
      <c r="U22" s="31">
        <f t="shared" si="7"/>
        <v>3957.9669739999999</v>
      </c>
      <c r="V22" s="31">
        <f t="shared" si="7"/>
        <v>7113.5566560000007</v>
      </c>
      <c r="W22" s="31">
        <f t="shared" si="7"/>
        <v>162915.53769034197</v>
      </c>
      <c r="X22" s="31">
        <f>SUM(D22:F22,H22,J22:M22,O22:R22,T22:V22)</f>
        <v>150935.99977784199</v>
      </c>
      <c r="Y22" s="31">
        <f t="shared" si="2"/>
        <v>11979.537912500002</v>
      </c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>
        <f>MIN(X22:AP22)</f>
        <v>11979.537912500002</v>
      </c>
    </row>
    <row r="23" spans="2:45">
      <c r="B23" s="21"/>
      <c r="C23" s="9" t="s">
        <v>101</v>
      </c>
      <c r="D23" s="27">
        <f>'Data 1'!D22</f>
        <v>-157.493021</v>
      </c>
      <c r="E23" s="27">
        <f>'Data 1'!E22</f>
        <v>-166.33647300000001</v>
      </c>
      <c r="F23" s="27">
        <f>'Data 1'!F22</f>
        <v>-12.338201</v>
      </c>
      <c r="G23" s="27" t="str">
        <f>'Data 1'!G22</f>
        <v>-</v>
      </c>
      <c r="H23" s="27">
        <f>'Data 1'!H22</f>
        <v>-1083.1125749999999</v>
      </c>
      <c r="I23" s="27" t="str">
        <f>'Data 1'!I22</f>
        <v>-</v>
      </c>
      <c r="J23" s="27">
        <f>'Data 1'!J22</f>
        <v>-390.91580699999997</v>
      </c>
      <c r="K23" s="27">
        <f>'Data 1'!K22</f>
        <v>-61.020177245999996</v>
      </c>
      <c r="L23" s="27">
        <f>'Data 1'!L22</f>
        <v>-649.86677099999997</v>
      </c>
      <c r="M23" s="27">
        <f>'Data 1'!M22</f>
        <v>-174.85968499999998</v>
      </c>
      <c r="N23" s="27" t="str">
        <f>'Data 1'!N22</f>
        <v>-</v>
      </c>
      <c r="O23" s="27">
        <f>'Data 1'!O22</f>
        <v>-18.01878</v>
      </c>
      <c r="P23" s="27">
        <f>'Data 1'!P22</f>
        <v>-313.34913299999999</v>
      </c>
      <c r="Q23" s="27" t="str">
        <f>'Data 1'!Q22</f>
        <v>-</v>
      </c>
      <c r="R23" s="27" t="str">
        <f>'Data 1'!R22</f>
        <v>-</v>
      </c>
      <c r="S23" s="27" t="str">
        <f>'Data 1'!S22</f>
        <v>-</v>
      </c>
      <c r="T23" s="27" t="str">
        <f>'Data 1'!T22</f>
        <v>-</v>
      </c>
      <c r="U23" s="27" t="str">
        <f>'Data 1'!U22</f>
        <v>-</v>
      </c>
      <c r="V23" s="27" t="str">
        <f>'Data 1'!V22</f>
        <v>-</v>
      </c>
      <c r="W23" s="27">
        <f>SUM(D23:V23)</f>
        <v>-3027.310623246</v>
      </c>
      <c r="X23" s="27">
        <f t="shared" si="1"/>
        <v>-3027.310623246</v>
      </c>
      <c r="Y23" s="27">
        <f t="shared" si="2"/>
        <v>0</v>
      </c>
    </row>
    <row r="24" spans="2:45">
      <c r="B24" s="21"/>
      <c r="C24" s="9" t="s">
        <v>102</v>
      </c>
      <c r="D24" s="27">
        <f>'Data 1'!D23</f>
        <v>6013.4668700000002</v>
      </c>
      <c r="E24" s="27">
        <f>'Data 1'!E23</f>
        <v>-4376.6265519999997</v>
      </c>
      <c r="F24" s="27">
        <f>'Data 1'!F23</f>
        <v>-714.01270399999999</v>
      </c>
      <c r="G24" s="27">
        <f>'Data 1'!G23</f>
        <v>1694.8405220000002</v>
      </c>
      <c r="H24" s="27">
        <f>'Data 1'!H23</f>
        <v>9424.4505200000003</v>
      </c>
      <c r="I24" s="27" t="str">
        <f>'Data 1'!I23</f>
        <v>-</v>
      </c>
      <c r="J24" s="27">
        <f>'Data 1'!J23</f>
        <v>2281.8385929999999</v>
      </c>
      <c r="K24" s="27">
        <f>'Data 1'!K23</f>
        <v>-10653.17433</v>
      </c>
      <c r="L24" s="27">
        <f>'Data 1'!L23</f>
        <v>-7570.5796519999994</v>
      </c>
      <c r="M24" s="27">
        <f>'Data 1'!M23</f>
        <v>1993.3810060000001</v>
      </c>
      <c r="N24" s="27" t="str">
        <f>'Data 1'!N23</f>
        <v>-</v>
      </c>
      <c r="O24" s="27">
        <f>'Data 1'!O23</f>
        <v>-16048.017949999999</v>
      </c>
      <c r="P24" s="27">
        <f>'Data 1'!P23</f>
        <v>-6093.1612350000005</v>
      </c>
      <c r="Q24" s="27">
        <f>'Data 1'!Q23</f>
        <v>-881.39406499999996</v>
      </c>
      <c r="R24" s="27">
        <f>'Data 1'!R23</f>
        <v>27093.174369</v>
      </c>
      <c r="S24" s="27" t="str">
        <f>'Data 1'!S23</f>
        <v>-</v>
      </c>
      <c r="T24" s="27">
        <f>'Data 1'!T23</f>
        <v>-1036.0622450000001</v>
      </c>
      <c r="U24" s="27">
        <f>'Data 1'!U23</f>
        <v>-2319.7845790000001</v>
      </c>
      <c r="V24" s="27">
        <f>'Data 1'!V23</f>
        <v>8053.9864859999998</v>
      </c>
      <c r="W24" s="27">
        <f>SUM(D24:V24)</f>
        <v>6862.3250540000026</v>
      </c>
      <c r="X24" s="27">
        <f t="shared" si="1"/>
        <v>5167.4845320000004</v>
      </c>
      <c r="Y24" s="27">
        <f t="shared" si="2"/>
        <v>1694.8405220000002</v>
      </c>
    </row>
    <row r="25" spans="2:45">
      <c r="B25" s="21"/>
      <c r="C25" s="23" t="s">
        <v>40</v>
      </c>
      <c r="D25" s="34">
        <f>SUM(D14,D22:D24)</f>
        <v>39870.702168999997</v>
      </c>
      <c r="E25" s="34">
        <f t="shared" ref="E25:W25" si="8">SUM(E14,E22:E24)</f>
        <v>10808.818014999999</v>
      </c>
      <c r="F25" s="34">
        <f t="shared" si="8"/>
        <v>9393.095487999999</v>
      </c>
      <c r="G25" s="34">
        <f t="shared" si="8"/>
        <v>6115.225773000001</v>
      </c>
      <c r="H25" s="34">
        <f t="shared" si="8"/>
        <v>27210.232044000004</v>
      </c>
      <c r="I25" s="34">
        <f t="shared" si="8"/>
        <v>8874.9781340000009</v>
      </c>
      <c r="J25" s="34">
        <f t="shared" si="8"/>
        <v>4188.3008870000003</v>
      </c>
      <c r="K25" s="34">
        <f t="shared" si="8"/>
        <v>12135.216021754002</v>
      </c>
      <c r="L25" s="34">
        <f t="shared" si="8"/>
        <v>14182.223162269998</v>
      </c>
      <c r="M25" s="34">
        <f t="shared" si="8"/>
        <v>47025.484110999998</v>
      </c>
      <c r="N25" s="34">
        <f t="shared" si="8"/>
        <v>206.04823999999999</v>
      </c>
      <c r="O25" s="34">
        <f t="shared" si="8"/>
        <v>4966.3190393840032</v>
      </c>
      <c r="P25" s="34">
        <f t="shared" si="8"/>
        <v>18449.303020200005</v>
      </c>
      <c r="Q25" s="34">
        <f t="shared" si="8"/>
        <v>1701.3075229999999</v>
      </c>
      <c r="R25" s="34">
        <f t="shared" si="8"/>
        <v>28455.204225000001</v>
      </c>
      <c r="S25" s="34">
        <f t="shared" si="8"/>
        <v>210.90462500000001</v>
      </c>
      <c r="T25" s="34">
        <f t="shared" si="8"/>
        <v>9436.4221049999978</v>
      </c>
      <c r="U25" s="34">
        <f t="shared" si="8"/>
        <v>5149.6961079999992</v>
      </c>
      <c r="V25" s="34">
        <f t="shared" si="8"/>
        <v>16284.370319</v>
      </c>
      <c r="W25" s="34">
        <f t="shared" si="8"/>
        <v>264663.85100960796</v>
      </c>
      <c r="X25" s="34">
        <f t="shared" si="1"/>
        <v>249256.694237608</v>
      </c>
      <c r="Y25" s="34">
        <f t="shared" si="2"/>
        <v>15407.156772000002</v>
      </c>
    </row>
    <row r="26" spans="2:45">
      <c r="B26" s="21"/>
      <c r="C26" s="21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2:45">
      <c r="C27" s="22" t="s">
        <v>369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22"/>
      <c r="O27" s="38"/>
      <c r="P27" s="38"/>
      <c r="Q27" s="38"/>
      <c r="R27" s="38"/>
      <c r="S27" s="38"/>
      <c r="T27" s="38"/>
      <c r="U27" s="38"/>
      <c r="V27" s="38"/>
      <c r="W27" s="39">
        <f>SUM(W15:W19,W20:W21)</f>
        <v>162915.53769034197</v>
      </c>
      <c r="X27" s="28">
        <f>SUM(X15:X19,X20:X21)</f>
        <v>150935.99977784202</v>
      </c>
      <c r="Y27" s="33"/>
    </row>
    <row r="28" spans="2:45" ht="81.75">
      <c r="C28" s="23"/>
      <c r="D28" s="24" t="s">
        <v>87</v>
      </c>
      <c r="E28" s="24" t="s">
        <v>71</v>
      </c>
      <c r="F28" s="24" t="s">
        <v>74</v>
      </c>
      <c r="G28" s="24" t="s">
        <v>37</v>
      </c>
      <c r="H28" s="24" t="s">
        <v>81</v>
      </c>
      <c r="I28" s="24" t="s">
        <v>38</v>
      </c>
      <c r="J28" s="24" t="s">
        <v>88</v>
      </c>
      <c r="K28" s="24" t="s">
        <v>83</v>
      </c>
      <c r="L28" s="24" t="s">
        <v>80</v>
      </c>
      <c r="M28" s="24" t="s">
        <v>65</v>
      </c>
      <c r="N28" s="24" t="s">
        <v>42</v>
      </c>
      <c r="O28" s="24" t="s">
        <v>92</v>
      </c>
      <c r="P28" s="24" t="s">
        <v>93</v>
      </c>
      <c r="Q28" s="24" t="s">
        <v>94</v>
      </c>
      <c r="R28" s="24" t="s">
        <v>82</v>
      </c>
      <c r="S28" s="24" t="s">
        <v>39</v>
      </c>
      <c r="T28" s="24" t="s">
        <v>95</v>
      </c>
      <c r="U28" s="24" t="s">
        <v>96</v>
      </c>
      <c r="V28" s="24" t="s">
        <v>70</v>
      </c>
      <c r="W28" s="25" t="s">
        <v>41</v>
      </c>
      <c r="X28" s="25" t="s">
        <v>99</v>
      </c>
      <c r="Y28" s="25" t="s">
        <v>100</v>
      </c>
      <c r="Z28" s="26"/>
      <c r="AA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</row>
    <row r="29" spans="2:45">
      <c r="C29" s="9" t="s">
        <v>26</v>
      </c>
      <c r="D29" s="27">
        <f>'Data 1'!D28</f>
        <v>544.20019095199996</v>
      </c>
      <c r="E29" s="27">
        <f>'Data 1'!E28</f>
        <v>3465.6555400000002</v>
      </c>
      <c r="F29" s="27">
        <f>'Data 1'!F28</f>
        <v>1489.9929920000002</v>
      </c>
      <c r="G29" s="27" t="str">
        <f>'Data 1'!G28</f>
        <v>-</v>
      </c>
      <c r="H29" s="27">
        <f>'Data 1'!H28</f>
        <v>429.74229099999997</v>
      </c>
      <c r="I29" s="27">
        <f>'Data 1'!I28</f>
        <v>3.4808159999999999</v>
      </c>
      <c r="J29" s="27">
        <f>'Data 1'!J28</f>
        <v>190.43102899999997</v>
      </c>
      <c r="K29" s="27">
        <f>'Data 1'!K28</f>
        <v>688.96324600000003</v>
      </c>
      <c r="L29" s="27">
        <f>'Data 1'!L28</f>
        <v>8025.6253167200002</v>
      </c>
      <c r="M29" s="27">
        <f>'Data 1'!M28</f>
        <v>5133.3696879999998</v>
      </c>
      <c r="N29" s="27" t="str">
        <f>'Data 1'!N28</f>
        <v>-</v>
      </c>
      <c r="O29" s="27">
        <f>'Data 1'!O28</f>
        <v>1421.6456993740001</v>
      </c>
      <c r="P29" s="27">
        <f>'Data 1'!P28</f>
        <v>7916.6319083999988</v>
      </c>
      <c r="Q29" s="27">
        <f>'Data 1'!Q28</f>
        <v>139.037465</v>
      </c>
      <c r="R29" s="27">
        <f>'Data 1'!R28</f>
        <v>118.03509299999999</v>
      </c>
      <c r="S29" s="27" t="str">
        <f>'Data 1'!S28</f>
        <v>-</v>
      </c>
      <c r="T29" s="27">
        <f>'Data 1'!T28</f>
        <v>93.143084000000002</v>
      </c>
      <c r="U29" s="27">
        <f>'Data 1'!U28</f>
        <v>537.65373599999998</v>
      </c>
      <c r="V29" s="27">
        <f>'Data 1'!V28</f>
        <v>351.05447299999997</v>
      </c>
      <c r="W29" s="27">
        <f t="shared" ref="W29:W43" si="9">SUM(D29:V29)</f>
        <v>30548.662568445998</v>
      </c>
      <c r="X29" s="27">
        <f t="shared" ref="X29:X47" si="10">SUM(D29:F29,H29,J29:M29,O29:R29,T29:V29)</f>
        <v>30545.181752445998</v>
      </c>
      <c r="Y29" s="27">
        <f t="shared" ref="Y29:Y47" si="11">SUM(G29,I29,N29,S29)</f>
        <v>3.4808159999999999</v>
      </c>
      <c r="Z29" s="19"/>
      <c r="AA29" s="19"/>
      <c r="AB29" s="19"/>
      <c r="AC29" s="19"/>
      <c r="AD29" s="40"/>
      <c r="AE29" s="40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20"/>
    </row>
    <row r="30" spans="2:45">
      <c r="C30" s="9" t="s">
        <v>68</v>
      </c>
      <c r="D30" s="27" t="str">
        <f>'Data 1'!D34</f>
        <v>-</v>
      </c>
      <c r="E30" s="27" t="str">
        <f>'Data 1'!E34</f>
        <v>-</v>
      </c>
      <c r="F30" s="27" t="str">
        <f>'Data 1'!F34</f>
        <v>-</v>
      </c>
      <c r="G30" s="27" t="str">
        <f>'Data 1'!G34</f>
        <v>-</v>
      </c>
      <c r="H30" s="27" t="str">
        <f>'Data 1'!H34</f>
        <v>-</v>
      </c>
      <c r="I30" s="27">
        <f>'Data 1'!I34</f>
        <v>19.540226999999998</v>
      </c>
      <c r="J30" s="27" t="str">
        <f>'Data 1'!J34</f>
        <v>-</v>
      </c>
      <c r="K30" s="27" t="str">
        <f>'Data 1'!K34</f>
        <v>-</v>
      </c>
      <c r="L30" s="27" t="str">
        <f>'Data 1'!L34</f>
        <v>-</v>
      </c>
      <c r="M30" s="27" t="str">
        <f>'Data 1'!M34</f>
        <v>-</v>
      </c>
      <c r="N30" s="27" t="str">
        <f>'Data 1'!N34</f>
        <v>-</v>
      </c>
      <c r="O30" s="27" t="str">
        <f>'Data 1'!O34</f>
        <v>-</v>
      </c>
      <c r="P30" s="27" t="str">
        <f>'Data 1'!P34</f>
        <v>-</v>
      </c>
      <c r="Q30" s="27" t="str">
        <f>'Data 1'!Q34</f>
        <v>-</v>
      </c>
      <c r="R30" s="27" t="str">
        <f>'Data 1'!R34</f>
        <v>-</v>
      </c>
      <c r="S30" s="27" t="str">
        <f>'Data 1'!S34</f>
        <v>-</v>
      </c>
      <c r="T30" s="27" t="str">
        <f>'Data 1'!T34</f>
        <v>-</v>
      </c>
      <c r="U30" s="27" t="str">
        <f>'Data 1'!U34</f>
        <v>-</v>
      </c>
      <c r="V30" s="27" t="str">
        <f>'Data 1'!V34</f>
        <v>-</v>
      </c>
      <c r="W30" s="27">
        <f t="shared" ref="W30:W35" si="12">SUM(D30:V30)</f>
        <v>19.540226999999998</v>
      </c>
      <c r="X30" s="27">
        <f t="shared" ref="X30:X36" si="13">SUM(D30:F30,H30,J30:M30,O30:R30,T30:V30)</f>
        <v>0</v>
      </c>
      <c r="Y30" s="27">
        <f t="shared" ref="Y30:Y36" si="14">SUM(G30,I30,N30,S30)</f>
        <v>19.540226999999998</v>
      </c>
      <c r="Z30" s="19"/>
      <c r="AA30" s="19"/>
      <c r="AB30" s="19"/>
      <c r="AC30" s="19"/>
      <c r="AD30" s="40"/>
      <c r="AE30" s="40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20"/>
    </row>
    <row r="31" spans="2:45">
      <c r="C31" s="9" t="s">
        <v>50</v>
      </c>
      <c r="D31" s="27">
        <f>'Data 1'!D35</f>
        <v>6723.3734599999998</v>
      </c>
      <c r="E31" s="27">
        <f>'Data 1'!E35</f>
        <v>7307.1758680000003</v>
      </c>
      <c r="F31" s="27">
        <f>'Data 1'!F35</f>
        <v>1153.037926</v>
      </c>
      <c r="G31" s="27">
        <f>'Data 1'!G35</f>
        <v>3.6404489999999998</v>
      </c>
      <c r="H31" s="27">
        <f>'Data 1'!H35</f>
        <v>2197.8215540000001</v>
      </c>
      <c r="I31" s="27">
        <f>'Data 1'!I35</f>
        <v>1100.2950619999999</v>
      </c>
      <c r="J31" s="27">
        <f>'Data 1'!J35</f>
        <v>74.181139999999999</v>
      </c>
      <c r="K31" s="27">
        <f>'Data 1'!K35</f>
        <v>7159.5552239999997</v>
      </c>
      <c r="L31" s="27">
        <f>'Data 1'!L35</f>
        <v>12572.567245</v>
      </c>
      <c r="M31" s="27">
        <f>'Data 1'!M35</f>
        <v>2555.6992760000003</v>
      </c>
      <c r="N31" s="27" t="str">
        <f>'Data 1'!N35</f>
        <v>-</v>
      </c>
      <c r="O31" s="27">
        <f>'Data 1'!O35</f>
        <v>116.65244699999998</v>
      </c>
      <c r="P31" s="27">
        <f>'Data 1'!P35</f>
        <v>9992.3113269999994</v>
      </c>
      <c r="Q31" s="27">
        <f>'Data 1'!Q35</f>
        <v>790.32388800000001</v>
      </c>
      <c r="R31" s="27" t="str">
        <f>'Data 1'!R35</f>
        <v>-</v>
      </c>
      <c r="S31" s="27" t="str">
        <f>'Data 1'!S35</f>
        <v>-</v>
      </c>
      <c r="T31" s="27">
        <f>'Data 1'!T35</f>
        <v>428.03059100000002</v>
      </c>
      <c r="U31" s="27">
        <f>'Data 1'!U35</f>
        <v>2377.9041809999999</v>
      </c>
      <c r="V31" s="27">
        <f>'Data 1'!V35</f>
        <v>326.15065899999996</v>
      </c>
      <c r="W31" s="27">
        <f t="shared" si="12"/>
        <v>54878.720297000007</v>
      </c>
      <c r="X31" s="27">
        <f t="shared" si="13"/>
        <v>53774.784786000004</v>
      </c>
      <c r="Y31" s="27">
        <f t="shared" si="14"/>
        <v>1103.9355109999999</v>
      </c>
      <c r="Z31" s="19"/>
      <c r="AA31" s="19"/>
      <c r="AB31" s="19"/>
      <c r="AC31" s="19"/>
      <c r="AD31" s="40"/>
      <c r="AE31" s="40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20"/>
    </row>
    <row r="32" spans="2:45">
      <c r="C32" s="9" t="s">
        <v>51</v>
      </c>
      <c r="D32" s="27">
        <f>'Data 1'!D36</f>
        <v>3471.5170930000004</v>
      </c>
      <c r="E32" s="27">
        <f>'Data 1'!E36</f>
        <v>1505.6942789999998</v>
      </c>
      <c r="F32" s="27">
        <f>'Data 1'!F36</f>
        <v>0.499556</v>
      </c>
      <c r="G32" s="27">
        <f>'Data 1'!G36</f>
        <v>118.258939</v>
      </c>
      <c r="H32" s="27">
        <f>'Data 1'!H36</f>
        <v>523.40373299999999</v>
      </c>
      <c r="I32" s="27">
        <f>'Data 1'!I36</f>
        <v>257.85846700000002</v>
      </c>
      <c r="J32" s="27">
        <f>'Data 1'!J36</f>
        <v>2.1858049999999998</v>
      </c>
      <c r="K32" s="27">
        <f>'Data 1'!K36</f>
        <v>3077.9460579999995</v>
      </c>
      <c r="L32" s="27">
        <f>'Data 1'!L36</f>
        <v>1113.163957</v>
      </c>
      <c r="M32" s="27">
        <f>'Data 1'!M36</f>
        <v>377.49318100000005</v>
      </c>
      <c r="N32" s="27" t="str">
        <f>'Data 1'!N36</f>
        <v>-</v>
      </c>
      <c r="O32" s="27">
        <f>'Data 1'!O36</f>
        <v>2378.4609780000001</v>
      </c>
      <c r="P32" s="27">
        <f>'Data 1'!P36</f>
        <v>21.471682000000001</v>
      </c>
      <c r="Q32" s="27">
        <f>'Data 1'!Q36</f>
        <v>142.76296699999997</v>
      </c>
      <c r="R32" s="27">
        <f>'Data 1'!R36</f>
        <v>81.44856200000001</v>
      </c>
      <c r="S32" s="27">
        <f>'Data 1'!S36</f>
        <v>7.6707000000000011E-2</v>
      </c>
      <c r="T32" s="27">
        <f>'Data 1'!T36</f>
        <v>1849.9502080000002</v>
      </c>
      <c r="U32" s="27">
        <f>'Data 1'!U36</f>
        <v>277.90386599999999</v>
      </c>
      <c r="V32" s="27">
        <f>'Data 1'!V36</f>
        <v>61.358144000000003</v>
      </c>
      <c r="W32" s="27">
        <f t="shared" si="12"/>
        <v>15261.454182000001</v>
      </c>
      <c r="X32" s="27">
        <f t="shared" si="13"/>
        <v>14885.260069</v>
      </c>
      <c r="Y32" s="27">
        <f t="shared" si="14"/>
        <v>376.19411300000002</v>
      </c>
      <c r="Z32" s="19"/>
      <c r="AA32" s="19"/>
      <c r="AB32" s="19"/>
      <c r="AC32" s="19"/>
      <c r="AD32" s="40"/>
      <c r="AE32" s="40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20"/>
    </row>
    <row r="33" spans="1:45">
      <c r="C33" s="9" t="s">
        <v>66</v>
      </c>
      <c r="D33" s="27">
        <f>'Data 1'!D37</f>
        <v>1978.46597</v>
      </c>
      <c r="E33" s="27" t="str">
        <f>'Data 1'!E37</f>
        <v>-</v>
      </c>
      <c r="F33" s="27" t="str">
        <f>'Data 1'!F37</f>
        <v>-</v>
      </c>
      <c r="G33" s="27" t="str">
        <f>'Data 1'!G37</f>
        <v>-</v>
      </c>
      <c r="H33" s="27">
        <f>'Data 1'!H37</f>
        <v>86.550899000000001</v>
      </c>
      <c r="I33" s="27" t="str">
        <f>'Data 1'!I37</f>
        <v>-</v>
      </c>
      <c r="J33" s="27" t="str">
        <f>'Data 1'!J37</f>
        <v>-</v>
      </c>
      <c r="K33" s="27">
        <f>'Data 1'!K37</f>
        <v>597.41286300000002</v>
      </c>
      <c r="L33" s="27" t="str">
        <f>'Data 1'!L37</f>
        <v>-</v>
      </c>
      <c r="M33" s="27">
        <f>'Data 1'!M37</f>
        <v>59.896735</v>
      </c>
      <c r="N33" s="27" t="str">
        <f>'Data 1'!N37</f>
        <v>-</v>
      </c>
      <c r="O33" s="27">
        <f>'Data 1'!O37</f>
        <v>1776.4687749999998</v>
      </c>
      <c r="P33" s="27" t="str">
        <f>'Data 1'!P37</f>
        <v>-</v>
      </c>
      <c r="Q33" s="27" t="str">
        <f>'Data 1'!Q37</f>
        <v>-</v>
      </c>
      <c r="R33" s="27" t="str">
        <f>'Data 1'!R37</f>
        <v>-</v>
      </c>
      <c r="S33" s="27" t="str">
        <f>'Data 1'!S37</f>
        <v>-</v>
      </c>
      <c r="T33" s="27">
        <f>'Data 1'!T37</f>
        <v>39.506</v>
      </c>
      <c r="U33" s="27" t="str">
        <f>'Data 1'!U37</f>
        <v>-</v>
      </c>
      <c r="V33" s="27" t="str">
        <f>'Data 1'!V37</f>
        <v>-</v>
      </c>
      <c r="W33" s="27">
        <f t="shared" si="12"/>
        <v>4538.3012420000005</v>
      </c>
      <c r="X33" s="27">
        <f t="shared" si="13"/>
        <v>4538.3012420000005</v>
      </c>
      <c r="Y33" s="27">
        <f t="shared" si="14"/>
        <v>0</v>
      </c>
      <c r="Z33" s="19"/>
      <c r="AA33" s="19"/>
      <c r="AB33" s="19"/>
      <c r="AC33" s="19"/>
      <c r="AD33" s="40"/>
      <c r="AE33" s="40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20"/>
    </row>
    <row r="34" spans="1:45">
      <c r="C34" s="9" t="s">
        <v>75</v>
      </c>
      <c r="D34" s="27">
        <f>'Data 1'!D38</f>
        <v>1676.5019890000001</v>
      </c>
      <c r="E34" s="27">
        <f>'Data 1'!E38</f>
        <v>43.439266000000003</v>
      </c>
      <c r="F34" s="27">
        <f>'Data 1'!F38</f>
        <v>264.33009199999998</v>
      </c>
      <c r="G34" s="27">
        <f>'Data 1'!G38</f>
        <v>0.62939999999999996</v>
      </c>
      <c r="H34" s="27">
        <f>'Data 1'!H38</f>
        <v>36.186279999999996</v>
      </c>
      <c r="I34" s="27">
        <f>'Data 1'!I38</f>
        <v>9.1839200000000005</v>
      </c>
      <c r="J34" s="27">
        <f>'Data 1'!J38</f>
        <v>79.167837000000006</v>
      </c>
      <c r="K34" s="27">
        <f>'Data 1'!K38</f>
        <v>488.81467200000003</v>
      </c>
      <c r="L34" s="27">
        <f>'Data 1'!L38</f>
        <v>417.23659700000002</v>
      </c>
      <c r="M34" s="27">
        <f>'Data 1'!M38</f>
        <v>149.65908199999998</v>
      </c>
      <c r="N34" s="27" t="str">
        <f>'Data 1'!N38</f>
        <v>-</v>
      </c>
      <c r="O34" s="27">
        <f>'Data 1'!O38</f>
        <v>261.34132399999999</v>
      </c>
      <c r="P34" s="27">
        <f>'Data 1'!P38</f>
        <v>460.64787800000005</v>
      </c>
      <c r="Q34" s="27">
        <f>'Data 1'!Q38</f>
        <v>7.4396610000000001</v>
      </c>
      <c r="R34" s="27">
        <f>'Data 1'!R38</f>
        <v>177.32846800000002</v>
      </c>
      <c r="S34" s="27" t="str">
        <f>'Data 1'!S38</f>
        <v>-</v>
      </c>
      <c r="T34" s="27">
        <f>'Data 1'!T38</f>
        <v>45.491807000000001</v>
      </c>
      <c r="U34" s="27">
        <f>'Data 1'!U38</f>
        <v>304.64960300000001</v>
      </c>
      <c r="V34" s="27">
        <f>'Data 1'!V38</f>
        <v>55.701898999999997</v>
      </c>
      <c r="W34" s="27">
        <f t="shared" si="12"/>
        <v>4477.7497750000002</v>
      </c>
      <c r="X34" s="27">
        <f t="shared" si="13"/>
        <v>4467.936455</v>
      </c>
      <c r="Y34" s="27">
        <f t="shared" si="14"/>
        <v>9.8133200000000009</v>
      </c>
      <c r="Z34" s="19"/>
      <c r="AA34" s="19"/>
      <c r="AB34" s="19"/>
      <c r="AC34" s="19"/>
      <c r="AD34" s="40"/>
      <c r="AE34" s="40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</row>
    <row r="35" spans="1:45">
      <c r="C35" s="9" t="s">
        <v>91</v>
      </c>
      <c r="D35" s="27" t="str">
        <f>'Data 1'!D41</f>
        <v>-</v>
      </c>
      <c r="E35" s="27" t="str">
        <f>'Data 1'!E41</f>
        <v>-</v>
      </c>
      <c r="F35" s="27" t="str">
        <f>'Data 1'!F41</f>
        <v>-</v>
      </c>
      <c r="G35" s="27">
        <f>'Data 1'!G41</f>
        <v>114.0013445</v>
      </c>
      <c r="H35" s="27" t="str">
        <f>'Data 1'!H41</f>
        <v>-</v>
      </c>
      <c r="I35" s="27" t="str">
        <f>'Data 1'!I41</f>
        <v>-</v>
      </c>
      <c r="J35" s="27">
        <f>'Data 1'!J41</f>
        <v>40.703454499999999</v>
      </c>
      <c r="K35" s="27" t="str">
        <f>'Data 1'!K41</f>
        <v>-</v>
      </c>
      <c r="L35" s="27" t="str">
        <f>'Data 1'!L41</f>
        <v>-</v>
      </c>
      <c r="M35" s="27">
        <f>'Data 1'!M41</f>
        <v>114.893747</v>
      </c>
      <c r="N35" s="27" t="str">
        <f>'Data 1'!N41</f>
        <v>-</v>
      </c>
      <c r="O35" s="27" t="str">
        <f>'Data 1'!O41</f>
        <v>-</v>
      </c>
      <c r="P35" s="27">
        <f>'Data 1'!P41</f>
        <v>163.25247700000003</v>
      </c>
      <c r="Q35" s="27" t="str">
        <f>'Data 1'!Q41</f>
        <v>-</v>
      </c>
      <c r="R35" s="27">
        <f>'Data 1'!R41</f>
        <v>82.589032500000002</v>
      </c>
      <c r="S35" s="27">
        <f>'Data 1'!S41</f>
        <v>5.5255555000000003</v>
      </c>
      <c r="T35" s="27" t="str">
        <f>'Data 1'!T41</f>
        <v>-</v>
      </c>
      <c r="U35" s="27" t="str">
        <f>'Data 1'!U41</f>
        <v>-</v>
      </c>
      <c r="V35" s="27">
        <f>'Data 1'!V41</f>
        <v>204.4398305</v>
      </c>
      <c r="W35" s="27">
        <f t="shared" si="12"/>
        <v>725.40544150000005</v>
      </c>
      <c r="X35" s="27">
        <f t="shared" si="13"/>
        <v>605.87854149999998</v>
      </c>
      <c r="Y35" s="27">
        <f t="shared" si="14"/>
        <v>119.5269</v>
      </c>
      <c r="Z35" s="19"/>
      <c r="AA35" s="19"/>
      <c r="AB35" s="19"/>
      <c r="AC35" s="19"/>
      <c r="AD35" s="40"/>
      <c r="AE35" s="40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20"/>
    </row>
    <row r="36" spans="1:45">
      <c r="C36" s="30" t="s">
        <v>149</v>
      </c>
      <c r="D36" s="31">
        <f>SUM(D29:D35)</f>
        <v>14394.058702951999</v>
      </c>
      <c r="E36" s="31">
        <f t="shared" ref="E36:W36" si="15">SUM(E29:E35)</f>
        <v>12321.964952999999</v>
      </c>
      <c r="F36" s="31">
        <f t="shared" si="15"/>
        <v>2907.8605660000007</v>
      </c>
      <c r="G36" s="31">
        <f t="shared" si="15"/>
        <v>236.53013250000001</v>
      </c>
      <c r="H36" s="31">
        <f t="shared" si="15"/>
        <v>3273.704757</v>
      </c>
      <c r="I36" s="31">
        <f t="shared" si="15"/>
        <v>1390.3584919999998</v>
      </c>
      <c r="J36" s="31">
        <f t="shared" si="15"/>
        <v>386.66926550000005</v>
      </c>
      <c r="K36" s="31">
        <f t="shared" si="15"/>
        <v>12012.692063</v>
      </c>
      <c r="L36" s="31">
        <f t="shared" si="15"/>
        <v>22128.593115719999</v>
      </c>
      <c r="M36" s="31">
        <f t="shared" si="15"/>
        <v>8391.0117090000003</v>
      </c>
      <c r="N36" s="31">
        <f t="shared" si="15"/>
        <v>0</v>
      </c>
      <c r="O36" s="31">
        <f t="shared" si="15"/>
        <v>5954.5692233740001</v>
      </c>
      <c r="P36" s="31">
        <f t="shared" si="15"/>
        <v>18554.315272399999</v>
      </c>
      <c r="Q36" s="31">
        <f t="shared" si="15"/>
        <v>1079.5639809999998</v>
      </c>
      <c r="R36" s="31">
        <f t="shared" si="15"/>
        <v>459.40115550000007</v>
      </c>
      <c r="S36" s="31">
        <f t="shared" si="15"/>
        <v>5.6022625000000001</v>
      </c>
      <c r="T36" s="31">
        <f t="shared" si="15"/>
        <v>2456.1216899999999</v>
      </c>
      <c r="U36" s="31">
        <f t="shared" si="15"/>
        <v>3498.111386</v>
      </c>
      <c r="V36" s="31">
        <f t="shared" si="15"/>
        <v>998.70500549999997</v>
      </c>
      <c r="W36" s="31">
        <f t="shared" si="15"/>
        <v>110449.833732946</v>
      </c>
      <c r="X36" s="31">
        <f t="shared" si="13"/>
        <v>108817.342845946</v>
      </c>
      <c r="Y36" s="31">
        <f t="shared" si="14"/>
        <v>1632.4908869999999</v>
      </c>
      <c r="Z36" s="19"/>
      <c r="AA36" s="19"/>
      <c r="AB36" s="19"/>
      <c r="AC36" s="19"/>
      <c r="AD36" s="40"/>
      <c r="AE36" s="40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0"/>
    </row>
    <row r="37" spans="1:45">
      <c r="C37" s="9" t="s">
        <v>67</v>
      </c>
      <c r="D37" s="27">
        <f>'Data 1'!D29</f>
        <v>224.24611004799999</v>
      </c>
      <c r="E37" s="27">
        <f>'Data 1'!E29</f>
        <v>231.13484199999999</v>
      </c>
      <c r="F37" s="27">
        <f>'Data 1'!F29</f>
        <v>10.652131000000001</v>
      </c>
      <c r="G37" s="27" t="str">
        <f>'Data 1'!G29</f>
        <v>-</v>
      </c>
      <c r="H37" s="27">
        <f>'Data 1'!H29</f>
        <v>1331.7219359999999</v>
      </c>
      <c r="I37" s="27" t="str">
        <f>'Data 1'!I29</f>
        <v>-</v>
      </c>
      <c r="J37" s="27">
        <f>'Data 1'!J29</f>
        <v>372.53057000000001</v>
      </c>
      <c r="K37" s="27">
        <f>'Data 1'!K29</f>
        <v>26.533919000000001</v>
      </c>
      <c r="L37" s="27">
        <f>'Data 1'!L29</f>
        <v>330.77202620999998</v>
      </c>
      <c r="M37" s="27">
        <f>'Data 1'!M29</f>
        <v>174.98311699999996</v>
      </c>
      <c r="N37" s="27" t="str">
        <f>'Data 1'!N29</f>
        <v>-</v>
      </c>
      <c r="O37" s="27">
        <f>'Data 1'!O29</f>
        <v>22.136226600000001</v>
      </c>
      <c r="P37" s="27">
        <f>'Data 1'!P29</f>
        <v>21.209515600000003</v>
      </c>
      <c r="Q37" s="27" t="str">
        <f>'Data 1'!Q29</f>
        <v>-</v>
      </c>
      <c r="R37" s="27" t="str">
        <f>'Data 1'!R29</f>
        <v>-</v>
      </c>
      <c r="S37" s="27" t="str">
        <f>'Data 1'!S29</f>
        <v>-</v>
      </c>
      <c r="T37" s="27" t="str">
        <f>'Data 1'!T29</f>
        <v>-</v>
      </c>
      <c r="U37" s="27" t="str">
        <f>'Data 1'!U29</f>
        <v>-</v>
      </c>
      <c r="V37" s="27" t="str">
        <f>'Data 1'!V29</f>
        <v>-</v>
      </c>
      <c r="W37" s="27">
        <f t="shared" si="9"/>
        <v>2745.920393458</v>
      </c>
      <c r="X37" s="27">
        <f t="shared" si="10"/>
        <v>2745.920393458</v>
      </c>
      <c r="Y37" s="27">
        <f t="shared" si="11"/>
        <v>0</v>
      </c>
      <c r="Z37" s="19"/>
      <c r="AA37" s="19"/>
      <c r="AB37" s="19"/>
      <c r="AC37" s="19"/>
      <c r="AD37" s="40"/>
      <c r="AE37" s="40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</row>
    <row r="38" spans="1:45">
      <c r="C38" s="9" t="s">
        <v>27</v>
      </c>
      <c r="D38" s="27" t="str">
        <f>'Data 1'!D30</f>
        <v>-</v>
      </c>
      <c r="E38" s="27" t="str">
        <f>'Data 1'!E30</f>
        <v>-</v>
      </c>
      <c r="F38" s="27" t="str">
        <f>'Data 1'!F30</f>
        <v>-</v>
      </c>
      <c r="G38" s="27" t="str">
        <f>'Data 1'!G30</f>
        <v>-</v>
      </c>
      <c r="H38" s="27">
        <f>'Data 1'!H30</f>
        <v>8892.1178049999999</v>
      </c>
      <c r="I38" s="27" t="str">
        <f>'Data 1'!I30</f>
        <v>-</v>
      </c>
      <c r="J38" s="27" t="str">
        <f>'Data 1'!J30</f>
        <v>-</v>
      </c>
      <c r="K38" s="27">
        <f>'Data 1'!K30</f>
        <v>7715.0490689999997</v>
      </c>
      <c r="L38" s="27" t="str">
        <f>'Data 1'!L30</f>
        <v>-</v>
      </c>
      <c r="M38" s="27">
        <f>'Data 1'!M30</f>
        <v>23886.899638999999</v>
      </c>
      <c r="N38" s="27" t="str">
        <f>'Data 1'!N30</f>
        <v>-</v>
      </c>
      <c r="O38" s="27">
        <f>'Data 1'!O30</f>
        <v>15262.729104</v>
      </c>
      <c r="P38" s="27" t="str">
        <f>'Data 1'!P30</f>
        <v>-</v>
      </c>
      <c r="Q38" s="27" t="str">
        <f>'Data 1'!Q30</f>
        <v>-</v>
      </c>
      <c r="R38" s="27" t="str">
        <f>'Data 1'!R30</f>
        <v>-</v>
      </c>
      <c r="S38" s="27" t="str">
        <f>'Data 1'!S30</f>
        <v>-</v>
      </c>
      <c r="T38" s="27" t="str">
        <f>'Data 1'!T30</f>
        <v>-</v>
      </c>
      <c r="U38" s="27" t="str">
        <f>'Data 1'!U30</f>
        <v>-</v>
      </c>
      <c r="V38" s="27" t="str">
        <f>'Data 1'!V30</f>
        <v>-</v>
      </c>
      <c r="W38" s="27">
        <f t="shared" si="9"/>
        <v>55756.795616999996</v>
      </c>
      <c r="X38" s="27">
        <f t="shared" si="10"/>
        <v>55756.795616999996</v>
      </c>
      <c r="Y38" s="27">
        <f t="shared" si="11"/>
        <v>0</v>
      </c>
      <c r="Z38" s="19"/>
      <c r="AA38" s="19"/>
      <c r="AB38" s="19"/>
      <c r="AD38" s="40"/>
      <c r="AE38" s="40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20"/>
      <c r="AS38" s="19"/>
    </row>
    <row r="39" spans="1:45">
      <c r="C39" s="9" t="s">
        <v>28</v>
      </c>
      <c r="D39" s="27">
        <f>'Data 1'!D31</f>
        <v>179.12049500000001</v>
      </c>
      <c r="E39" s="27">
        <f>'Data 1'!E31</f>
        <v>151.06663800000001</v>
      </c>
      <c r="F39" s="27">
        <f>'Data 1'!F31</f>
        <v>2827.4526569999998</v>
      </c>
      <c r="G39" s="27">
        <f>'Data 1'!G31</f>
        <v>221.661767</v>
      </c>
      <c r="H39" s="27" t="str">
        <f>'Data 1'!H31</f>
        <v>-</v>
      </c>
      <c r="I39" s="27" t="str">
        <f>'Data 1'!I31</f>
        <v>-</v>
      </c>
      <c r="J39" s="27" t="str">
        <f>'Data 1'!J31</f>
        <v>-</v>
      </c>
      <c r="K39" s="27" t="str">
        <f>'Data 1'!K31</f>
        <v>-</v>
      </c>
      <c r="L39" s="27">
        <f>'Data 1'!L31</f>
        <v>298.61264899999998</v>
      </c>
      <c r="M39" s="27" t="str">
        <f>'Data 1'!M31</f>
        <v>-</v>
      </c>
      <c r="N39" s="27" t="str">
        <f>'Data 1'!N31</f>
        <v>-</v>
      </c>
      <c r="O39" s="27" t="str">
        <f>'Data 1'!O31</f>
        <v>-</v>
      </c>
      <c r="P39" s="27">
        <f>'Data 1'!P31</f>
        <v>1344.0802240000003</v>
      </c>
      <c r="Q39" s="27" t="str">
        <f>'Data 1'!Q31</f>
        <v>-</v>
      </c>
      <c r="R39" s="27" t="str">
        <f>'Data 1'!R31</f>
        <v>-</v>
      </c>
      <c r="S39" s="27" t="str">
        <f>'Data 1'!S31</f>
        <v>-</v>
      </c>
      <c r="T39" s="27" t="str">
        <f>'Data 1'!T31</f>
        <v>-</v>
      </c>
      <c r="U39" s="27" t="str">
        <f>'Data 1'!U31</f>
        <v>-</v>
      </c>
      <c r="V39" s="27" t="str">
        <f>'Data 1'!V31</f>
        <v>-</v>
      </c>
      <c r="W39" s="27">
        <f t="shared" si="9"/>
        <v>5021.9944300000006</v>
      </c>
      <c r="X39" s="27">
        <f t="shared" si="10"/>
        <v>4800.3326630000001</v>
      </c>
      <c r="Y39" s="27">
        <f t="shared" si="11"/>
        <v>221.661767</v>
      </c>
      <c r="Z39" s="19"/>
      <c r="AA39" s="19"/>
      <c r="AB39" s="19"/>
      <c r="AC39" s="19"/>
      <c r="AD39" s="40"/>
      <c r="AE39" s="40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20"/>
    </row>
    <row r="40" spans="1:45">
      <c r="C40" s="9" t="s">
        <v>98</v>
      </c>
      <c r="D40" s="27" t="str">
        <f>'Data 1'!D32</f>
        <v>-</v>
      </c>
      <c r="E40" s="27" t="str">
        <f>'Data 1'!E32</f>
        <v>-</v>
      </c>
      <c r="F40" s="27" t="str">
        <f>'Data 1'!F32</f>
        <v>-</v>
      </c>
      <c r="G40" s="27">
        <f>'Data 1'!G32</f>
        <v>496.76100700000001</v>
      </c>
      <c r="H40" s="27">
        <f>'Data 1'!H32</f>
        <v>0</v>
      </c>
      <c r="I40" s="27">
        <f>'Data 1'!I32</f>
        <v>3300.7750339999998</v>
      </c>
      <c r="J40" s="27" t="str">
        <f>'Data 1'!J32</f>
        <v>-</v>
      </c>
      <c r="K40" s="27" t="str">
        <f>'Data 1'!K32</f>
        <v>-</v>
      </c>
      <c r="L40" s="27" t="str">
        <f>'Data 1'!L32</f>
        <v>-</v>
      </c>
      <c r="M40" s="27" t="str">
        <f>'Data 1'!M32</f>
        <v>-</v>
      </c>
      <c r="N40" s="27">
        <f>'Data 1'!N32</f>
        <v>199.19810200000001</v>
      </c>
      <c r="O40" s="27" t="str">
        <f>'Data 1'!O32</f>
        <v>-</v>
      </c>
      <c r="P40" s="27" t="str">
        <f>'Data 1'!P32</f>
        <v>-</v>
      </c>
      <c r="Q40" s="27" t="str">
        <f>'Data 1'!Q32</f>
        <v>-</v>
      </c>
      <c r="R40" s="27" t="str">
        <f>'Data 1'!R32</f>
        <v>-</v>
      </c>
      <c r="S40" s="27">
        <f>'Data 1'!S32</f>
        <v>196.882395</v>
      </c>
      <c r="T40" s="27" t="str">
        <f>'Data 1'!T32</f>
        <v>-</v>
      </c>
      <c r="U40" s="27" t="str">
        <f>'Data 1'!U32</f>
        <v>-</v>
      </c>
      <c r="V40" s="27" t="str">
        <f>'Data 1'!V32</f>
        <v>-</v>
      </c>
      <c r="W40" s="27">
        <f t="shared" si="9"/>
        <v>4193.6165379999993</v>
      </c>
      <c r="X40" s="27">
        <f t="shared" si="10"/>
        <v>0</v>
      </c>
      <c r="Y40" s="27">
        <f t="shared" si="11"/>
        <v>4193.6165379999993</v>
      </c>
      <c r="Z40" s="19"/>
      <c r="AA40" s="19"/>
      <c r="AB40" s="19"/>
      <c r="AC40" s="19"/>
      <c r="AD40" s="40"/>
      <c r="AE40" s="40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20"/>
    </row>
    <row r="41" spans="1:45">
      <c r="C41" s="9" t="s">
        <v>44</v>
      </c>
      <c r="D41" s="27">
        <f>'Data 1'!D33</f>
        <v>8152.1105889999999</v>
      </c>
      <c r="E41" s="27">
        <f>'Data 1'!E33</f>
        <v>2226.4868810000003</v>
      </c>
      <c r="F41" s="27">
        <f>'Data 1'!F33</f>
        <v>2513.1851849999994</v>
      </c>
      <c r="G41" s="27">
        <f>'Data 1'!G33</f>
        <v>2412.1366459999999</v>
      </c>
      <c r="H41" s="27">
        <f>'Data 1'!H33</f>
        <v>4080.5276409999997</v>
      </c>
      <c r="I41" s="27">
        <f>'Data 1'!I33</f>
        <v>3254.2698949999999</v>
      </c>
      <c r="J41" s="27" t="str">
        <f>'Data 1'!J33</f>
        <v>-</v>
      </c>
      <c r="K41" s="27">
        <f>'Data 1'!K33</f>
        <v>2050.078919</v>
      </c>
      <c r="L41" s="27" t="str">
        <f>'Data 1'!L33</f>
        <v>-</v>
      </c>
      <c r="M41" s="27">
        <f>'Data 1'!M33</f>
        <v>5264.2652199999993</v>
      </c>
      <c r="N41" s="27" t="str">
        <f>'Data 1'!N33</f>
        <v>-</v>
      </c>
      <c r="O41" s="27" t="str">
        <f>'Data 1'!O33</f>
        <v>-</v>
      </c>
      <c r="P41" s="27">
        <f>'Data 1'!P33</f>
        <v>2212.326262</v>
      </c>
      <c r="Q41" s="27">
        <f>'Data 1'!Q33</f>
        <v>635.11292900000001</v>
      </c>
      <c r="R41" s="27" t="str">
        <f>'Data 1'!R33</f>
        <v>-</v>
      </c>
      <c r="S41" s="27" t="str">
        <f>'Data 1'!S33</f>
        <v>-</v>
      </c>
      <c r="T41" s="27">
        <f>'Data 1'!T33</f>
        <v>6129.6527040000001</v>
      </c>
      <c r="U41" s="27">
        <f>'Data 1'!U33</f>
        <v>2265.9167929999999</v>
      </c>
      <c r="V41" s="27">
        <f>'Data 1'!V33</f>
        <v>2827.7378720000002</v>
      </c>
      <c r="W41" s="27">
        <f t="shared" si="9"/>
        <v>44023.807535999993</v>
      </c>
      <c r="X41" s="27">
        <f t="shared" si="10"/>
        <v>38357.400994999989</v>
      </c>
      <c r="Y41" s="27">
        <f t="shared" si="11"/>
        <v>5666.4065410000003</v>
      </c>
      <c r="Z41" s="19"/>
      <c r="AA41" s="19"/>
      <c r="AB41" s="19"/>
      <c r="AD41" s="40"/>
      <c r="AE41" s="40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20"/>
      <c r="AS41" s="19"/>
    </row>
    <row r="42" spans="1:45">
      <c r="C42" s="9" t="s">
        <v>73</v>
      </c>
      <c r="D42" s="27">
        <f>'Data 1'!D39</f>
        <v>5023.6299760000002</v>
      </c>
      <c r="E42" s="27">
        <f>'Data 1'!E39</f>
        <v>2797.4378469999997</v>
      </c>
      <c r="F42" s="27">
        <f>'Data 1'!F39</f>
        <v>347.49268900000004</v>
      </c>
      <c r="G42" s="27">
        <f>'Data 1'!G39</f>
        <v>33.823183</v>
      </c>
      <c r="H42" s="27">
        <f>'Data 1'!H39</f>
        <v>1466.0983349999999</v>
      </c>
      <c r="I42" s="27" t="str">
        <f>'Data 1'!I39</f>
        <v>-</v>
      </c>
      <c r="J42" s="27">
        <f>'Data 1'!J39</f>
        <v>833.9123689999999</v>
      </c>
      <c r="K42" s="27">
        <f>'Data 1'!K39</f>
        <v>1117.527063</v>
      </c>
      <c r="L42" s="27">
        <f>'Data 1'!L39</f>
        <v>2666.3474109999997</v>
      </c>
      <c r="M42" s="27">
        <f>'Data 1'!M39</f>
        <v>5080.4525989999993</v>
      </c>
      <c r="N42" s="27" t="str">
        <f>'Data 1'!N39</f>
        <v>-</v>
      </c>
      <c r="O42" s="27">
        <f>'Data 1'!O39</f>
        <v>54.697241000000005</v>
      </c>
      <c r="P42" s="27">
        <f>'Data 1'!P39</f>
        <v>2257.707598</v>
      </c>
      <c r="Q42" s="27">
        <f>'Data 1'!Q39</f>
        <v>76.273712000000003</v>
      </c>
      <c r="R42" s="27">
        <f>'Data 1'!R39</f>
        <v>740.96140300000002</v>
      </c>
      <c r="S42" s="27" t="str">
        <f>'Data 1'!S39</f>
        <v>-</v>
      </c>
      <c r="T42" s="27">
        <f>'Data 1'!T39</f>
        <v>1682.6470430000002</v>
      </c>
      <c r="U42" s="27">
        <f>'Data 1'!U39</f>
        <v>843.17652899999996</v>
      </c>
      <c r="V42" s="27">
        <f>'Data 1'!V39</f>
        <v>1930.3700940000001</v>
      </c>
      <c r="W42" s="27">
        <f t="shared" si="9"/>
        <v>26952.555092000002</v>
      </c>
      <c r="X42" s="27">
        <f t="shared" si="10"/>
        <v>26918.731909000002</v>
      </c>
      <c r="Y42" s="27">
        <f t="shared" si="11"/>
        <v>33.823183</v>
      </c>
      <c r="Z42" s="19"/>
      <c r="AA42" s="19"/>
      <c r="AB42" s="19"/>
      <c r="AC42" s="19"/>
      <c r="AD42" s="40"/>
      <c r="AE42" s="4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20"/>
    </row>
    <row r="43" spans="1:45">
      <c r="C43" s="9" t="s">
        <v>90</v>
      </c>
      <c r="D43" s="27">
        <f>'Data 1'!D40</f>
        <v>3.5324000000000001E-2</v>
      </c>
      <c r="E43" s="27">
        <f>'Data 1'!E40</f>
        <v>304.81112800000005</v>
      </c>
      <c r="F43" s="27">
        <f>'Data 1'!F40</f>
        <v>726.13497600000005</v>
      </c>
      <c r="G43" s="27">
        <f>'Data 1'!G40</f>
        <v>114.0013445</v>
      </c>
      <c r="H43" s="27">
        <f>'Data 1'!H40</f>
        <v>58.893954000000001</v>
      </c>
      <c r="I43" s="27" t="str">
        <f>'Data 1'!I40</f>
        <v>-</v>
      </c>
      <c r="J43" s="27">
        <f>'Data 1'!J40</f>
        <v>40.703454499999999</v>
      </c>
      <c r="K43" s="27" t="str">
        <f>'Data 1'!K40</f>
        <v>-</v>
      </c>
      <c r="L43" s="27" t="str">
        <f>'Data 1'!L40</f>
        <v>-</v>
      </c>
      <c r="M43" s="27">
        <f>'Data 1'!M40</f>
        <v>122.269283</v>
      </c>
      <c r="N43" s="27" t="str">
        <f>'Data 1'!N40</f>
        <v>-</v>
      </c>
      <c r="O43" s="27" t="str">
        <f>'Data 1'!O40</f>
        <v>-</v>
      </c>
      <c r="P43" s="27">
        <f>'Data 1'!P40</f>
        <v>163.25247700000003</v>
      </c>
      <c r="Q43" s="27" t="str">
        <f>'Data 1'!Q40</f>
        <v>-</v>
      </c>
      <c r="R43" s="27">
        <f>'Data 1'!R40</f>
        <v>82.589032500000002</v>
      </c>
      <c r="S43" s="27">
        <f>'Data 1'!S40</f>
        <v>5.5255555000000003</v>
      </c>
      <c r="T43" s="27" t="str">
        <f>'Data 1'!T40</f>
        <v>-</v>
      </c>
      <c r="U43" s="27" t="str">
        <f>'Data 1'!U40</f>
        <v>-</v>
      </c>
      <c r="V43" s="27">
        <f>'Data 1'!V40</f>
        <v>396.54984249999995</v>
      </c>
      <c r="W43" s="27">
        <f t="shared" si="9"/>
        <v>2014.7663714999999</v>
      </c>
      <c r="X43" s="27">
        <f t="shared" si="10"/>
        <v>1895.2394715</v>
      </c>
      <c r="Y43" s="27">
        <f t="shared" si="11"/>
        <v>119.5269</v>
      </c>
      <c r="Z43" s="19"/>
      <c r="AA43" s="19"/>
      <c r="AB43" s="19"/>
      <c r="AC43" s="19"/>
      <c r="AD43" s="40"/>
      <c r="AE43" s="40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20"/>
    </row>
    <row r="44" spans="1:45">
      <c r="C44" s="30" t="s">
        <v>150</v>
      </c>
      <c r="D44" s="31">
        <f>SUM(D37:D43)</f>
        <v>13579.142494048001</v>
      </c>
      <c r="E44" s="31">
        <f t="shared" ref="E44:W44" si="16">SUM(E37:E43)</f>
        <v>5710.937336</v>
      </c>
      <c r="F44" s="31">
        <f t="shared" si="16"/>
        <v>6424.917637999999</v>
      </c>
      <c r="G44" s="31">
        <f t="shared" si="16"/>
        <v>3278.3839475</v>
      </c>
      <c r="H44" s="31">
        <f t="shared" si="16"/>
        <v>15829.359671</v>
      </c>
      <c r="I44" s="31">
        <f t="shared" si="16"/>
        <v>6555.0449289999997</v>
      </c>
      <c r="J44" s="31">
        <f t="shared" si="16"/>
        <v>1247.1463934999999</v>
      </c>
      <c r="K44" s="31">
        <f t="shared" si="16"/>
        <v>10909.188969999999</v>
      </c>
      <c r="L44" s="31">
        <f t="shared" si="16"/>
        <v>3295.7320862099996</v>
      </c>
      <c r="M44" s="31">
        <f t="shared" si="16"/>
        <v>34528.869857999998</v>
      </c>
      <c r="N44" s="31">
        <f t="shared" si="16"/>
        <v>199.19810200000001</v>
      </c>
      <c r="O44" s="31">
        <f t="shared" si="16"/>
        <v>15339.5625716</v>
      </c>
      <c r="P44" s="31">
        <f t="shared" si="16"/>
        <v>5998.5760766000003</v>
      </c>
      <c r="Q44" s="31">
        <f t="shared" si="16"/>
        <v>711.38664100000005</v>
      </c>
      <c r="R44" s="31">
        <f t="shared" si="16"/>
        <v>823.55043550000005</v>
      </c>
      <c r="S44" s="31">
        <f t="shared" si="16"/>
        <v>202.4079505</v>
      </c>
      <c r="T44" s="31">
        <f t="shared" si="16"/>
        <v>7812.299747</v>
      </c>
      <c r="U44" s="31">
        <f t="shared" si="16"/>
        <v>3109.0933219999997</v>
      </c>
      <c r="V44" s="31">
        <f t="shared" si="16"/>
        <v>5154.6578085000001</v>
      </c>
      <c r="W44" s="31">
        <f t="shared" si="16"/>
        <v>140709.45597795799</v>
      </c>
      <c r="X44" s="31">
        <f t="shared" si="10"/>
        <v>130474.421048958</v>
      </c>
      <c r="Y44" s="31">
        <f t="shared" si="11"/>
        <v>10235.034929000001</v>
      </c>
      <c r="Z44" s="19"/>
      <c r="AA44" s="19"/>
      <c r="AB44" s="19"/>
      <c r="AC44" s="19"/>
      <c r="AD44" s="40"/>
      <c r="AE44" s="40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20"/>
    </row>
    <row r="45" spans="1:45">
      <c r="C45" s="9" t="s">
        <v>101</v>
      </c>
      <c r="D45" s="27">
        <f>'Data 1'!D43</f>
        <v>-319.36630600000001</v>
      </c>
      <c r="E45" s="27">
        <f>'Data 1'!E43</f>
        <v>-295.71434600000003</v>
      </c>
      <c r="F45" s="27">
        <f>'Data 1'!F43</f>
        <v>-15.824041000000001</v>
      </c>
      <c r="G45" s="27" t="str">
        <f>'Data 1'!G43</f>
        <v>-</v>
      </c>
      <c r="H45" s="27">
        <f>'Data 1'!H43</f>
        <v>-1741.6118199999999</v>
      </c>
      <c r="I45" s="27" t="str">
        <f>'Data 1'!I43</f>
        <v>-</v>
      </c>
      <c r="J45" s="27">
        <f>'Data 1'!J43</f>
        <v>-543.49018899999999</v>
      </c>
      <c r="K45" s="27">
        <f>'Data 1'!K43</f>
        <v>-22.942472413000001</v>
      </c>
      <c r="L45" s="27">
        <f>'Data 1'!L43</f>
        <v>-1023.0822609999999</v>
      </c>
      <c r="M45" s="27">
        <f>'Data 1'!M43</f>
        <v>-326.08300500000001</v>
      </c>
      <c r="N45" s="27" t="str">
        <f>'Data 1'!N43</f>
        <v>-</v>
      </c>
      <c r="O45" s="27">
        <f>'Data 1'!O43</f>
        <v>-63.472688999999995</v>
      </c>
      <c r="P45" s="27">
        <f>'Data 1'!P43</f>
        <v>-268.38798200000002</v>
      </c>
      <c r="Q45" s="27" t="str">
        <f>'Data 1'!Q43</f>
        <v>-</v>
      </c>
      <c r="R45" s="27" t="str">
        <f>'Data 1'!R43</f>
        <v>-</v>
      </c>
      <c r="S45" s="27" t="str">
        <f>'Data 1'!S43</f>
        <v>-</v>
      </c>
      <c r="T45" s="27" t="str">
        <f>'Data 1'!T43</f>
        <v>-</v>
      </c>
      <c r="U45" s="27" t="str">
        <f>'Data 1'!U43</f>
        <v>-</v>
      </c>
      <c r="V45" s="27" t="str">
        <f>'Data 1'!V43</f>
        <v>-</v>
      </c>
      <c r="W45" s="27">
        <f>SUM(D45:V45)</f>
        <v>-4619.9751114130004</v>
      </c>
      <c r="X45" s="27">
        <f t="shared" si="10"/>
        <v>-4619.9751114130004</v>
      </c>
      <c r="Y45" s="27">
        <f t="shared" si="11"/>
        <v>0</v>
      </c>
      <c r="Z45" s="19"/>
      <c r="AA45" s="19"/>
      <c r="AB45" s="19"/>
      <c r="AC45" s="19"/>
      <c r="AD45" s="40"/>
      <c r="AE45" s="40"/>
      <c r="AF45" s="19"/>
      <c r="AG45" s="2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41"/>
    </row>
    <row r="46" spans="1:45">
      <c r="C46" s="9" t="s">
        <v>102</v>
      </c>
      <c r="D46" s="27">
        <f>'Data 1'!D44</f>
        <v>11393.70182</v>
      </c>
      <c r="E46" s="27">
        <f>'Data 1'!E44</f>
        <v>-7631.7207520000002</v>
      </c>
      <c r="F46" s="27">
        <f>'Data 1'!F44</f>
        <v>-599.25807999999995</v>
      </c>
      <c r="G46" s="27">
        <f>'Data 1'!G44</f>
        <v>1426.5375250000002</v>
      </c>
      <c r="H46" s="27">
        <f>'Data 1'!H44</f>
        <v>8383.7208499999997</v>
      </c>
      <c r="I46" s="27" t="str">
        <f>'Data 1'!I44</f>
        <v>-</v>
      </c>
      <c r="J46" s="27">
        <f>'Data 1'!J44</f>
        <v>2837.1045450000001</v>
      </c>
      <c r="K46" s="27">
        <f>'Data 1'!K44</f>
        <v>-11158.934329</v>
      </c>
      <c r="L46" s="27">
        <f>'Data 1'!L44</f>
        <v>-10908.669033</v>
      </c>
      <c r="M46" s="27">
        <f>'Data 1'!M44</f>
        <v>1276.2432220000001</v>
      </c>
      <c r="N46" s="27" t="str">
        <f>'Data 1'!N44</f>
        <v>-</v>
      </c>
      <c r="O46" s="27">
        <f>'Data 1'!O44</f>
        <v>-16270.228675999999</v>
      </c>
      <c r="P46" s="27">
        <f>'Data 1'!P44</f>
        <v>-6901.0386490000001</v>
      </c>
      <c r="Q46" s="27">
        <f>'Data 1'!Q44</f>
        <v>-166.55968200000001</v>
      </c>
      <c r="R46" s="27">
        <f>'Data 1'!R44</f>
        <v>25568.617604000003</v>
      </c>
      <c r="S46" s="27" t="str">
        <f>'Data 1'!S44</f>
        <v>-</v>
      </c>
      <c r="T46" s="27">
        <f>'Data 1'!T44</f>
        <v>-1074.9186990000001</v>
      </c>
      <c r="U46" s="27">
        <f>'Data 1'!U44</f>
        <v>-1754.04585</v>
      </c>
      <c r="V46" s="27">
        <f>'Data 1'!V44</f>
        <v>8859.2675710000003</v>
      </c>
      <c r="W46" s="27">
        <f>SUM(D46:V46)</f>
        <v>3279.8193870000068</v>
      </c>
      <c r="X46" s="27">
        <f t="shared" si="10"/>
        <v>1853.2818620000071</v>
      </c>
      <c r="Y46" s="27">
        <f t="shared" si="11"/>
        <v>1426.5375250000002</v>
      </c>
      <c r="Z46" s="19"/>
      <c r="AA46" s="19"/>
      <c r="AC46" s="19"/>
      <c r="AD46" s="40"/>
      <c r="AE46" s="40"/>
    </row>
    <row r="47" spans="1:45">
      <c r="C47" s="23" t="s">
        <v>40</v>
      </c>
      <c r="D47" s="34">
        <f>SUM(D36,D44:D46)</f>
        <v>39047.536711000001</v>
      </c>
      <c r="E47" s="34">
        <f t="shared" ref="E47:W47" si="17">SUM(E36,E44:E46)</f>
        <v>10105.467190999996</v>
      </c>
      <c r="F47" s="34">
        <f t="shared" si="17"/>
        <v>8717.6960830000007</v>
      </c>
      <c r="G47" s="34">
        <f t="shared" si="17"/>
        <v>4941.4516050000002</v>
      </c>
      <c r="H47" s="34">
        <f t="shared" si="17"/>
        <v>25745.173458000005</v>
      </c>
      <c r="I47" s="34">
        <f t="shared" si="17"/>
        <v>7945.4034209999991</v>
      </c>
      <c r="J47" s="34">
        <f t="shared" si="17"/>
        <v>3927.4300149999999</v>
      </c>
      <c r="K47" s="34">
        <f t="shared" si="17"/>
        <v>11740.004231586998</v>
      </c>
      <c r="L47" s="34">
        <f t="shared" si="17"/>
        <v>13492.573907929998</v>
      </c>
      <c r="M47" s="34">
        <f t="shared" si="17"/>
        <v>43870.041783999994</v>
      </c>
      <c r="N47" s="34">
        <f t="shared" si="17"/>
        <v>199.19810200000001</v>
      </c>
      <c r="O47" s="34">
        <f t="shared" si="17"/>
        <v>4960.4304299740033</v>
      </c>
      <c r="P47" s="34">
        <f t="shared" si="17"/>
        <v>17383.464717999996</v>
      </c>
      <c r="Q47" s="34">
        <f t="shared" si="17"/>
        <v>1624.3909399999998</v>
      </c>
      <c r="R47" s="34">
        <f t="shared" si="17"/>
        <v>26851.569195000004</v>
      </c>
      <c r="S47" s="34">
        <f t="shared" si="17"/>
        <v>208.01021299999999</v>
      </c>
      <c r="T47" s="34">
        <f t="shared" si="17"/>
        <v>9193.502738000001</v>
      </c>
      <c r="U47" s="34">
        <f t="shared" si="17"/>
        <v>4853.1588579999989</v>
      </c>
      <c r="V47" s="34">
        <f t="shared" si="17"/>
        <v>15012.630385</v>
      </c>
      <c r="W47" s="34">
        <f t="shared" si="17"/>
        <v>249819.13398649101</v>
      </c>
      <c r="X47" s="34">
        <f t="shared" si="10"/>
        <v>236525.07064549104</v>
      </c>
      <c r="Y47" s="34">
        <f t="shared" si="11"/>
        <v>13294.063340999999</v>
      </c>
      <c r="Z47" s="19"/>
      <c r="AA47" s="19"/>
      <c r="AC47" s="19"/>
      <c r="AD47" s="40"/>
      <c r="AE47" s="40"/>
    </row>
    <row r="48" spans="1:45" s="482" customFormat="1">
      <c r="A48" s="481"/>
      <c r="B48" s="481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92"/>
      <c r="Y48" s="492"/>
      <c r="AD48" s="484"/>
      <c r="AE48" s="484"/>
    </row>
    <row r="49" spans="1:31" s="482" customFormat="1">
      <c r="A49" s="481"/>
      <c r="B49" s="481"/>
      <c r="C49" s="22" t="s">
        <v>383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22"/>
      <c r="O49" s="38"/>
      <c r="P49" s="38"/>
      <c r="Q49" s="38"/>
      <c r="R49" s="38"/>
      <c r="S49" s="38"/>
      <c r="T49" s="38"/>
      <c r="U49" s="38"/>
      <c r="V49" s="38"/>
      <c r="W49" s="39">
        <f>SUM(W37:W41,W42:W43)</f>
        <v>140709.45597795799</v>
      </c>
      <c r="X49" s="28">
        <f>SUM(X37:X41,X42:X43)</f>
        <v>130474.42104895799</v>
      </c>
      <c r="Y49" s="33"/>
      <c r="AD49" s="484"/>
      <c r="AE49" s="484"/>
    </row>
    <row r="50" spans="1:31" s="482" customFormat="1" ht="81.75">
      <c r="A50" s="481"/>
      <c r="B50" s="481"/>
      <c r="C50" s="23"/>
      <c r="D50" s="24" t="s">
        <v>87</v>
      </c>
      <c r="E50" s="24" t="s">
        <v>71</v>
      </c>
      <c r="F50" s="24" t="s">
        <v>74</v>
      </c>
      <c r="G50" s="24" t="s">
        <v>37</v>
      </c>
      <c r="H50" s="24" t="s">
        <v>81</v>
      </c>
      <c r="I50" s="24" t="s">
        <v>38</v>
      </c>
      <c r="J50" s="24" t="s">
        <v>88</v>
      </c>
      <c r="K50" s="24" t="s">
        <v>83</v>
      </c>
      <c r="L50" s="24" t="s">
        <v>80</v>
      </c>
      <c r="M50" s="24" t="s">
        <v>65</v>
      </c>
      <c r="N50" s="24" t="s">
        <v>42</v>
      </c>
      <c r="O50" s="24" t="s">
        <v>92</v>
      </c>
      <c r="P50" s="24" t="s">
        <v>93</v>
      </c>
      <c r="Q50" s="24" t="s">
        <v>94</v>
      </c>
      <c r="R50" s="24" t="s">
        <v>82</v>
      </c>
      <c r="S50" s="24" t="s">
        <v>39</v>
      </c>
      <c r="T50" s="24" t="s">
        <v>95</v>
      </c>
      <c r="U50" s="24" t="s">
        <v>96</v>
      </c>
      <c r="V50" s="24" t="s">
        <v>70</v>
      </c>
      <c r="W50" s="25" t="s">
        <v>41</v>
      </c>
      <c r="X50" s="25" t="s">
        <v>99</v>
      </c>
      <c r="Y50" s="25" t="s">
        <v>100</v>
      </c>
      <c r="AD50" s="484"/>
      <c r="AE50" s="484"/>
    </row>
    <row r="51" spans="1:31" s="482" customFormat="1">
      <c r="A51" s="481"/>
      <c r="B51" s="481"/>
      <c r="C51" s="9" t="s">
        <v>26</v>
      </c>
      <c r="D51" s="493">
        <f>IF(D29="-","-",((D29/D7)-1)*100)</f>
        <v>-10.570916208298243</v>
      </c>
      <c r="E51" s="493">
        <f t="shared" ref="E51:Y63" si="18">IF(E29="-","-",((E29/E7)-1)*100)</f>
        <v>36.072872442239913</v>
      </c>
      <c r="F51" s="493">
        <f t="shared" si="18"/>
        <v>-22.24648944009191</v>
      </c>
      <c r="G51" s="493" t="str">
        <f t="shared" si="18"/>
        <v>-</v>
      </c>
      <c r="H51" s="493">
        <f t="shared" si="18"/>
        <v>-2.1264617532810615</v>
      </c>
      <c r="I51" s="493">
        <f t="shared" si="18"/>
        <v>-0.81786136504745643</v>
      </c>
      <c r="J51" s="493">
        <f t="shared" si="18"/>
        <v>-17.169313221051098</v>
      </c>
      <c r="K51" s="493">
        <f t="shared" si="18"/>
        <v>10.741236260241593</v>
      </c>
      <c r="L51" s="493">
        <f t="shared" si="18"/>
        <v>46.076540447466655</v>
      </c>
      <c r="M51" s="493">
        <f t="shared" si="18"/>
        <v>47.657256463294459</v>
      </c>
      <c r="N51" s="493" t="str">
        <f t="shared" si="18"/>
        <v>-</v>
      </c>
      <c r="O51" s="493">
        <f t="shared" si="18"/>
        <v>29.731970025792265</v>
      </c>
      <c r="P51" s="493">
        <f t="shared" si="18"/>
        <v>12.209323177159259</v>
      </c>
      <c r="Q51" s="493">
        <f t="shared" si="18"/>
        <v>-9.0857585730263146</v>
      </c>
      <c r="R51" s="493">
        <f t="shared" si="18"/>
        <v>21.696343308975141</v>
      </c>
      <c r="S51" s="493" t="str">
        <f t="shared" si="18"/>
        <v>-</v>
      </c>
      <c r="T51" s="493">
        <f t="shared" si="18"/>
        <v>13.234652653687927</v>
      </c>
      <c r="U51" s="493">
        <f t="shared" si="18"/>
        <v>5.336011361751436</v>
      </c>
      <c r="V51" s="493">
        <f t="shared" si="18"/>
        <v>-9.5939575529248149</v>
      </c>
      <c r="W51" s="493">
        <f t="shared" si="18"/>
        <v>23.583655094333512</v>
      </c>
      <c r="X51" s="493">
        <f t="shared" si="18"/>
        <v>23.587120027906838</v>
      </c>
      <c r="Y51" s="493">
        <f t="shared" si="18"/>
        <v>-0.81786136504745643</v>
      </c>
      <c r="AD51" s="484"/>
      <c r="AE51" s="484"/>
    </row>
    <row r="52" spans="1:31" s="482" customFormat="1">
      <c r="A52" s="481"/>
      <c r="B52" s="481"/>
      <c r="C52" s="9" t="s">
        <v>68</v>
      </c>
      <c r="D52" s="493" t="str">
        <f t="shared" ref="D52:S69" si="19">IF(D30="-","-",((D30/D8)-1)*100)</f>
        <v>-</v>
      </c>
      <c r="E52" s="493" t="str">
        <f t="shared" si="19"/>
        <v>-</v>
      </c>
      <c r="F52" s="493" t="str">
        <f t="shared" si="19"/>
        <v>-</v>
      </c>
      <c r="G52" s="493" t="str">
        <f t="shared" si="19"/>
        <v>-</v>
      </c>
      <c r="H52" s="493" t="str">
        <f t="shared" si="19"/>
        <v>-</v>
      </c>
      <c r="I52" s="493">
        <f t="shared" si="19"/>
        <v>-15.951378480310197</v>
      </c>
      <c r="J52" s="493" t="str">
        <f t="shared" si="19"/>
        <v>-</v>
      </c>
      <c r="K52" s="493" t="str">
        <f t="shared" si="19"/>
        <v>-</v>
      </c>
      <c r="L52" s="493" t="str">
        <f t="shared" si="19"/>
        <v>-</v>
      </c>
      <c r="M52" s="493" t="str">
        <f t="shared" si="19"/>
        <v>-</v>
      </c>
      <c r="N52" s="493" t="str">
        <f t="shared" si="19"/>
        <v>-</v>
      </c>
      <c r="O52" s="493" t="str">
        <f t="shared" si="19"/>
        <v>-</v>
      </c>
      <c r="P52" s="493" t="str">
        <f t="shared" si="19"/>
        <v>-</v>
      </c>
      <c r="Q52" s="493" t="str">
        <f t="shared" si="19"/>
        <v>-</v>
      </c>
      <c r="R52" s="493" t="str">
        <f t="shared" si="19"/>
        <v>-</v>
      </c>
      <c r="S52" s="493" t="str">
        <f t="shared" si="19"/>
        <v>-</v>
      </c>
      <c r="T52" s="493" t="str">
        <f t="shared" si="18"/>
        <v>-</v>
      </c>
      <c r="U52" s="493" t="str">
        <f t="shared" si="18"/>
        <v>-</v>
      </c>
      <c r="V52" s="493" t="str">
        <f t="shared" si="18"/>
        <v>-</v>
      </c>
      <c r="W52" s="493">
        <f t="shared" si="18"/>
        <v>-15.951378480310197</v>
      </c>
      <c r="X52" s="493" t="s">
        <v>0</v>
      </c>
      <c r="Y52" s="493">
        <f t="shared" si="18"/>
        <v>-15.951378480310197</v>
      </c>
      <c r="AD52" s="484"/>
      <c r="AE52" s="484"/>
    </row>
    <row r="53" spans="1:31" s="482" customFormat="1">
      <c r="A53" s="481"/>
      <c r="B53" s="481"/>
      <c r="C53" s="9" t="s">
        <v>50</v>
      </c>
      <c r="D53" s="493">
        <f t="shared" si="19"/>
        <v>-1.8363253864248086</v>
      </c>
      <c r="E53" s="493">
        <f t="shared" si="18"/>
        <v>36.316130678297839</v>
      </c>
      <c r="F53" s="493">
        <f t="shared" si="18"/>
        <v>-2.775275986468817</v>
      </c>
      <c r="G53" s="493">
        <f t="shared" si="18"/>
        <v>-40.171623811386368</v>
      </c>
      <c r="H53" s="493">
        <f t="shared" si="18"/>
        <v>-14.606728183822426</v>
      </c>
      <c r="I53" s="493">
        <f t="shared" si="18"/>
        <v>-3.323166873305583</v>
      </c>
      <c r="J53" s="493">
        <f t="shared" si="18"/>
        <v>1.7401508976085278</v>
      </c>
      <c r="K53" s="493">
        <f t="shared" si="18"/>
        <v>-16.009579455724744</v>
      </c>
      <c r="L53" s="493">
        <f t="shared" si="18"/>
        <v>0.92865953412659685</v>
      </c>
      <c r="M53" s="493">
        <f t="shared" si="18"/>
        <v>-16.285574568091331</v>
      </c>
      <c r="N53" s="493" t="str">
        <f t="shared" si="18"/>
        <v>-</v>
      </c>
      <c r="O53" s="493" t="s">
        <v>0</v>
      </c>
      <c r="P53" s="493">
        <f t="shared" si="18"/>
        <v>14.76485604770177</v>
      </c>
      <c r="Q53" s="493">
        <f t="shared" si="18"/>
        <v>-18.953280490890158</v>
      </c>
      <c r="R53" s="493" t="str">
        <f t="shared" si="18"/>
        <v>-</v>
      </c>
      <c r="S53" s="493" t="str">
        <f t="shared" si="18"/>
        <v>-</v>
      </c>
      <c r="T53" s="493">
        <f t="shared" si="18"/>
        <v>-18.405067468562986</v>
      </c>
      <c r="U53" s="493">
        <f t="shared" si="18"/>
        <v>-0.82116651448005396</v>
      </c>
      <c r="V53" s="493">
        <f t="shared" si="18"/>
        <v>-0.90931071644089201</v>
      </c>
      <c r="W53" s="493">
        <f t="shared" si="18"/>
        <v>1.1681514333395482</v>
      </c>
      <c r="X53" s="493">
        <f t="shared" si="18"/>
        <v>1.269151482203057</v>
      </c>
      <c r="Y53" s="493">
        <f t="shared" si="18"/>
        <v>-3.5191255819086109</v>
      </c>
      <c r="AD53" s="484"/>
      <c r="AE53" s="484"/>
    </row>
    <row r="54" spans="1:31" s="482" customFormat="1">
      <c r="A54" s="481"/>
      <c r="B54" s="481"/>
      <c r="C54" s="9" t="s">
        <v>51</v>
      </c>
      <c r="D54" s="493">
        <f t="shared" si="19"/>
        <v>96.874299221825623</v>
      </c>
      <c r="E54" s="493">
        <f t="shared" si="18"/>
        <v>358.87891234806818</v>
      </c>
      <c r="F54" s="493">
        <f t="shared" si="18"/>
        <v>6.7042029694405203</v>
      </c>
      <c r="G54" s="493">
        <f t="shared" si="18"/>
        <v>-2.3017003927786051</v>
      </c>
      <c r="H54" s="493">
        <f t="shared" si="18"/>
        <v>-3.2455952261354892</v>
      </c>
      <c r="I54" s="493">
        <f t="shared" si="18"/>
        <v>-7.5511342319978585</v>
      </c>
      <c r="J54" s="493">
        <f t="shared" si="18"/>
        <v>5.3901301486538378</v>
      </c>
      <c r="K54" s="493">
        <f t="shared" si="18"/>
        <v>56.27940453859064</v>
      </c>
      <c r="L54" s="493">
        <f t="shared" si="18"/>
        <v>28.800035109906695</v>
      </c>
      <c r="M54" s="493">
        <f t="shared" si="18"/>
        <v>-8.121070451263579</v>
      </c>
      <c r="N54" s="493" t="str">
        <f t="shared" si="18"/>
        <v>-</v>
      </c>
      <c r="O54" s="493">
        <f t="shared" si="18"/>
        <v>99.160718191344614</v>
      </c>
      <c r="P54" s="493">
        <f t="shared" si="18"/>
        <v>5.8073639803080557</v>
      </c>
      <c r="Q54" s="493">
        <f t="shared" si="18"/>
        <v>2.2987995833610331</v>
      </c>
      <c r="R54" s="493">
        <f t="shared" si="18"/>
        <v>-11.156354117019596</v>
      </c>
      <c r="S54" s="493">
        <f t="shared" si="18"/>
        <v>-4.5612332499719965</v>
      </c>
      <c r="T54" s="493">
        <f t="shared" si="18"/>
        <v>56.137241100827936</v>
      </c>
      <c r="U54" s="493">
        <f t="shared" si="18"/>
        <v>-10.678962221615684</v>
      </c>
      <c r="V54" s="493">
        <f t="shared" si="18"/>
        <v>100.0037094378432</v>
      </c>
      <c r="W54" s="493">
        <f t="shared" si="18"/>
        <v>64.952691712951591</v>
      </c>
      <c r="X54" s="493">
        <f t="shared" si="18"/>
        <v>68.15753318549551</v>
      </c>
      <c r="Y54" s="493">
        <f t="shared" si="18"/>
        <v>-5.9621694935984015</v>
      </c>
      <c r="AD54" s="484"/>
      <c r="AE54" s="484"/>
    </row>
    <row r="55" spans="1:31" s="482" customFormat="1">
      <c r="A55" s="481"/>
      <c r="B55" s="481"/>
      <c r="C55" s="9" t="s">
        <v>66</v>
      </c>
      <c r="D55" s="493">
        <f t="shared" si="19"/>
        <v>-11.674807793453123</v>
      </c>
      <c r="E55" s="493" t="str">
        <f t="shared" si="18"/>
        <v>-</v>
      </c>
      <c r="F55" s="493" t="str">
        <f t="shared" si="18"/>
        <v>-</v>
      </c>
      <c r="G55" s="493" t="str">
        <f t="shared" si="18"/>
        <v>-</v>
      </c>
      <c r="H55" s="493">
        <f t="shared" si="18"/>
        <v>-1.4031524211802093</v>
      </c>
      <c r="I55" s="493" t="str">
        <f t="shared" si="18"/>
        <v>-</v>
      </c>
      <c r="J55" s="493" t="str">
        <f t="shared" si="18"/>
        <v>-</v>
      </c>
      <c r="K55" s="493">
        <f t="shared" si="18"/>
        <v>-17.480864460691002</v>
      </c>
      <c r="L55" s="493" t="str">
        <f t="shared" si="18"/>
        <v>-</v>
      </c>
      <c r="M55" s="493">
        <f t="shared" si="18"/>
        <v>107.56947328714226</v>
      </c>
      <c r="N55" s="493" t="str">
        <f t="shared" si="18"/>
        <v>-</v>
      </c>
      <c r="O55" s="493">
        <f t="shared" si="18"/>
        <v>-13.060350534828125</v>
      </c>
      <c r="P55" s="493" t="str">
        <f t="shared" si="18"/>
        <v>-</v>
      </c>
      <c r="Q55" s="493" t="str">
        <f t="shared" si="18"/>
        <v>-</v>
      </c>
      <c r="R55" s="493" t="str">
        <f t="shared" si="18"/>
        <v>-</v>
      </c>
      <c r="S55" s="493" t="str">
        <f t="shared" si="18"/>
        <v>-</v>
      </c>
      <c r="T55" s="493">
        <f t="shared" si="18"/>
        <v>-7.0635162266686535</v>
      </c>
      <c r="U55" s="493" t="str">
        <f t="shared" si="18"/>
        <v>-</v>
      </c>
      <c r="V55" s="493" t="str">
        <f t="shared" si="18"/>
        <v>-</v>
      </c>
      <c r="W55" s="493">
        <f t="shared" si="18"/>
        <v>-12.15790717752806</v>
      </c>
      <c r="X55" s="493">
        <f t="shared" si="18"/>
        <v>-12.15790717752806</v>
      </c>
      <c r="Y55" s="493" t="s">
        <v>0</v>
      </c>
      <c r="AD55" s="484"/>
      <c r="AE55" s="484"/>
    </row>
    <row r="56" spans="1:31" s="482" customFormat="1">
      <c r="A56" s="481"/>
      <c r="B56" s="481"/>
      <c r="C56" s="9" t="s">
        <v>75</v>
      </c>
      <c r="D56" s="493">
        <f t="shared" si="19"/>
        <v>17.320342333228901</v>
      </c>
      <c r="E56" s="493">
        <f t="shared" si="18"/>
        <v>-24.64029401329708</v>
      </c>
      <c r="F56" s="493">
        <f t="shared" si="18"/>
        <v>3.4475645090811913</v>
      </c>
      <c r="G56" s="493">
        <f t="shared" si="18"/>
        <v>-44.758800281208778</v>
      </c>
      <c r="H56" s="493">
        <f t="shared" si="18"/>
        <v>0.68921184909134237</v>
      </c>
      <c r="I56" s="493">
        <f t="shared" si="18"/>
        <v>-6.0331557285844823</v>
      </c>
      <c r="J56" s="493">
        <f t="shared" si="18"/>
        <v>8.58343030833284</v>
      </c>
      <c r="K56" s="493">
        <f t="shared" si="18"/>
        <v>77.707061603085052</v>
      </c>
      <c r="L56" s="493">
        <f t="shared" si="18"/>
        <v>53.42283777871026</v>
      </c>
      <c r="M56" s="493">
        <f t="shared" si="18"/>
        <v>-3.7019207286413391</v>
      </c>
      <c r="N56" s="493" t="str">
        <f t="shared" si="18"/>
        <v>-</v>
      </c>
      <c r="O56" s="493">
        <f t="shared" si="18"/>
        <v>11.929043564615395</v>
      </c>
      <c r="P56" s="493">
        <f t="shared" si="18"/>
        <v>78.624903753344739</v>
      </c>
      <c r="Q56" s="493">
        <f t="shared" si="18"/>
        <v>9.2152992943841827</v>
      </c>
      <c r="R56" s="493">
        <f t="shared" si="18"/>
        <v>9.0771459808301369</v>
      </c>
      <c r="S56" s="493" t="str">
        <f t="shared" si="18"/>
        <v>-</v>
      </c>
      <c r="T56" s="493">
        <f t="shared" si="18"/>
        <v>-2.3096315505753195</v>
      </c>
      <c r="U56" s="493">
        <f t="shared" si="18"/>
        <v>4.1984958314442267</v>
      </c>
      <c r="V56" s="493">
        <f t="shared" si="18"/>
        <v>3.7969957254053055</v>
      </c>
      <c r="W56" s="493">
        <f t="shared" si="18"/>
        <v>23.772864682821627</v>
      </c>
      <c r="X56" s="493">
        <f t="shared" si="18"/>
        <v>23.875280635808238</v>
      </c>
      <c r="Y56" s="493">
        <f t="shared" si="18"/>
        <v>-10.076311227531498</v>
      </c>
      <c r="AD56" s="484"/>
      <c r="AE56" s="484"/>
    </row>
    <row r="57" spans="1:31" s="482" customFormat="1">
      <c r="A57" s="481"/>
      <c r="B57" s="481"/>
      <c r="C57" s="9" t="s">
        <v>91</v>
      </c>
      <c r="D57" s="493" t="str">
        <f t="shared" si="19"/>
        <v>-</v>
      </c>
      <c r="E57" s="493" t="str">
        <f t="shared" si="18"/>
        <v>-</v>
      </c>
      <c r="F57" s="493" t="str">
        <f t="shared" si="18"/>
        <v>-</v>
      </c>
      <c r="G57" s="493">
        <f t="shared" si="18"/>
        <v>-21.628771611273024</v>
      </c>
      <c r="H57" s="493" t="str">
        <f t="shared" si="18"/>
        <v>-</v>
      </c>
      <c r="I57" s="493" t="str">
        <f t="shared" si="18"/>
        <v>-</v>
      </c>
      <c r="J57" s="493">
        <f t="shared" si="18"/>
        <v>7.3520157724969559</v>
      </c>
      <c r="K57" s="493" t="str">
        <f t="shared" si="18"/>
        <v>-</v>
      </c>
      <c r="L57" s="493" t="str">
        <f t="shared" si="18"/>
        <v>-</v>
      </c>
      <c r="M57" s="493">
        <f t="shared" si="18"/>
        <v>-15.999855839426779</v>
      </c>
      <c r="N57" s="493" t="str">
        <f t="shared" si="18"/>
        <v>-</v>
      </c>
      <c r="O57" s="493" t="str">
        <f t="shared" si="18"/>
        <v>-</v>
      </c>
      <c r="P57" s="493">
        <f t="shared" si="18"/>
        <v>-1.609878141208021</v>
      </c>
      <c r="Q57" s="493" t="str">
        <f t="shared" si="18"/>
        <v>-</v>
      </c>
      <c r="R57" s="493">
        <f t="shared" si="18"/>
        <v>-0.85798700005981221</v>
      </c>
      <c r="S57" s="493">
        <f t="shared" si="18"/>
        <v>2.3820091852906788</v>
      </c>
      <c r="T57" s="493" t="str">
        <f t="shared" si="18"/>
        <v>-</v>
      </c>
      <c r="U57" s="493" t="str">
        <f t="shared" si="18"/>
        <v>-</v>
      </c>
      <c r="V57" s="493">
        <f t="shared" si="18"/>
        <v>-35.105093822973998</v>
      </c>
      <c r="W57" s="493">
        <f t="shared" si="18"/>
        <v>-18.476710358233138</v>
      </c>
      <c r="X57" s="493">
        <f t="shared" si="18"/>
        <v>-18.008569081914938</v>
      </c>
      <c r="Y57" s="493">
        <f t="shared" si="18"/>
        <v>-20.769790270710754</v>
      </c>
      <c r="AD57" s="484"/>
      <c r="AE57" s="484"/>
    </row>
    <row r="58" spans="1:31" s="482" customFormat="1">
      <c r="A58" s="481"/>
      <c r="B58" s="481"/>
      <c r="C58" s="30" t="s">
        <v>149</v>
      </c>
      <c r="D58" s="494">
        <f t="shared" si="19"/>
        <v>11.668726320421863</v>
      </c>
      <c r="E58" s="494">
        <f t="shared" si="18"/>
        <v>48.580182649433844</v>
      </c>
      <c r="F58" s="494">
        <f t="shared" si="18"/>
        <v>-13.4112659873871</v>
      </c>
      <c r="G58" s="494">
        <f t="shared" si="18"/>
        <v>-13.590768754987471</v>
      </c>
      <c r="H58" s="494">
        <f t="shared" si="18"/>
        <v>-10.980780789104717</v>
      </c>
      <c r="I58" s="494">
        <f t="shared" si="18"/>
        <v>-4.3486078332250155</v>
      </c>
      <c r="J58" s="494">
        <f t="shared" si="18"/>
        <v>-6.9871327854582388</v>
      </c>
      <c r="K58" s="494">
        <f t="shared" si="18"/>
        <v>-0.84399423839361942</v>
      </c>
      <c r="L58" s="494">
        <f t="shared" si="18"/>
        <v>15.93409254702658</v>
      </c>
      <c r="M58" s="494">
        <f t="shared" si="18"/>
        <v>15.557534519833126</v>
      </c>
      <c r="N58" s="495" t="s">
        <v>0</v>
      </c>
      <c r="O58" s="494">
        <f t="shared" si="18"/>
        <v>27.827920621830373</v>
      </c>
      <c r="P58" s="494">
        <f t="shared" si="18"/>
        <v>14.489649187929498</v>
      </c>
      <c r="Q58" s="494">
        <f t="shared" si="18"/>
        <v>-15.291468931375285</v>
      </c>
      <c r="R58" s="494">
        <f t="shared" si="18"/>
        <v>5.7204906380357468</v>
      </c>
      <c r="S58" s="494">
        <f t="shared" si="18"/>
        <v>2.2801265168886253</v>
      </c>
      <c r="T58" s="494">
        <f t="shared" si="18"/>
        <v>30.593667080951704</v>
      </c>
      <c r="U58" s="494">
        <f t="shared" si="18"/>
        <v>-0.3816680809299644</v>
      </c>
      <c r="V58" s="494">
        <f t="shared" si="18"/>
        <v>-10.576584625859276</v>
      </c>
      <c r="W58" s="494">
        <f t="shared" si="18"/>
        <v>12.803710003386382</v>
      </c>
      <c r="X58" s="494">
        <f t="shared" si="18"/>
        <v>13.138650344725168</v>
      </c>
      <c r="Y58" s="494">
        <f t="shared" si="18"/>
        <v>-5.7876676046569102</v>
      </c>
      <c r="AD58" s="484"/>
      <c r="AE58" s="484"/>
    </row>
    <row r="59" spans="1:31" s="482" customFormat="1">
      <c r="A59" s="481"/>
      <c r="B59" s="481"/>
      <c r="C59" s="9" t="s">
        <v>67</v>
      </c>
      <c r="D59" s="493">
        <f t="shared" si="19"/>
        <v>108.94366430893298</v>
      </c>
      <c r="E59" s="493">
        <f t="shared" si="18"/>
        <v>110.65437486057985</v>
      </c>
      <c r="F59" s="493">
        <f t="shared" si="18"/>
        <v>28.948709066430567</v>
      </c>
      <c r="G59" s="493" t="str">
        <f t="shared" si="18"/>
        <v>-</v>
      </c>
      <c r="H59" s="493">
        <f t="shared" si="18"/>
        <v>63.593879244613703</v>
      </c>
      <c r="I59" s="493" t="str">
        <f t="shared" si="18"/>
        <v>-</v>
      </c>
      <c r="J59" s="493">
        <f t="shared" si="18"/>
        <v>43.054335373408748</v>
      </c>
      <c r="K59" s="493">
        <f t="shared" si="18"/>
        <v>-38.072230302736074</v>
      </c>
      <c r="L59" s="493">
        <f t="shared" si="18"/>
        <v>104.51445881894324</v>
      </c>
      <c r="M59" s="493">
        <f t="shared" si="18"/>
        <v>85.220327870552978</v>
      </c>
      <c r="N59" s="493" t="str">
        <f t="shared" si="18"/>
        <v>-</v>
      </c>
      <c r="O59" s="493">
        <f t="shared" si="18"/>
        <v>372.5438442380277</v>
      </c>
      <c r="P59" s="493">
        <f t="shared" si="18"/>
        <v>-49.507942831953855</v>
      </c>
      <c r="Q59" s="493" t="str">
        <f t="shared" si="18"/>
        <v>-</v>
      </c>
      <c r="R59" s="493" t="str">
        <f t="shared" si="18"/>
        <v>-</v>
      </c>
      <c r="S59" s="493" t="str">
        <f t="shared" si="18"/>
        <v>-</v>
      </c>
      <c r="T59" s="493" t="str">
        <f t="shared" si="18"/>
        <v>-</v>
      </c>
      <c r="U59" s="493" t="str">
        <f t="shared" si="18"/>
        <v>-</v>
      </c>
      <c r="V59" s="493" t="str">
        <f t="shared" si="18"/>
        <v>-</v>
      </c>
      <c r="W59" s="493">
        <f t="shared" si="18"/>
        <v>66.874017364750742</v>
      </c>
      <c r="X59" s="493">
        <f t="shared" si="18"/>
        <v>66.874017364750742</v>
      </c>
      <c r="Y59" s="493" t="s">
        <v>0</v>
      </c>
      <c r="AD59" s="484"/>
      <c r="AE59" s="484"/>
    </row>
    <row r="60" spans="1:31" s="482" customFormat="1">
      <c r="A60" s="481"/>
      <c r="B60" s="481"/>
      <c r="C60" s="9" t="s">
        <v>27</v>
      </c>
      <c r="D60" s="493" t="str">
        <f t="shared" si="19"/>
        <v>-</v>
      </c>
      <c r="E60" s="493" t="str">
        <f t="shared" si="18"/>
        <v>-</v>
      </c>
      <c r="F60" s="493" t="str">
        <f t="shared" si="18"/>
        <v>-</v>
      </c>
      <c r="G60" s="493" t="str">
        <f t="shared" si="18"/>
        <v>-</v>
      </c>
      <c r="H60" s="493">
        <f t="shared" si="18"/>
        <v>10.376589993001151</v>
      </c>
      <c r="I60" s="493" t="str">
        <f t="shared" si="18"/>
        <v>-</v>
      </c>
      <c r="J60" s="493" t="str">
        <f t="shared" si="18"/>
        <v>-</v>
      </c>
      <c r="K60" s="493">
        <f t="shared" si="18"/>
        <v>-2.2430573533123832</v>
      </c>
      <c r="L60" s="493" t="str">
        <f t="shared" si="18"/>
        <v>-</v>
      </c>
      <c r="M60" s="493">
        <f t="shared" si="18"/>
        <v>1.3852853581357349</v>
      </c>
      <c r="N60" s="493" t="str">
        <f t="shared" si="18"/>
        <v>-</v>
      </c>
      <c r="O60" s="493">
        <f t="shared" si="18"/>
        <v>-6.4524204397009566</v>
      </c>
      <c r="P60" s="493" t="str">
        <f t="shared" si="18"/>
        <v>-</v>
      </c>
      <c r="Q60" s="493" t="str">
        <f t="shared" si="18"/>
        <v>-</v>
      </c>
      <c r="R60" s="493" t="str">
        <f t="shared" si="18"/>
        <v>-</v>
      </c>
      <c r="S60" s="493" t="str">
        <f t="shared" si="18"/>
        <v>-</v>
      </c>
      <c r="T60" s="493" t="str">
        <f t="shared" si="18"/>
        <v>-</v>
      </c>
      <c r="U60" s="493" t="str">
        <f t="shared" si="18"/>
        <v>-</v>
      </c>
      <c r="V60" s="493" t="str">
        <f t="shared" si="18"/>
        <v>-</v>
      </c>
      <c r="W60" s="493">
        <f t="shared" si="18"/>
        <v>-0.12079192475299427</v>
      </c>
      <c r="X60" s="493">
        <f t="shared" si="18"/>
        <v>-0.12079192475299427</v>
      </c>
      <c r="Y60" s="493" t="s">
        <v>0</v>
      </c>
      <c r="AD60" s="484"/>
      <c r="AE60" s="484"/>
    </row>
    <row r="61" spans="1:31" s="482" customFormat="1">
      <c r="A61" s="481"/>
      <c r="B61" s="481"/>
      <c r="C61" s="9" t="s">
        <v>28</v>
      </c>
      <c r="D61" s="493">
        <f t="shared" si="19"/>
        <v>-93.768788202259174</v>
      </c>
      <c r="E61" s="493">
        <f t="shared" si="18"/>
        <v>-89.591516316183188</v>
      </c>
      <c r="F61" s="493">
        <f t="shared" si="18"/>
        <v>-20.250687787776833</v>
      </c>
      <c r="G61" s="493">
        <f t="shared" si="18"/>
        <v>-88.916577457101781</v>
      </c>
      <c r="H61" s="493" t="str">
        <f t="shared" si="18"/>
        <v>-</v>
      </c>
      <c r="I61" s="493" t="str">
        <f t="shared" si="18"/>
        <v>-</v>
      </c>
      <c r="J61" s="493" t="str">
        <f t="shared" si="18"/>
        <v>-</v>
      </c>
      <c r="K61" s="493" t="str">
        <f t="shared" si="18"/>
        <v>-</v>
      </c>
      <c r="L61" s="493">
        <f t="shared" si="18"/>
        <v>-10.397308809249406</v>
      </c>
      <c r="M61" s="493" t="str">
        <f t="shared" si="18"/>
        <v>-</v>
      </c>
      <c r="N61" s="493" t="str">
        <f t="shared" si="18"/>
        <v>-</v>
      </c>
      <c r="O61" s="493" t="str">
        <f t="shared" si="18"/>
        <v>-</v>
      </c>
      <c r="P61" s="493">
        <f t="shared" si="18"/>
        <v>-45.496852626849325</v>
      </c>
      <c r="Q61" s="493" t="str">
        <f t="shared" si="18"/>
        <v>-</v>
      </c>
      <c r="R61" s="493" t="str">
        <f t="shared" si="18"/>
        <v>-</v>
      </c>
      <c r="S61" s="493" t="str">
        <f t="shared" si="18"/>
        <v>-</v>
      </c>
      <c r="T61" s="493" t="str">
        <f t="shared" si="18"/>
        <v>-</v>
      </c>
      <c r="U61" s="493" t="str">
        <f t="shared" si="18"/>
        <v>-</v>
      </c>
      <c r="V61" s="493" t="str">
        <f t="shared" si="18"/>
        <v>-</v>
      </c>
      <c r="W61" s="493">
        <f t="shared" si="18"/>
        <v>-60.365100253025162</v>
      </c>
      <c r="X61" s="493">
        <f t="shared" si="18"/>
        <v>-55.013881972774684</v>
      </c>
      <c r="Y61" s="493">
        <f t="shared" si="18"/>
        <v>-88.916577457101781</v>
      </c>
      <c r="AD61" s="484"/>
      <c r="AE61" s="484"/>
    </row>
    <row r="62" spans="1:31" s="482" customFormat="1">
      <c r="A62" s="481"/>
      <c r="B62" s="481"/>
      <c r="C62" s="9" t="s">
        <v>98</v>
      </c>
      <c r="D62" s="493" t="str">
        <f t="shared" si="19"/>
        <v>-</v>
      </c>
      <c r="E62" s="493" t="str">
        <f t="shared" si="18"/>
        <v>-</v>
      </c>
      <c r="F62" s="493" t="str">
        <f t="shared" si="18"/>
        <v>-</v>
      </c>
      <c r="G62" s="493">
        <f t="shared" si="18"/>
        <v>-46.099460410317839</v>
      </c>
      <c r="H62" s="493">
        <f t="shared" si="18"/>
        <v>-100</v>
      </c>
      <c r="I62" s="493">
        <f t="shared" si="18"/>
        <v>-24.430939245140927</v>
      </c>
      <c r="J62" s="493" t="str">
        <f t="shared" si="18"/>
        <v>-</v>
      </c>
      <c r="K62" s="493" t="str">
        <f t="shared" si="18"/>
        <v>-</v>
      </c>
      <c r="L62" s="493" t="str">
        <f t="shared" si="18"/>
        <v>-</v>
      </c>
      <c r="M62" s="493" t="str">
        <f t="shared" si="18"/>
        <v>-</v>
      </c>
      <c r="N62" s="493">
        <f t="shared" si="18"/>
        <v>-3.3245311874539607</v>
      </c>
      <c r="O62" s="493" t="str">
        <f t="shared" si="18"/>
        <v>-</v>
      </c>
      <c r="P62" s="493" t="str">
        <f t="shared" si="18"/>
        <v>-</v>
      </c>
      <c r="Q62" s="493" t="str">
        <f t="shared" si="18"/>
        <v>-</v>
      </c>
      <c r="R62" s="493" t="str">
        <f t="shared" si="18"/>
        <v>-</v>
      </c>
      <c r="S62" s="493">
        <f t="shared" si="18"/>
        <v>-1.5736919397518201</v>
      </c>
      <c r="T62" s="493" t="str">
        <f t="shared" si="18"/>
        <v>-</v>
      </c>
      <c r="U62" s="493" t="str">
        <f t="shared" si="18"/>
        <v>-</v>
      </c>
      <c r="V62" s="493" t="str">
        <f t="shared" si="18"/>
        <v>-</v>
      </c>
      <c r="W62" s="493">
        <f t="shared" si="18"/>
        <v>-26.370890413143744</v>
      </c>
      <c r="X62" s="493">
        <f t="shared" si="18"/>
        <v>-100</v>
      </c>
      <c r="Y62" s="493">
        <f t="shared" si="18"/>
        <v>-26.370890426071114</v>
      </c>
      <c r="AD62" s="484"/>
      <c r="AE62" s="484"/>
    </row>
    <row r="63" spans="1:31" s="482" customFormat="1">
      <c r="A63" s="481"/>
      <c r="B63" s="481"/>
      <c r="C63" s="9" t="s">
        <v>44</v>
      </c>
      <c r="D63" s="493">
        <f t="shared" si="19"/>
        <v>-37.007120499270876</v>
      </c>
      <c r="E63" s="493">
        <f>IF(E41="-","-",((E41/E19)-1)*100)</f>
        <v>6.8897576864479504</v>
      </c>
      <c r="F63" s="493">
        <f t="shared" si="18"/>
        <v>13.749286592648557</v>
      </c>
      <c r="G63" s="493">
        <f t="shared" si="18"/>
        <v>130.78295602803598</v>
      </c>
      <c r="H63" s="493">
        <f t="shared" si="18"/>
        <v>-12.148916848909163</v>
      </c>
      <c r="I63" s="493">
        <f t="shared" si="18"/>
        <v>6.5744618038956482</v>
      </c>
      <c r="J63" s="493" t="str">
        <f t="shared" si="18"/>
        <v>-</v>
      </c>
      <c r="K63" s="493">
        <f t="shared" si="18"/>
        <v>37.766541055813384</v>
      </c>
      <c r="L63" s="493" t="str">
        <f t="shared" si="18"/>
        <v>-</v>
      </c>
      <c r="M63" s="493">
        <f t="shared" si="18"/>
        <v>-39.929916096545995</v>
      </c>
      <c r="N63" s="493" t="str">
        <f t="shared" si="18"/>
        <v>-</v>
      </c>
      <c r="O63" s="493" t="str">
        <f t="shared" si="18"/>
        <v>-</v>
      </c>
      <c r="P63" s="493">
        <f t="shared" si="18"/>
        <v>-35.976677678218451</v>
      </c>
      <c r="Q63" s="493">
        <f t="shared" si="18"/>
        <v>-48.046885743780507</v>
      </c>
      <c r="R63" s="493" t="str">
        <f t="shared" si="18"/>
        <v>-</v>
      </c>
      <c r="S63" s="493" t="str">
        <f t="shared" si="18"/>
        <v>-</v>
      </c>
      <c r="T63" s="493">
        <f t="shared" si="18"/>
        <v>-10.021121452943616</v>
      </c>
      <c r="U63" s="493">
        <f t="shared" si="18"/>
        <v>-25.661013236003615</v>
      </c>
      <c r="V63" s="493">
        <f t="shared" si="18"/>
        <v>-36.806425784478712</v>
      </c>
      <c r="W63" s="493">
        <f t="shared" ref="E63:Y69" si="20">IF(W41="-","-",((W41/W19)-1)*100)</f>
        <v>-20.307318217887669</v>
      </c>
      <c r="X63" s="493">
        <f t="shared" si="20"/>
        <v>-25.000079618024941</v>
      </c>
      <c r="Y63" s="493">
        <f t="shared" si="20"/>
        <v>38.248380172224827</v>
      </c>
      <c r="AD63" s="484"/>
      <c r="AE63" s="484"/>
    </row>
    <row r="64" spans="1:31" s="482" customFormat="1">
      <c r="A64" s="481"/>
      <c r="B64" s="481"/>
      <c r="C64" s="9" t="s">
        <v>73</v>
      </c>
      <c r="D64" s="493">
        <f t="shared" si="19"/>
        <v>-3.3193169343420648</v>
      </c>
      <c r="E64" s="493">
        <f t="shared" si="20"/>
        <v>-7.9319418543847053</v>
      </c>
      <c r="F64" s="493">
        <f t="shared" si="20"/>
        <v>-3.1584314491670651</v>
      </c>
      <c r="G64" s="493">
        <f t="shared" si="20"/>
        <v>-1.7552466097566888</v>
      </c>
      <c r="H64" s="493">
        <f t="shared" si="20"/>
        <v>-9.3099380337689386</v>
      </c>
      <c r="I64" s="493" t="str">
        <f t="shared" si="20"/>
        <v>-</v>
      </c>
      <c r="J64" s="493">
        <f t="shared" si="20"/>
        <v>-47.331885893888327</v>
      </c>
      <c r="K64" s="493">
        <f t="shared" si="20"/>
        <v>-14.788069667962212</v>
      </c>
      <c r="L64" s="493">
        <f t="shared" si="20"/>
        <v>-5.4638647223113175</v>
      </c>
      <c r="M64" s="493">
        <f t="shared" si="20"/>
        <v>-5.6237983430579286</v>
      </c>
      <c r="N64" s="493" t="str">
        <f t="shared" si="20"/>
        <v>-</v>
      </c>
      <c r="O64" s="493">
        <f t="shared" si="20"/>
        <v>1.4232382149848455</v>
      </c>
      <c r="P64" s="493">
        <f t="shared" si="20"/>
        <v>-10.416125434232592</v>
      </c>
      <c r="Q64" s="493">
        <f t="shared" si="20"/>
        <v>-11.085204893631229</v>
      </c>
      <c r="R64" s="493">
        <f t="shared" si="20"/>
        <v>-12.227388870937993</v>
      </c>
      <c r="S64" s="493" t="str">
        <f t="shared" si="20"/>
        <v>-</v>
      </c>
      <c r="T64" s="493">
        <f t="shared" si="20"/>
        <v>-5.4387053555078442</v>
      </c>
      <c r="U64" s="493">
        <f t="shared" si="20"/>
        <v>-7.3310430311894326</v>
      </c>
      <c r="V64" s="493">
        <f t="shared" si="20"/>
        <v>-7.1431598867663704</v>
      </c>
      <c r="W64" s="493">
        <f t="shared" si="20"/>
        <v>-8.9906177803001146</v>
      </c>
      <c r="X64" s="493">
        <f t="shared" si="20"/>
        <v>-8.9990386569665617</v>
      </c>
      <c r="Y64" s="493">
        <f t="shared" si="20"/>
        <v>-1.7552466097566888</v>
      </c>
      <c r="AD64" s="484"/>
      <c r="AE64" s="484"/>
    </row>
    <row r="65" spans="1:31" s="482" customFormat="1">
      <c r="A65" s="481"/>
      <c r="B65" s="481"/>
      <c r="C65" s="9" t="s">
        <v>90</v>
      </c>
      <c r="D65" s="493">
        <f t="shared" si="19"/>
        <v>-99.351305808332569</v>
      </c>
      <c r="E65" s="493">
        <f t="shared" si="20"/>
        <v>-18.958364367029969</v>
      </c>
      <c r="F65" s="493">
        <f t="shared" si="20"/>
        <v>13.585849100641912</v>
      </c>
      <c r="G65" s="493">
        <f t="shared" si="20"/>
        <v>-21.628771611273024</v>
      </c>
      <c r="H65" s="493">
        <f t="shared" si="20"/>
        <v>-1.4122644718594146</v>
      </c>
      <c r="I65" s="493" t="str">
        <f t="shared" si="20"/>
        <v>-</v>
      </c>
      <c r="J65" s="493">
        <f t="shared" si="20"/>
        <v>7.3520157724969559</v>
      </c>
      <c r="K65" s="493" t="str">
        <f t="shared" si="20"/>
        <v>-</v>
      </c>
      <c r="L65" s="493" t="str">
        <f t="shared" si="20"/>
        <v>-</v>
      </c>
      <c r="M65" s="493">
        <f t="shared" si="20"/>
        <v>-15.038300930050475</v>
      </c>
      <c r="N65" s="493" t="str">
        <f t="shared" si="20"/>
        <v>-</v>
      </c>
      <c r="O65" s="493" t="str">
        <f t="shared" si="20"/>
        <v>-</v>
      </c>
      <c r="P65" s="493">
        <f t="shared" si="20"/>
        <v>-1.6098775482236705</v>
      </c>
      <c r="Q65" s="493" t="str">
        <f t="shared" si="20"/>
        <v>-</v>
      </c>
      <c r="R65" s="493">
        <f t="shared" si="20"/>
        <v>-0.85798700005981221</v>
      </c>
      <c r="S65" s="493">
        <f t="shared" si="20"/>
        <v>2.3820091852906788</v>
      </c>
      <c r="T65" s="493" t="str">
        <f t="shared" si="20"/>
        <v>-</v>
      </c>
      <c r="U65" s="493" t="str">
        <f t="shared" si="20"/>
        <v>-</v>
      </c>
      <c r="V65" s="493">
        <f t="shared" si="20"/>
        <v>-29.183232329289698</v>
      </c>
      <c r="W65" s="493">
        <f t="shared" si="20"/>
        <v>-9.345348197168402</v>
      </c>
      <c r="X65" s="493">
        <f t="shared" si="20"/>
        <v>-8.5133865437188039</v>
      </c>
      <c r="Y65" s="493">
        <f t="shared" si="20"/>
        <v>-20.769790270710754</v>
      </c>
      <c r="AD65" s="484"/>
      <c r="AE65" s="484"/>
    </row>
    <row r="66" spans="1:31" s="482" customFormat="1">
      <c r="A66" s="481"/>
      <c r="B66" s="481"/>
      <c r="C66" s="30" t="s">
        <v>150</v>
      </c>
      <c r="D66" s="494">
        <f t="shared" si="19"/>
        <v>-35.719318166246438</v>
      </c>
      <c r="E66" s="494">
        <f t="shared" si="20"/>
        <v>-19.092944278511315</v>
      </c>
      <c r="F66" s="494">
        <f t="shared" si="20"/>
        <v>-4.9737483505748354</v>
      </c>
      <c r="G66" s="494">
        <f t="shared" si="20"/>
        <v>-20.939028914639511</v>
      </c>
      <c r="H66" s="494">
        <f t="shared" si="20"/>
        <v>4.19969658829209</v>
      </c>
      <c r="I66" s="494">
        <f t="shared" si="20"/>
        <v>-11.673856598345033</v>
      </c>
      <c r="J66" s="494">
        <f t="shared" si="20"/>
        <v>-33.721026872434976</v>
      </c>
      <c r="K66" s="494">
        <f t="shared" si="20"/>
        <v>1.627653040462107</v>
      </c>
      <c r="L66" s="494">
        <f t="shared" si="20"/>
        <v>-0.59477217040131425</v>
      </c>
      <c r="M66" s="494">
        <f t="shared" si="20"/>
        <v>-9.0043686793168991</v>
      </c>
      <c r="N66" s="494">
        <f t="shared" si="20"/>
        <v>-3.3245311874539607</v>
      </c>
      <c r="O66" s="494">
        <f t="shared" si="20"/>
        <v>-6.3180536947371131</v>
      </c>
      <c r="P66" s="494">
        <f t="shared" si="20"/>
        <v>-30.649944156506127</v>
      </c>
      <c r="Q66" s="494">
        <f t="shared" si="20"/>
        <v>-45.623292310766558</v>
      </c>
      <c r="R66" s="494">
        <f t="shared" si="20"/>
        <v>-11.206227042170802</v>
      </c>
      <c r="S66" s="494">
        <f t="shared" si="20"/>
        <v>-1.4697674960640006</v>
      </c>
      <c r="T66" s="494">
        <f t="shared" si="20"/>
        <v>-9.0720638458638536</v>
      </c>
      <c r="U66" s="494">
        <f t="shared" si="20"/>
        <v>-21.447214127259674</v>
      </c>
      <c r="V66" s="494">
        <f t="shared" si="20"/>
        <v>-27.537544750525711</v>
      </c>
      <c r="W66" s="494">
        <f t="shared" si="20"/>
        <v>-13.630425941687463</v>
      </c>
      <c r="X66" s="494">
        <f t="shared" si="20"/>
        <v>-13.556460194387521</v>
      </c>
      <c r="Y66" s="494">
        <f t="shared" si="20"/>
        <v>-14.562356213086536</v>
      </c>
      <c r="AD66" s="484"/>
      <c r="AE66" s="484"/>
    </row>
    <row r="67" spans="1:31" s="482" customFormat="1">
      <c r="A67" s="481"/>
      <c r="B67" s="481"/>
      <c r="C67" s="9" t="s">
        <v>101</v>
      </c>
      <c r="D67" s="493">
        <f t="shared" si="19"/>
        <v>102.78124323997827</v>
      </c>
      <c r="E67" s="493">
        <f t="shared" si="20"/>
        <v>77.780820205319628</v>
      </c>
      <c r="F67" s="493">
        <f t="shared" si="20"/>
        <v>28.252417025788446</v>
      </c>
      <c r="G67" s="493" t="str">
        <f t="shared" si="20"/>
        <v>-</v>
      </c>
      <c r="H67" s="493">
        <f t="shared" si="20"/>
        <v>60.796934704594307</v>
      </c>
      <c r="I67" s="493" t="str">
        <f t="shared" si="20"/>
        <v>-</v>
      </c>
      <c r="J67" s="493">
        <f t="shared" si="20"/>
        <v>39.029985298087475</v>
      </c>
      <c r="K67" s="493">
        <f t="shared" si="20"/>
        <v>-62.401826005013895</v>
      </c>
      <c r="L67" s="493">
        <f t="shared" si="20"/>
        <v>57.429538892364754</v>
      </c>
      <c r="M67" s="493">
        <f t="shared" si="20"/>
        <v>86.482667517100936</v>
      </c>
      <c r="N67" s="493" t="str">
        <f t="shared" si="20"/>
        <v>-</v>
      </c>
      <c r="O67" s="493">
        <f t="shared" si="20"/>
        <v>252.25852693689581</v>
      </c>
      <c r="P67" s="493">
        <f t="shared" si="20"/>
        <v>-14.348579991124454</v>
      </c>
      <c r="Q67" s="493" t="str">
        <f t="shared" si="20"/>
        <v>-</v>
      </c>
      <c r="R67" s="493" t="str">
        <f t="shared" si="20"/>
        <v>-</v>
      </c>
      <c r="S67" s="493" t="str">
        <f t="shared" si="20"/>
        <v>-</v>
      </c>
      <c r="T67" s="493" t="str">
        <f t="shared" si="20"/>
        <v>-</v>
      </c>
      <c r="U67" s="493" t="str">
        <f t="shared" si="20"/>
        <v>-</v>
      </c>
      <c r="V67" s="493" t="str">
        <f t="shared" si="20"/>
        <v>-</v>
      </c>
      <c r="W67" s="493">
        <f t="shared" si="20"/>
        <v>52.609880067717782</v>
      </c>
      <c r="X67" s="493">
        <f t="shared" si="20"/>
        <v>52.609880067717782</v>
      </c>
      <c r="Y67" s="493" t="s">
        <v>0</v>
      </c>
      <c r="AD67" s="484"/>
      <c r="AE67" s="484"/>
    </row>
    <row r="68" spans="1:31" s="482" customFormat="1">
      <c r="A68" s="481"/>
      <c r="B68" s="481"/>
      <c r="C68" s="9" t="s">
        <v>102</v>
      </c>
      <c r="D68" s="493">
        <f t="shared" si="19"/>
        <v>89.469769540777392</v>
      </c>
      <c r="E68" s="493">
        <f t="shared" si="20"/>
        <v>74.374501944026065</v>
      </c>
      <c r="F68" s="493">
        <f t="shared" si="20"/>
        <v>-16.071790229659555</v>
      </c>
      <c r="G68" s="493">
        <f t="shared" si="20"/>
        <v>-15.830574825021792</v>
      </c>
      <c r="H68" s="493">
        <f t="shared" si="20"/>
        <v>-11.042868417542506</v>
      </c>
      <c r="I68" s="493" t="str">
        <f t="shared" si="20"/>
        <v>-</v>
      </c>
      <c r="J68" s="493">
        <f t="shared" si="20"/>
        <v>24.334146757942943</v>
      </c>
      <c r="K68" s="493">
        <f t="shared" si="20"/>
        <v>4.7475051410333924</v>
      </c>
      <c r="L68" s="493">
        <f t="shared" si="20"/>
        <v>44.092916717653743</v>
      </c>
      <c r="M68" s="493">
        <f t="shared" si="20"/>
        <v>-35.975951503573221</v>
      </c>
      <c r="N68" s="493" t="str">
        <f t="shared" si="20"/>
        <v>-</v>
      </c>
      <c r="O68" s="493">
        <f t="shared" si="20"/>
        <v>1.3846614995841167</v>
      </c>
      <c r="P68" s="493">
        <f t="shared" si="20"/>
        <v>13.258756544294847</v>
      </c>
      <c r="Q68" s="493">
        <f t="shared" si="20"/>
        <v>-81.102699846294058</v>
      </c>
      <c r="R68" s="493">
        <f t="shared" si="20"/>
        <v>-5.6270880046614069</v>
      </c>
      <c r="S68" s="493" t="str">
        <f t="shared" si="20"/>
        <v>-</v>
      </c>
      <c r="T68" s="493">
        <f t="shared" si="20"/>
        <v>3.7503976414081208</v>
      </c>
      <c r="U68" s="493">
        <f t="shared" si="20"/>
        <v>-24.387554522147724</v>
      </c>
      <c r="V68" s="493">
        <f t="shared" si="20"/>
        <v>9.9985403054722699</v>
      </c>
      <c r="W68" s="493">
        <f t="shared" si="20"/>
        <v>-52.205420740187435</v>
      </c>
      <c r="X68" s="493">
        <f t="shared" si="20"/>
        <v>-64.13570567026504</v>
      </c>
      <c r="Y68" s="493">
        <f t="shared" si="20"/>
        <v>-15.830574825021792</v>
      </c>
      <c r="AD68" s="484"/>
      <c r="AE68" s="484"/>
    </row>
    <row r="69" spans="1:31" s="482" customFormat="1">
      <c r="A69" s="481"/>
      <c r="B69" s="481"/>
      <c r="C69" s="23" t="s">
        <v>40</v>
      </c>
      <c r="D69" s="491">
        <f t="shared" si="19"/>
        <v>-2.0645873115322733</v>
      </c>
      <c r="E69" s="491">
        <f t="shared" si="20"/>
        <v>-6.5071946166909589</v>
      </c>
      <c r="F69" s="491">
        <f t="shared" si="20"/>
        <v>-7.190381550606439</v>
      </c>
      <c r="G69" s="491">
        <f t="shared" si="20"/>
        <v>-19.194289983249003</v>
      </c>
      <c r="H69" s="491">
        <f t="shared" si="20"/>
        <v>-5.3842193761190371</v>
      </c>
      <c r="I69" s="491">
        <f t="shared" si="20"/>
        <v>-10.474107079078932</v>
      </c>
      <c r="J69" s="491">
        <f t="shared" si="20"/>
        <v>-6.2285609137995195</v>
      </c>
      <c r="K69" s="491">
        <f t="shared" si="20"/>
        <v>-3.2567346923081941</v>
      </c>
      <c r="L69" s="491">
        <f t="shared" si="20"/>
        <v>-4.8627725459484017</v>
      </c>
      <c r="M69" s="491">
        <f t="shared" si="20"/>
        <v>-6.7100687779243824</v>
      </c>
      <c r="N69" s="491">
        <f t="shared" si="20"/>
        <v>-3.3245311874539607</v>
      </c>
      <c r="O69" s="491">
        <f t="shared" si="20"/>
        <v>-0.11857090459356234</v>
      </c>
      <c r="P69" s="491">
        <f t="shared" si="20"/>
        <v>-5.7771196073533542</v>
      </c>
      <c r="Q69" s="491">
        <f t="shared" si="20"/>
        <v>-4.5210276190614458</v>
      </c>
      <c r="R69" s="491">
        <f t="shared" si="20"/>
        <v>-5.6356475860084849</v>
      </c>
      <c r="S69" s="491">
        <f t="shared" si="20"/>
        <v>-1.3723795767873859</v>
      </c>
      <c r="T69" s="491">
        <f t="shared" si="20"/>
        <v>-2.5742740659225438</v>
      </c>
      <c r="U69" s="491">
        <f t="shared" si="20"/>
        <v>-5.7583446436641701</v>
      </c>
      <c r="V69" s="491">
        <f t="shared" si="20"/>
        <v>-7.8095738986983188</v>
      </c>
      <c r="W69" s="491">
        <f t="shared" si="20"/>
        <v>-5.6088948175162967</v>
      </c>
      <c r="X69" s="491">
        <f t="shared" si="20"/>
        <v>-5.1078361730900301</v>
      </c>
      <c r="Y69" s="491">
        <f t="shared" si="20"/>
        <v>-13.715012200305555</v>
      </c>
      <c r="AD69" s="484"/>
      <c r="AE69" s="484"/>
    </row>
    <row r="70" spans="1:31" s="482" customFormat="1">
      <c r="A70" s="481"/>
      <c r="B70" s="481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160"/>
      <c r="X70" s="160"/>
      <c r="Y70" s="160"/>
      <c r="AD70" s="484"/>
      <c r="AE70" s="484"/>
    </row>
    <row r="71" spans="1:31">
      <c r="C71" s="22" t="s">
        <v>312</v>
      </c>
      <c r="D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31" ht="81.75">
      <c r="C72" s="23"/>
      <c r="D72" s="24" t="s">
        <v>87</v>
      </c>
      <c r="E72" s="25" t="s">
        <v>71</v>
      </c>
      <c r="F72" s="24" t="s">
        <v>74</v>
      </c>
      <c r="G72" s="24" t="s">
        <v>37</v>
      </c>
      <c r="H72" s="24" t="s">
        <v>81</v>
      </c>
      <c r="I72" s="24" t="s">
        <v>38</v>
      </c>
      <c r="J72" s="24" t="s">
        <v>88</v>
      </c>
      <c r="K72" s="24" t="s">
        <v>83</v>
      </c>
      <c r="L72" s="24" t="s">
        <v>80</v>
      </c>
      <c r="M72" s="24" t="s">
        <v>65</v>
      </c>
      <c r="N72" s="24" t="s">
        <v>42</v>
      </c>
      <c r="O72" s="24" t="s">
        <v>92</v>
      </c>
      <c r="P72" s="24" t="s">
        <v>93</v>
      </c>
      <c r="Q72" s="24" t="s">
        <v>94</v>
      </c>
      <c r="R72" s="24" t="s">
        <v>82</v>
      </c>
      <c r="S72" s="24" t="s">
        <v>39</v>
      </c>
      <c r="T72" s="24" t="s">
        <v>95</v>
      </c>
      <c r="U72" s="24" t="s">
        <v>96</v>
      </c>
      <c r="V72" s="24" t="s">
        <v>70</v>
      </c>
      <c r="W72" s="25" t="s">
        <v>41</v>
      </c>
      <c r="X72" s="25" t="s">
        <v>99</v>
      </c>
      <c r="Y72" s="25" t="s">
        <v>100</v>
      </c>
      <c r="Z72" s="418"/>
    </row>
    <row r="73" spans="1:31">
      <c r="C73" s="9" t="s">
        <v>26</v>
      </c>
      <c r="D73" s="27">
        <f>'Data 1'!D49</f>
        <v>621.678</v>
      </c>
      <c r="E73" s="27">
        <f>'Data 1'!E49</f>
        <v>1333.8544999999999</v>
      </c>
      <c r="F73" s="27">
        <f>'Data 1'!F49</f>
        <v>804.75179999999989</v>
      </c>
      <c r="G73" s="27" t="str">
        <f>'Data 1'!G49</f>
        <v>-</v>
      </c>
      <c r="H73" s="27">
        <f>'Data 1'!H49</f>
        <v>639.78399999999988</v>
      </c>
      <c r="I73" s="27">
        <f>'Data 1'!I49</f>
        <v>2.02</v>
      </c>
      <c r="J73" s="27">
        <f>'Data 1'!J49</f>
        <v>98.912000000000006</v>
      </c>
      <c r="K73" s="27">
        <f>'Data 1'!K49</f>
        <v>650.24199999999996</v>
      </c>
      <c r="L73" s="27">
        <f>'Data 1'!L49</f>
        <v>4399.3154999999997</v>
      </c>
      <c r="M73" s="27">
        <f>'Data 1'!M49</f>
        <v>1912.8127999999997</v>
      </c>
      <c r="N73" s="27" t="str">
        <f>'Data 1'!N49</f>
        <v>-</v>
      </c>
      <c r="O73" s="27">
        <f>'Data 1'!O49</f>
        <v>2277.8123000000001</v>
      </c>
      <c r="P73" s="27">
        <f>'Data 1'!P49</f>
        <v>3720.2476900000001</v>
      </c>
      <c r="Q73" s="27">
        <f>'Data 1'!Q49</f>
        <v>52.205539999999999</v>
      </c>
      <c r="R73" s="27">
        <f>'Data 1'!R49</f>
        <v>108.51659999999998</v>
      </c>
      <c r="S73" s="27" t="str">
        <f>'Data 1'!S49</f>
        <v>-</v>
      </c>
      <c r="T73" s="27">
        <f>'Data 1'!T49</f>
        <v>33.592999999999996</v>
      </c>
      <c r="U73" s="27">
        <f>'Data 1'!U49</f>
        <v>254.77500000000001</v>
      </c>
      <c r="V73" s="27">
        <f>'Data 1'!V49</f>
        <v>174.35149999999999</v>
      </c>
      <c r="W73" s="27">
        <f t="shared" ref="W73:W87" si="21">SUM(D73:V73)</f>
        <v>17084.872229999997</v>
      </c>
      <c r="X73" s="27">
        <f t="shared" ref="X73:X87" si="22">SUM(D73:F73,H73,J73:M73,O73:R73,T73:V73)</f>
        <v>17082.85223</v>
      </c>
      <c r="Y73" s="27">
        <f t="shared" ref="Y73:Y87" si="23">SUM(G73,I73,N73,S73)</f>
        <v>2.02</v>
      </c>
      <c r="Z73" s="416"/>
    </row>
    <row r="74" spans="1:31">
      <c r="C74" s="9" t="s">
        <v>68</v>
      </c>
      <c r="D74" s="27" t="str">
        <f>'Data 1'!D55</f>
        <v>-</v>
      </c>
      <c r="E74" s="27" t="str">
        <f>'Data 1'!E55</f>
        <v>-</v>
      </c>
      <c r="F74" s="27" t="str">
        <f>'Data 1'!F55</f>
        <v>-</v>
      </c>
      <c r="G74" s="27" t="str">
        <f>'Data 1'!G55</f>
        <v>-</v>
      </c>
      <c r="H74" s="27" t="str">
        <f>'Data 1'!H55</f>
        <v>-</v>
      </c>
      <c r="I74" s="27">
        <f>'Data 1'!I55</f>
        <v>11.39</v>
      </c>
      <c r="J74" s="27" t="str">
        <f>'Data 1'!J55</f>
        <v>-</v>
      </c>
      <c r="K74" s="27" t="str">
        <f>'Data 1'!K55</f>
        <v>-</v>
      </c>
      <c r="L74" s="27" t="str">
        <f>'Data 1'!L55</f>
        <v>-</v>
      </c>
      <c r="M74" s="27" t="str">
        <f>'Data 1'!M55</f>
        <v>-</v>
      </c>
      <c r="N74" s="27" t="str">
        <f>'Data 1'!N55</f>
        <v>-</v>
      </c>
      <c r="O74" s="27" t="str">
        <f>'Data 1'!O55</f>
        <v>-</v>
      </c>
      <c r="P74" s="27" t="str">
        <f>'Data 1'!P55</f>
        <v>-</v>
      </c>
      <c r="Q74" s="27" t="str">
        <f>'Data 1'!Q55</f>
        <v>-</v>
      </c>
      <c r="R74" s="27" t="str">
        <f>'Data 1'!R55</f>
        <v>-</v>
      </c>
      <c r="S74" s="27" t="str">
        <f>'Data 1'!S55</f>
        <v>-</v>
      </c>
      <c r="T74" s="27" t="str">
        <f>'Data 1'!T55</f>
        <v>-</v>
      </c>
      <c r="U74" s="27" t="str">
        <f>'Data 1'!U55</f>
        <v>-</v>
      </c>
      <c r="V74" s="27" t="str">
        <f>'Data 1'!V55</f>
        <v>-</v>
      </c>
      <c r="W74" s="27">
        <f t="shared" ref="W74:W79" si="24">SUM(D74:V74)</f>
        <v>11.39</v>
      </c>
      <c r="X74" s="27">
        <f t="shared" ref="X74:X79" si="25">SUM(D74:F74,H74,J74:M74,O74:R74,T74:V74)</f>
        <v>0</v>
      </c>
      <c r="Y74" s="27">
        <f t="shared" ref="Y74:Y79" si="26">SUM(G74,I74,N74,S74)</f>
        <v>11.39</v>
      </c>
      <c r="Z74" s="416"/>
    </row>
    <row r="75" spans="1:31">
      <c r="C75" s="9" t="s">
        <v>50</v>
      </c>
      <c r="D75" s="27">
        <f>'Data 1'!D56</f>
        <v>3450.9055000000003</v>
      </c>
      <c r="E75" s="27">
        <f>'Data 1'!E56</f>
        <v>3257.8890000000006</v>
      </c>
      <c r="F75" s="27">
        <f>'Data 1'!F56</f>
        <v>518.45000000000005</v>
      </c>
      <c r="G75" s="27">
        <f>'Data 1'!G56</f>
        <v>3.6374999999999909</v>
      </c>
      <c r="H75" s="27">
        <f>'Data 1'!H56</f>
        <v>1205.2399999999998</v>
      </c>
      <c r="I75" s="27">
        <f>'Data 1'!I56</f>
        <v>430.315</v>
      </c>
      <c r="J75" s="27">
        <f>'Data 1'!J56</f>
        <v>35.310500000000005</v>
      </c>
      <c r="K75" s="27">
        <f>'Data 1'!K56</f>
        <v>3812.5241999999985</v>
      </c>
      <c r="L75" s="27">
        <f>'Data 1'!L56</f>
        <v>6080.9170000000022</v>
      </c>
      <c r="M75" s="27">
        <f>'Data 1'!M56</f>
        <v>1271.1599999999999</v>
      </c>
      <c r="N75" s="27" t="str">
        <f>'Data 1'!N56</f>
        <v>-</v>
      </c>
      <c r="O75" s="27">
        <f>'Data 1'!O56</f>
        <v>39.375</v>
      </c>
      <c r="P75" s="27">
        <f>'Data 1'!P56</f>
        <v>3805.1650000000009</v>
      </c>
      <c r="Q75" s="27">
        <f>'Data 1'!Q56</f>
        <v>448.12</v>
      </c>
      <c r="R75" s="27" t="str">
        <f>'Data 1'!R56</f>
        <v>-</v>
      </c>
      <c r="S75" s="27" t="str">
        <f>'Data 1'!S56</f>
        <v>-</v>
      </c>
      <c r="T75" s="27">
        <f>'Data 1'!T56</f>
        <v>262.77</v>
      </c>
      <c r="U75" s="27">
        <f>'Data 1'!U56</f>
        <v>1099.837</v>
      </c>
      <c r="V75" s="27">
        <f>'Data 1'!V56</f>
        <v>154.28380000000001</v>
      </c>
      <c r="W75" s="18">
        <f t="shared" si="24"/>
        <v>25875.8995</v>
      </c>
      <c r="X75" s="18">
        <f t="shared" si="25"/>
        <v>25441.947</v>
      </c>
      <c r="Y75" s="18">
        <f t="shared" si="26"/>
        <v>433.95249999999999</v>
      </c>
      <c r="Z75" s="417"/>
    </row>
    <row r="76" spans="1:31">
      <c r="C76" s="9" t="s">
        <v>51</v>
      </c>
      <c r="D76" s="27">
        <f>'Data 1'!D57</f>
        <v>1783.8418390000547</v>
      </c>
      <c r="E76" s="27">
        <f>'Data 1'!E57</f>
        <v>938.44108999999992</v>
      </c>
      <c r="F76" s="27">
        <f>'Data 1'!F57</f>
        <v>0.79648500000000033</v>
      </c>
      <c r="G76" s="27">
        <f>'Data 1'!G57</f>
        <v>81.253994999999847</v>
      </c>
      <c r="H76" s="27">
        <f>'Data 1'!H57</f>
        <v>364.31811499999554</v>
      </c>
      <c r="I76" s="27">
        <f>'Data 1'!I57</f>
        <v>167.10714499999966</v>
      </c>
      <c r="J76" s="27">
        <f>'Data 1'!J57</f>
        <v>2.1730549999999984</v>
      </c>
      <c r="K76" s="27">
        <f>'Data 1'!K57</f>
        <v>1746.2266700000782</v>
      </c>
      <c r="L76" s="27">
        <f>'Data 1'!L57</f>
        <v>803.15181500000335</v>
      </c>
      <c r="M76" s="27">
        <f>'Data 1'!M57</f>
        <v>273.94674999999921</v>
      </c>
      <c r="N76" s="27" t="str">
        <f>'Data 1'!N57</f>
        <v>-</v>
      </c>
      <c r="O76" s="27">
        <f>'Data 1'!O57</f>
        <v>1247.1097640000107</v>
      </c>
      <c r="P76" s="27">
        <f>'Data 1'!P57</f>
        <v>18.09610499999998</v>
      </c>
      <c r="Q76" s="27">
        <f>'Data 1'!Q57</f>
        <v>96.602979999999761</v>
      </c>
      <c r="R76" s="27">
        <f>'Data 1'!R57</f>
        <v>63.470686000000001</v>
      </c>
      <c r="S76" s="27">
        <f>'Data 1'!S57</f>
        <v>5.9700000000000003E-2</v>
      </c>
      <c r="T76" s="27">
        <f>'Data 1'!T57</f>
        <v>1114.1248609999893</v>
      </c>
      <c r="U76" s="27">
        <f>'Data 1'!U57</f>
        <v>162.2296099999964</v>
      </c>
      <c r="V76" s="27">
        <f>'Data 1'!V57</f>
        <v>50.903415000000123</v>
      </c>
      <c r="W76" s="18">
        <f t="shared" si="24"/>
        <v>8913.8540800001265</v>
      </c>
      <c r="X76" s="18">
        <f t="shared" si="25"/>
        <v>8665.4332400001276</v>
      </c>
      <c r="Y76" s="18">
        <f t="shared" si="26"/>
        <v>248.42083999999952</v>
      </c>
      <c r="Z76" s="417"/>
    </row>
    <row r="77" spans="1:31">
      <c r="C77" s="9" t="s">
        <v>66</v>
      </c>
      <c r="D77" s="27">
        <f>'Data 1'!D58</f>
        <v>1000.0229999999998</v>
      </c>
      <c r="E77" s="27" t="str">
        <f>'Data 1'!E58</f>
        <v>-</v>
      </c>
      <c r="F77" s="27" t="str">
        <f>'Data 1'!F58</f>
        <v>-</v>
      </c>
      <c r="G77" s="27" t="str">
        <f>'Data 1'!G58</f>
        <v>-</v>
      </c>
      <c r="H77" s="27">
        <f>'Data 1'!H58</f>
        <v>49.9</v>
      </c>
      <c r="I77" s="27" t="str">
        <f>'Data 1'!I58</f>
        <v>-</v>
      </c>
      <c r="J77" s="27" t="str">
        <f>'Data 1'!J58</f>
        <v>-</v>
      </c>
      <c r="K77" s="27">
        <f>'Data 1'!K58</f>
        <v>349.4</v>
      </c>
      <c r="L77" s="27" t="str">
        <f>'Data 1'!L58</f>
        <v>-</v>
      </c>
      <c r="M77" s="27">
        <f>'Data 1'!M58</f>
        <v>24.29</v>
      </c>
      <c r="N77" s="27" t="str">
        <f>'Data 1'!N58</f>
        <v>-</v>
      </c>
      <c r="O77" s="27">
        <f>'Data 1'!O58</f>
        <v>848.99999999999989</v>
      </c>
      <c r="P77" s="27" t="str">
        <f>'Data 1'!P58</f>
        <v>-</v>
      </c>
      <c r="Q77" s="27" t="str">
        <f>'Data 1'!Q58</f>
        <v>-</v>
      </c>
      <c r="R77" s="27" t="str">
        <f>'Data 1'!R58</f>
        <v>-</v>
      </c>
      <c r="S77" s="27" t="str">
        <f>'Data 1'!S58</f>
        <v>-</v>
      </c>
      <c r="T77" s="27">
        <f>'Data 1'!T58</f>
        <v>31.4</v>
      </c>
      <c r="U77" s="27" t="str">
        <f>'Data 1'!U58</f>
        <v>-</v>
      </c>
      <c r="V77" s="27" t="str">
        <f>'Data 1'!V58</f>
        <v>-</v>
      </c>
      <c r="W77" s="18">
        <f t="shared" si="24"/>
        <v>2304.0129999999999</v>
      </c>
      <c r="X77" s="18">
        <f t="shared" si="25"/>
        <v>2304.0129999999999</v>
      </c>
      <c r="Y77" s="18">
        <f t="shared" si="26"/>
        <v>0</v>
      </c>
      <c r="Z77" s="417"/>
    </row>
    <row r="78" spans="1:31">
      <c r="C78" s="9" t="s">
        <v>75</v>
      </c>
      <c r="D78" s="27">
        <f>'Data 1'!D59</f>
        <v>277.92200000000003</v>
      </c>
      <c r="E78" s="27">
        <f>'Data 1'!E59</f>
        <v>42.335000000000001</v>
      </c>
      <c r="F78" s="27">
        <f>'Data 1'!F59</f>
        <v>90.860000000000014</v>
      </c>
      <c r="G78" s="27">
        <f>'Data 1'!G59</f>
        <v>2.13</v>
      </c>
      <c r="H78" s="27">
        <f>'Data 1'!H59</f>
        <v>13.222999999999999</v>
      </c>
      <c r="I78" s="27">
        <f>'Data 1'!I59</f>
        <v>3.6960000000000002</v>
      </c>
      <c r="J78" s="27">
        <f>'Data 1'!J59</f>
        <v>12.862</v>
      </c>
      <c r="K78" s="27">
        <f>'Data 1'!K59</f>
        <v>140.40300000000002</v>
      </c>
      <c r="L78" s="27">
        <f>'Data 1'!L59</f>
        <v>96.394999999999996</v>
      </c>
      <c r="M78" s="27">
        <f>'Data 1'!M59</f>
        <v>73.095999999999989</v>
      </c>
      <c r="N78" s="27" t="str">
        <f>'Data 1'!N59</f>
        <v>-</v>
      </c>
      <c r="O78" s="27">
        <f>'Data 1'!O59</f>
        <v>35.799999999999997</v>
      </c>
      <c r="P78" s="27">
        <f>'Data 1'!P59</f>
        <v>115.73400000000001</v>
      </c>
      <c r="Q78" s="27">
        <f>'Data 1'!Q59</f>
        <v>4.1269999999999998</v>
      </c>
      <c r="R78" s="27">
        <f>'Data 1'!R59</f>
        <v>45.084000000000003</v>
      </c>
      <c r="S78" s="27" t="str">
        <f>'Data 1'!S59</f>
        <v>-</v>
      </c>
      <c r="T78" s="27">
        <f>'Data 1'!T59</f>
        <v>15.536999999999999</v>
      </c>
      <c r="U78" s="27">
        <f>'Data 1'!U59</f>
        <v>52.111000000000004</v>
      </c>
      <c r="V78" s="27">
        <f>'Data 1'!V59</f>
        <v>56.276999999999994</v>
      </c>
      <c r="W78" s="18">
        <f t="shared" si="24"/>
        <v>1077.5919999999999</v>
      </c>
      <c r="X78" s="18">
        <f t="shared" si="25"/>
        <v>1071.7659999999998</v>
      </c>
      <c r="Y78" s="18">
        <f t="shared" si="26"/>
        <v>5.8260000000000005</v>
      </c>
      <c r="Z78" s="417"/>
    </row>
    <row r="79" spans="1:31">
      <c r="C79" s="10" t="s">
        <v>91</v>
      </c>
      <c r="D79" s="27" t="str">
        <f>'Data 1'!D62</f>
        <v>-</v>
      </c>
      <c r="E79" s="27" t="str">
        <f>'Data 1'!E62</f>
        <v>-</v>
      </c>
      <c r="F79" s="27" t="str">
        <f>'Data 1'!F62</f>
        <v>-</v>
      </c>
      <c r="G79" s="27">
        <f>'Data 1'!G62</f>
        <v>37.400000000000006</v>
      </c>
      <c r="H79" s="27" t="str">
        <f>'Data 1'!H62</f>
        <v>-</v>
      </c>
      <c r="I79" s="27" t="str">
        <f>'Data 1'!I62</f>
        <v>-</v>
      </c>
      <c r="J79" s="27">
        <f>'Data 1'!J62</f>
        <v>4.9669999999999996</v>
      </c>
      <c r="K79" s="27" t="str">
        <f>'Data 1'!K62</f>
        <v>-</v>
      </c>
      <c r="L79" s="27" t="str">
        <f>'Data 1'!L62</f>
        <v>-</v>
      </c>
      <c r="M79" s="27">
        <f>'Data 1'!M62</f>
        <v>27.174500000000002</v>
      </c>
      <c r="N79" s="27" t="str">
        <f>'Data 1'!N62</f>
        <v>-</v>
      </c>
      <c r="O79" s="27" t="str">
        <f>'Data 1'!O62</f>
        <v>-</v>
      </c>
      <c r="P79" s="27">
        <f>'Data 1'!P62</f>
        <v>25</v>
      </c>
      <c r="Q79" s="27" t="str">
        <f>'Data 1'!Q62</f>
        <v>-</v>
      </c>
      <c r="R79" s="27">
        <f>'Data 1'!R62</f>
        <v>14.9</v>
      </c>
      <c r="S79" s="27">
        <f>'Data 1'!S62</f>
        <v>1.0840000000000001</v>
      </c>
      <c r="T79" s="27" t="str">
        <f>'Data 1'!T62</f>
        <v>-</v>
      </c>
      <c r="U79" s="27" t="str">
        <f>'Data 1'!U62</f>
        <v>-</v>
      </c>
      <c r="V79" s="27">
        <f>'Data 1'!V62</f>
        <v>46.795999999999999</v>
      </c>
      <c r="W79" s="27">
        <f t="shared" si="24"/>
        <v>157.32150000000001</v>
      </c>
      <c r="X79" s="27">
        <f t="shared" si="25"/>
        <v>118.83750000000001</v>
      </c>
      <c r="Y79" s="27">
        <f t="shared" si="26"/>
        <v>38.484000000000009</v>
      </c>
      <c r="Z79" s="416"/>
    </row>
    <row r="80" spans="1:31">
      <c r="C80" s="30" t="s">
        <v>346</v>
      </c>
      <c r="D80" s="31">
        <f t="shared" ref="D80:V80" si="27">SUM(D73:D79)</f>
        <v>7134.3703390000555</v>
      </c>
      <c r="E80" s="31">
        <f t="shared" si="27"/>
        <v>5572.5195900000008</v>
      </c>
      <c r="F80" s="31">
        <f t="shared" si="27"/>
        <v>1414.8582849999998</v>
      </c>
      <c r="G80" s="31">
        <f t="shared" si="27"/>
        <v>124.42149499999984</v>
      </c>
      <c r="H80" s="31">
        <f t="shared" si="27"/>
        <v>2272.4651149999954</v>
      </c>
      <c r="I80" s="31">
        <f t="shared" si="27"/>
        <v>614.52814499999965</v>
      </c>
      <c r="J80" s="31">
        <f t="shared" si="27"/>
        <v>154.22455500000004</v>
      </c>
      <c r="K80" s="31">
        <f t="shared" si="27"/>
        <v>6698.7958700000763</v>
      </c>
      <c r="L80" s="31">
        <f t="shared" si="27"/>
        <v>11379.779315000005</v>
      </c>
      <c r="M80" s="31">
        <f t="shared" si="27"/>
        <v>3582.4800499999988</v>
      </c>
      <c r="N80" s="31">
        <f t="shared" si="27"/>
        <v>0</v>
      </c>
      <c r="O80" s="31">
        <f t="shared" si="27"/>
        <v>4449.0970640000105</v>
      </c>
      <c r="P80" s="31">
        <f t="shared" si="27"/>
        <v>7684.242795000001</v>
      </c>
      <c r="Q80" s="31">
        <f t="shared" si="27"/>
        <v>601.05551999999966</v>
      </c>
      <c r="R80" s="31">
        <f t="shared" si="27"/>
        <v>231.97128599999999</v>
      </c>
      <c r="S80" s="31">
        <f t="shared" si="27"/>
        <v>1.1437000000000002</v>
      </c>
      <c r="T80" s="31">
        <f t="shared" si="27"/>
        <v>1457.4248609999895</v>
      </c>
      <c r="U80" s="31">
        <f t="shared" si="27"/>
        <v>1568.9526099999966</v>
      </c>
      <c r="V80" s="31">
        <f t="shared" si="27"/>
        <v>482.61171500000012</v>
      </c>
      <c r="W80" s="31">
        <f t="shared" ref="W80:Y80" si="28">SUM(W73:W79)</f>
        <v>55424.942310000115</v>
      </c>
      <c r="X80" s="31">
        <f t="shared" si="28"/>
        <v>54684.848970000137</v>
      </c>
      <c r="Y80" s="31">
        <f t="shared" si="28"/>
        <v>740.09333999999956</v>
      </c>
      <c r="Z80" s="416"/>
    </row>
    <row r="81" spans="3:32">
      <c r="C81" s="9" t="s">
        <v>67</v>
      </c>
      <c r="D81" s="27">
        <f>'Data 1'!D50</f>
        <v>582.88</v>
      </c>
      <c r="E81" s="27">
        <f>'Data 1'!E50</f>
        <v>219.14</v>
      </c>
      <c r="F81" s="27" t="str">
        <f>'Data 1'!F50</f>
        <v>-</v>
      </c>
      <c r="G81" s="27" t="str">
        <f>'Data 1'!G50</f>
        <v>-</v>
      </c>
      <c r="H81" s="27">
        <f>'Data 1'!H50</f>
        <v>1511.95</v>
      </c>
      <c r="I81" s="27" t="str">
        <f>'Data 1'!I50</f>
        <v>-</v>
      </c>
      <c r="J81" s="27">
        <f>'Data 1'!J50</f>
        <v>360.6</v>
      </c>
      <c r="K81" s="27">
        <f>'Data 1'!K50</f>
        <v>215</v>
      </c>
      <c r="L81" s="27" t="str">
        <f>'Data 1'!L50</f>
        <v>-</v>
      </c>
      <c r="M81" s="27">
        <f>'Data 1'!M50</f>
        <v>439.32</v>
      </c>
      <c r="N81" s="27" t="str">
        <f>'Data 1'!N50</f>
        <v>-</v>
      </c>
      <c r="O81" s="27" t="str">
        <f>'Data 1'!O50</f>
        <v>-</v>
      </c>
      <c r="P81" s="27" t="str">
        <f>'Data 1'!P50</f>
        <v>-</v>
      </c>
      <c r="Q81" s="27" t="str">
        <f>'Data 1'!Q50</f>
        <v>-</v>
      </c>
      <c r="R81" s="27" t="str">
        <f>'Data 1'!R50</f>
        <v>-</v>
      </c>
      <c r="S81" s="27" t="str">
        <f>'Data 1'!S50</f>
        <v>-</v>
      </c>
      <c r="T81" s="27" t="str">
        <f>'Data 1'!T50</f>
        <v>-</v>
      </c>
      <c r="U81" s="27" t="str">
        <f>'Data 1'!U50</f>
        <v>-</v>
      </c>
      <c r="V81" s="27" t="str">
        <f>'Data 1'!V50</f>
        <v>-</v>
      </c>
      <c r="W81" s="27">
        <f t="shared" si="21"/>
        <v>3328.8900000000003</v>
      </c>
      <c r="X81" s="27">
        <f t="shared" si="22"/>
        <v>3328.8900000000003</v>
      </c>
      <c r="Y81" s="27">
        <f t="shared" si="23"/>
        <v>0</v>
      </c>
      <c r="Z81" s="416"/>
    </row>
    <row r="82" spans="3:32">
      <c r="C82" s="9" t="s">
        <v>103</v>
      </c>
      <c r="D82" s="27" t="str">
        <f>'Data 1'!D51</f>
        <v>-</v>
      </c>
      <c r="E82" s="27" t="str">
        <f>'Data 1'!E51</f>
        <v>-</v>
      </c>
      <c r="F82" s="27" t="str">
        <f>'Data 1'!F51</f>
        <v>-</v>
      </c>
      <c r="G82" s="27" t="str">
        <f>'Data 1'!G51</f>
        <v>-</v>
      </c>
      <c r="H82" s="27">
        <f>'Data 1'!H51</f>
        <v>1063.94</v>
      </c>
      <c r="I82" s="27" t="str">
        <f>'Data 1'!I51</f>
        <v>-</v>
      </c>
      <c r="J82" s="27" t="str">
        <f>'Data 1'!J51</f>
        <v>-</v>
      </c>
      <c r="K82" s="27">
        <f>'Data 1'!K51</f>
        <v>1003.41</v>
      </c>
      <c r="L82" s="27" t="str">
        <f>'Data 1'!L51</f>
        <v>-</v>
      </c>
      <c r="M82" s="27">
        <f>'Data 1'!M51</f>
        <v>3032.81</v>
      </c>
      <c r="N82" s="27" t="str">
        <f>'Data 1'!N51</f>
        <v>-</v>
      </c>
      <c r="O82" s="27">
        <f>'Data 1'!O51</f>
        <v>2017.13</v>
      </c>
      <c r="P82" s="27" t="str">
        <f>'Data 1'!P51</f>
        <v>-</v>
      </c>
      <c r="Q82" s="27" t="str">
        <f>'Data 1'!Q51</f>
        <v>-</v>
      </c>
      <c r="R82" s="27" t="str">
        <f>'Data 1'!R51</f>
        <v>-</v>
      </c>
      <c r="S82" s="27" t="str">
        <f>'Data 1'!S51</f>
        <v>-</v>
      </c>
      <c r="T82" s="27" t="str">
        <f>'Data 1'!T51</f>
        <v>-</v>
      </c>
      <c r="U82" s="27" t="str">
        <f>'Data 1'!U51</f>
        <v>-</v>
      </c>
      <c r="V82" s="27" t="str">
        <f>'Data 1'!V51</f>
        <v>-</v>
      </c>
      <c r="W82" s="18">
        <f t="shared" si="21"/>
        <v>7117.29</v>
      </c>
      <c r="X82" s="18">
        <f t="shared" si="22"/>
        <v>7117.29</v>
      </c>
      <c r="Y82" s="18">
        <f t="shared" si="23"/>
        <v>0</v>
      </c>
      <c r="Z82" s="417"/>
    </row>
    <row r="83" spans="3:32">
      <c r="C83" s="9" t="s">
        <v>104</v>
      </c>
      <c r="D83" s="27">
        <f>'Data 1'!D52</f>
        <v>1989.4</v>
      </c>
      <c r="E83" s="27">
        <f>'Data 1'!E52</f>
        <v>1055.77</v>
      </c>
      <c r="F83" s="27">
        <f>'Data 1'!F52</f>
        <v>2099.4349999999999</v>
      </c>
      <c r="G83" s="27">
        <f>'Data 1'!G52</f>
        <v>468.4</v>
      </c>
      <c r="H83" s="27" t="str">
        <f>'Data 1'!H52</f>
        <v>-</v>
      </c>
      <c r="I83" s="27" t="str">
        <f>'Data 1'!I52</f>
        <v>-</v>
      </c>
      <c r="J83" s="27" t="str">
        <f>'Data 1'!J52</f>
        <v>-</v>
      </c>
      <c r="K83" s="27" t="str">
        <f>'Data 1'!K52</f>
        <v>-</v>
      </c>
      <c r="L83" s="27">
        <f>'Data 1'!L52</f>
        <v>2110.0499999999997</v>
      </c>
      <c r="M83" s="27" t="str">
        <f>'Data 1'!M52</f>
        <v>-</v>
      </c>
      <c r="N83" s="27" t="str">
        <f>'Data 1'!N52</f>
        <v>-</v>
      </c>
      <c r="O83" s="27" t="str">
        <f>'Data 1'!O52</f>
        <v>-</v>
      </c>
      <c r="P83" s="27">
        <f>'Data 1'!P52</f>
        <v>1960.39</v>
      </c>
      <c r="Q83" s="27" t="str">
        <f>'Data 1'!Q52</f>
        <v>-</v>
      </c>
      <c r="R83" s="27" t="str">
        <f>'Data 1'!R52</f>
        <v>-</v>
      </c>
      <c r="S83" s="27" t="str">
        <f>'Data 1'!S52</f>
        <v>-</v>
      </c>
      <c r="T83" s="27" t="str">
        <f>'Data 1'!T52</f>
        <v>-</v>
      </c>
      <c r="U83" s="27" t="str">
        <f>'Data 1'!U52</f>
        <v>-</v>
      </c>
      <c r="V83" s="27" t="str">
        <f>'Data 1'!V52</f>
        <v>-</v>
      </c>
      <c r="W83" s="27">
        <f t="shared" si="21"/>
        <v>9683.4449999999979</v>
      </c>
      <c r="X83" s="27">
        <f t="shared" si="22"/>
        <v>9215.0449999999983</v>
      </c>
      <c r="Y83" s="27">
        <f t="shared" si="23"/>
        <v>468.4</v>
      </c>
      <c r="Z83" s="416"/>
    </row>
    <row r="84" spans="3:32">
      <c r="C84" s="9" t="s">
        <v>105</v>
      </c>
      <c r="D84" s="27" t="str">
        <f>'Data 1'!D53</f>
        <v>-</v>
      </c>
      <c r="E84" s="27" t="str">
        <f>'Data 1'!E53</f>
        <v>-</v>
      </c>
      <c r="F84" s="27" t="str">
        <f>'Data 1'!F53</f>
        <v>-</v>
      </c>
      <c r="G84" s="27">
        <f>'Data 1'!G53</f>
        <v>744.8</v>
      </c>
      <c r="H84" s="27" t="str">
        <f>'Data 1'!H53</f>
        <v>-</v>
      </c>
      <c r="I84" s="27">
        <f>'Data 1'!I53</f>
        <v>1535.7</v>
      </c>
      <c r="J84" s="27" t="str">
        <f>'Data 1'!J53</f>
        <v>-</v>
      </c>
      <c r="K84" s="27" t="str">
        <f>'Data 1'!K53</f>
        <v>-</v>
      </c>
      <c r="L84" s="27" t="str">
        <f>'Data 1'!L53</f>
        <v>-</v>
      </c>
      <c r="M84" s="27" t="str">
        <f>'Data 1'!M53</f>
        <v>-</v>
      </c>
      <c r="N84" s="27">
        <f>'Data 1'!N53</f>
        <v>90.82</v>
      </c>
      <c r="O84" s="27" t="str">
        <f>'Data 1'!O53</f>
        <v>-</v>
      </c>
      <c r="P84" s="27" t="str">
        <f>'Data 1'!P53</f>
        <v>-</v>
      </c>
      <c r="Q84" s="27" t="str">
        <f>'Data 1'!Q53</f>
        <v>-</v>
      </c>
      <c r="R84" s="27" t="str">
        <f>'Data 1'!R53</f>
        <v>-</v>
      </c>
      <c r="S84" s="27">
        <f>'Data 1'!S53</f>
        <v>76.14</v>
      </c>
      <c r="T84" s="27" t="str">
        <f>'Data 1'!T53</f>
        <v>-</v>
      </c>
      <c r="U84" s="27" t="str">
        <f>'Data 1'!U53</f>
        <v>-</v>
      </c>
      <c r="V84" s="27" t="str">
        <f>'Data 1'!V53</f>
        <v>-</v>
      </c>
      <c r="W84" s="27">
        <f t="shared" si="21"/>
        <v>2447.46</v>
      </c>
      <c r="X84" s="27">
        <f t="shared" si="22"/>
        <v>0</v>
      </c>
      <c r="Y84" s="27">
        <f t="shared" si="23"/>
        <v>2447.46</v>
      </c>
      <c r="Z84" s="416"/>
    </row>
    <row r="85" spans="3:32">
      <c r="C85" s="9" t="s">
        <v>106</v>
      </c>
      <c r="D85" s="27">
        <f>'Data 1'!D54</f>
        <v>5951.72</v>
      </c>
      <c r="E85" s="27">
        <f>'Data 1'!E54</f>
        <v>1869.68</v>
      </c>
      <c r="F85" s="27">
        <f>'Data 1'!F54</f>
        <v>854.17</v>
      </c>
      <c r="G85" s="27">
        <f>'Data 1'!G54</f>
        <v>857.95</v>
      </c>
      <c r="H85" s="27">
        <f>'Data 1'!H54</f>
        <v>2853.54</v>
      </c>
      <c r="I85" s="27">
        <f>'Data 1'!I54</f>
        <v>864.2</v>
      </c>
      <c r="J85" s="27" t="str">
        <f>'Data 1'!J54</f>
        <v>-</v>
      </c>
      <c r="K85" s="27">
        <f>'Data 1'!K54</f>
        <v>758.74</v>
      </c>
      <c r="L85" s="27" t="str">
        <f>'Data 1'!L54</f>
        <v>-</v>
      </c>
      <c r="M85" s="27">
        <f>'Data 1'!M54</f>
        <v>3788.23</v>
      </c>
      <c r="N85" s="27" t="str">
        <f>'Data 1'!N54</f>
        <v>-</v>
      </c>
      <c r="O85" s="27" t="str">
        <f>'Data 1'!O54</f>
        <v>-</v>
      </c>
      <c r="P85" s="27">
        <f>'Data 1'!P54</f>
        <v>1246.98</v>
      </c>
      <c r="Q85" s="27">
        <f>'Data 1'!Q54</f>
        <v>784.7</v>
      </c>
      <c r="R85" s="27" t="str">
        <f>'Data 1'!R54</f>
        <v>-</v>
      </c>
      <c r="S85" s="27" t="str">
        <f>'Data 1'!S54</f>
        <v>-</v>
      </c>
      <c r="T85" s="27">
        <f>'Data 1'!T54</f>
        <v>3263.71</v>
      </c>
      <c r="U85" s="27">
        <f>'Data 1'!U54</f>
        <v>1222.32</v>
      </c>
      <c r="V85" s="27">
        <f>'Data 1'!V54</f>
        <v>1968.07</v>
      </c>
      <c r="W85" s="18">
        <f t="shared" si="21"/>
        <v>26284.010000000002</v>
      </c>
      <c r="X85" s="18">
        <f t="shared" si="22"/>
        <v>24561.86</v>
      </c>
      <c r="Y85" s="18">
        <f t="shared" si="23"/>
        <v>1722.15</v>
      </c>
      <c r="Z85" s="417"/>
    </row>
    <row r="86" spans="3:32">
      <c r="C86" s="9" t="s">
        <v>73</v>
      </c>
      <c r="D86" s="27">
        <f>'Data 1'!D60</f>
        <v>847.56950000000006</v>
      </c>
      <c r="E86" s="27">
        <f>'Data 1'!E60</f>
        <v>478.25900000000001</v>
      </c>
      <c r="F86" s="27">
        <f>'Data 1'!F60</f>
        <v>66.693999999999974</v>
      </c>
      <c r="G86" s="27">
        <f>'Data 1'!G60</f>
        <v>11.523</v>
      </c>
      <c r="H86" s="27">
        <f>'Data 1'!H60</f>
        <v>457.7849999999998</v>
      </c>
      <c r="I86" s="27" t="str">
        <f>'Data 1'!I60</f>
        <v>-</v>
      </c>
      <c r="J86" s="27">
        <f>'Data 1'!J60</f>
        <v>285.18950000000001</v>
      </c>
      <c r="K86" s="27">
        <f>'Data 1'!K60</f>
        <v>349.97199999999998</v>
      </c>
      <c r="L86" s="27">
        <f>'Data 1'!L60</f>
        <v>592.50900000000001</v>
      </c>
      <c r="M86" s="27">
        <f>'Data 1'!M60</f>
        <v>975.9030000000007</v>
      </c>
      <c r="N86" s="27" t="str">
        <f>'Data 1'!N60</f>
        <v>-</v>
      </c>
      <c r="O86" s="27">
        <f>'Data 1'!O60</f>
        <v>18.077000000000002</v>
      </c>
      <c r="P86" s="27">
        <f>'Data 1'!P60</f>
        <v>483.65059999999994</v>
      </c>
      <c r="Q86" s="27">
        <f>'Data 1'!Q60</f>
        <v>22.917000000000005</v>
      </c>
      <c r="R86" s="27">
        <f>'Data 1'!R60</f>
        <v>211.02189999999996</v>
      </c>
      <c r="S86" s="27" t="str">
        <f>'Data 1'!S60</f>
        <v>-</v>
      </c>
      <c r="T86" s="27">
        <f>'Data 1'!T60</f>
        <v>308.14199999999994</v>
      </c>
      <c r="U86" s="27">
        <f>'Data 1'!U60</f>
        <v>142.25549999999993</v>
      </c>
      <c r="V86" s="27">
        <f>'Data 1'!V60</f>
        <v>398.93749999999977</v>
      </c>
      <c r="W86" s="18">
        <f t="shared" si="21"/>
        <v>5650.4055000000008</v>
      </c>
      <c r="X86" s="18">
        <f t="shared" si="22"/>
        <v>5638.8825000000015</v>
      </c>
      <c r="Y86" s="18">
        <f t="shared" si="23"/>
        <v>11.523</v>
      </c>
      <c r="Z86" s="417"/>
    </row>
    <row r="87" spans="3:32">
      <c r="C87" s="10" t="s">
        <v>90</v>
      </c>
      <c r="D87" s="27">
        <f>'Data 1'!D61</f>
        <v>83.540999999999997</v>
      </c>
      <c r="E87" s="27">
        <f>'Data 1'!E61</f>
        <v>49.9</v>
      </c>
      <c r="F87" s="27">
        <f>'Data 1'!F61</f>
        <v>74.387</v>
      </c>
      <c r="G87" s="27">
        <f>'Data 1'!G61</f>
        <v>37.400000000000006</v>
      </c>
      <c r="H87" s="27">
        <f>'Data 1'!H61</f>
        <v>63.087999999999994</v>
      </c>
      <c r="I87" s="27" t="str">
        <f>'Data 1'!I61</f>
        <v>-</v>
      </c>
      <c r="J87" s="27">
        <f>'Data 1'!J61</f>
        <v>4.9669999999999996</v>
      </c>
      <c r="K87" s="27">
        <f>'Data 1'!K61</f>
        <v>0.68</v>
      </c>
      <c r="L87" s="27" t="str">
        <f>'Data 1'!L61</f>
        <v>-</v>
      </c>
      <c r="M87" s="27">
        <f>'Data 1'!M61</f>
        <v>32.374500000000005</v>
      </c>
      <c r="N87" s="27" t="str">
        <f>'Data 1'!N61</f>
        <v>-</v>
      </c>
      <c r="O87" s="27" t="str">
        <f>'Data 1'!O61</f>
        <v>-</v>
      </c>
      <c r="P87" s="27">
        <f>'Data 1'!P61</f>
        <v>40.68</v>
      </c>
      <c r="Q87" s="27" t="str">
        <f>'Data 1'!Q61</f>
        <v>-</v>
      </c>
      <c r="R87" s="27">
        <f>'Data 1'!R61</f>
        <v>14.9</v>
      </c>
      <c r="S87" s="27">
        <f>'Data 1'!S61</f>
        <v>1.0840000000000001</v>
      </c>
      <c r="T87" s="27">
        <f>'Data 1'!T61</f>
        <v>9.68</v>
      </c>
      <c r="U87" s="27" t="str">
        <f>'Data 1'!U61</f>
        <v>-</v>
      </c>
      <c r="V87" s="27">
        <f>'Data 1'!V61</f>
        <v>73.975999999999999</v>
      </c>
      <c r="W87" s="18">
        <f t="shared" si="21"/>
        <v>486.65750000000003</v>
      </c>
      <c r="X87" s="18">
        <f t="shared" si="22"/>
        <v>448.17349999999999</v>
      </c>
      <c r="Y87" s="18">
        <f t="shared" si="23"/>
        <v>38.484000000000009</v>
      </c>
      <c r="Z87" s="417"/>
    </row>
    <row r="88" spans="3:32">
      <c r="C88" s="30" t="s">
        <v>347</v>
      </c>
      <c r="D88" s="31">
        <f t="shared" ref="D88:V88" si="29">SUM(D81:D87)</f>
        <v>9455.1104999999989</v>
      </c>
      <c r="E88" s="31">
        <f t="shared" si="29"/>
        <v>3672.7490000000003</v>
      </c>
      <c r="F88" s="31">
        <f t="shared" si="29"/>
        <v>3094.6860000000001</v>
      </c>
      <c r="G88" s="31">
        <f t="shared" si="29"/>
        <v>2120.0729999999999</v>
      </c>
      <c r="H88" s="31">
        <f t="shared" si="29"/>
        <v>5950.3029999999999</v>
      </c>
      <c r="I88" s="31">
        <f t="shared" si="29"/>
        <v>2399.9</v>
      </c>
      <c r="J88" s="31">
        <f t="shared" si="29"/>
        <v>650.75650000000007</v>
      </c>
      <c r="K88" s="31">
        <f t="shared" si="29"/>
        <v>2327.8019999999997</v>
      </c>
      <c r="L88" s="31">
        <f t="shared" si="29"/>
        <v>2702.5589999999997</v>
      </c>
      <c r="M88" s="31">
        <f t="shared" si="29"/>
        <v>8268.6375000000007</v>
      </c>
      <c r="N88" s="31">
        <f t="shared" si="29"/>
        <v>90.82</v>
      </c>
      <c r="O88" s="31">
        <f t="shared" si="29"/>
        <v>2035.2070000000001</v>
      </c>
      <c r="P88" s="31">
        <f t="shared" si="29"/>
        <v>3731.7005999999997</v>
      </c>
      <c r="Q88" s="31">
        <f t="shared" si="29"/>
        <v>807.61700000000008</v>
      </c>
      <c r="R88" s="31">
        <f t="shared" si="29"/>
        <v>225.92189999999997</v>
      </c>
      <c r="S88" s="31">
        <f t="shared" si="29"/>
        <v>77.224000000000004</v>
      </c>
      <c r="T88" s="31">
        <f t="shared" si="29"/>
        <v>3581.5319999999997</v>
      </c>
      <c r="U88" s="31">
        <f t="shared" si="29"/>
        <v>1364.5754999999999</v>
      </c>
      <c r="V88" s="31">
        <f t="shared" si="29"/>
        <v>2440.9834999999998</v>
      </c>
      <c r="W88" s="31">
        <f t="shared" ref="W88:Y88" si="30">SUM(W81:W87)</f>
        <v>54998.158000000003</v>
      </c>
      <c r="X88" s="31">
        <f t="shared" si="30"/>
        <v>50310.140999999996</v>
      </c>
      <c r="Y88" s="31">
        <f t="shared" si="30"/>
        <v>4688.0170000000007</v>
      </c>
      <c r="Z88" s="417"/>
    </row>
    <row r="89" spans="3:32">
      <c r="C89" s="30" t="s">
        <v>32</v>
      </c>
      <c r="D89" s="32">
        <f t="shared" ref="D89:V89" si="31">SUM(D80,D88)</f>
        <v>16589.480839000054</v>
      </c>
      <c r="E89" s="32">
        <f t="shared" si="31"/>
        <v>9245.2685900000015</v>
      </c>
      <c r="F89" s="32">
        <f t="shared" si="31"/>
        <v>4509.5442849999999</v>
      </c>
      <c r="G89" s="32">
        <f t="shared" si="31"/>
        <v>2244.4944949999999</v>
      </c>
      <c r="H89" s="32">
        <f t="shared" si="31"/>
        <v>8222.7681149999953</v>
      </c>
      <c r="I89" s="32">
        <f t="shared" si="31"/>
        <v>3014.4281449999999</v>
      </c>
      <c r="J89" s="32">
        <f t="shared" si="31"/>
        <v>804.98105500000008</v>
      </c>
      <c r="K89" s="32">
        <f t="shared" si="31"/>
        <v>9026.597870000076</v>
      </c>
      <c r="L89" s="32">
        <f t="shared" si="31"/>
        <v>14082.338315000005</v>
      </c>
      <c r="M89" s="32">
        <f t="shared" si="31"/>
        <v>11851.117549999999</v>
      </c>
      <c r="N89" s="32">
        <f t="shared" si="31"/>
        <v>90.82</v>
      </c>
      <c r="O89" s="32">
        <f t="shared" si="31"/>
        <v>6484.3040640000108</v>
      </c>
      <c r="P89" s="32">
        <f t="shared" si="31"/>
        <v>11415.943395</v>
      </c>
      <c r="Q89" s="32">
        <f t="shared" si="31"/>
        <v>1408.6725199999996</v>
      </c>
      <c r="R89" s="32">
        <f t="shared" si="31"/>
        <v>457.89318599999996</v>
      </c>
      <c r="S89" s="32">
        <f t="shared" si="31"/>
        <v>78.367699999999999</v>
      </c>
      <c r="T89" s="32">
        <f t="shared" si="31"/>
        <v>5038.9568609999897</v>
      </c>
      <c r="U89" s="32">
        <f t="shared" si="31"/>
        <v>2933.5281099999966</v>
      </c>
      <c r="V89" s="32">
        <f t="shared" si="31"/>
        <v>2923.5952149999998</v>
      </c>
      <c r="W89" s="32">
        <f t="shared" ref="W89:Y89" si="32">SUM(W80,W88)</f>
        <v>110423.10031000013</v>
      </c>
      <c r="X89" s="32">
        <f t="shared" si="32"/>
        <v>104994.98997000014</v>
      </c>
      <c r="Y89" s="32">
        <f t="shared" si="32"/>
        <v>5428.1103400000002</v>
      </c>
      <c r="Z89" s="419"/>
    </row>
    <row r="90" spans="3:32"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20"/>
      <c r="X90" s="20"/>
      <c r="Y90" s="20"/>
    </row>
    <row r="91" spans="3:32">
      <c r="C91" s="22" t="s">
        <v>370</v>
      </c>
      <c r="D91" s="479"/>
      <c r="E91" s="479"/>
      <c r="F91" s="479"/>
      <c r="G91" s="479"/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  <c r="T91" s="479"/>
      <c r="U91" s="479"/>
      <c r="V91" s="479"/>
      <c r="W91" s="38"/>
      <c r="X91" s="38"/>
      <c r="Y91" s="38"/>
    </row>
    <row r="92" spans="3:32" ht="81.75">
      <c r="C92" s="23"/>
      <c r="D92" s="24" t="s">
        <v>87</v>
      </c>
      <c r="E92" s="24" t="s">
        <v>71</v>
      </c>
      <c r="F92" s="24" t="s">
        <v>74</v>
      </c>
      <c r="G92" s="24" t="s">
        <v>37</v>
      </c>
      <c r="H92" s="24" t="s">
        <v>81</v>
      </c>
      <c r="I92" s="24" t="s">
        <v>38</v>
      </c>
      <c r="J92" s="24" t="s">
        <v>88</v>
      </c>
      <c r="K92" s="24" t="s">
        <v>83</v>
      </c>
      <c r="L92" s="24" t="s">
        <v>80</v>
      </c>
      <c r="M92" s="24" t="s">
        <v>65</v>
      </c>
      <c r="N92" s="24" t="s">
        <v>42</v>
      </c>
      <c r="O92" s="24" t="s">
        <v>92</v>
      </c>
      <c r="P92" s="24" t="s">
        <v>93</v>
      </c>
      <c r="Q92" s="24" t="s">
        <v>94</v>
      </c>
      <c r="R92" s="24" t="s">
        <v>82</v>
      </c>
      <c r="S92" s="24" t="s">
        <v>39</v>
      </c>
      <c r="T92" s="24" t="s">
        <v>95</v>
      </c>
      <c r="U92" s="24" t="s">
        <v>96</v>
      </c>
      <c r="V92" s="24" t="s">
        <v>70</v>
      </c>
      <c r="W92" s="25" t="s">
        <v>41</v>
      </c>
      <c r="X92" s="25" t="s">
        <v>99</v>
      </c>
      <c r="Y92" s="25" t="s">
        <v>100</v>
      </c>
      <c r="Z92" s="476" t="s">
        <v>41</v>
      </c>
      <c r="AA92" s="26" t="s">
        <v>99</v>
      </c>
      <c r="AB92" s="26" t="s">
        <v>100</v>
      </c>
      <c r="AC92" s="26"/>
      <c r="AD92" s="476"/>
      <c r="AE92" s="26"/>
      <c r="AF92" s="26"/>
    </row>
    <row r="93" spans="3:32">
      <c r="C93" s="9" t="s">
        <v>26</v>
      </c>
      <c r="D93" s="27">
        <f>'Data 1'!D67</f>
        <v>621.678</v>
      </c>
      <c r="E93" s="27">
        <f>'Data 1'!E67</f>
        <v>1333.8544999999999</v>
      </c>
      <c r="F93" s="27">
        <f>'Data 1'!F67</f>
        <v>804.75179999999989</v>
      </c>
      <c r="G93" s="27" t="str">
        <f>'Data 1'!G67</f>
        <v>-</v>
      </c>
      <c r="H93" s="27">
        <f>'Data 1'!H67</f>
        <v>639.78399999999988</v>
      </c>
      <c r="I93" s="27">
        <f>'Data 1'!I67</f>
        <v>2.02</v>
      </c>
      <c r="J93" s="27">
        <f>'Data 1'!J67</f>
        <v>98.912000000000006</v>
      </c>
      <c r="K93" s="27">
        <f>'Data 1'!K67</f>
        <v>650.24199999999996</v>
      </c>
      <c r="L93" s="27">
        <f>'Data 1'!L67</f>
        <v>4399.3154999999997</v>
      </c>
      <c r="M93" s="27">
        <f>'Data 1'!M67</f>
        <v>1913.2828</v>
      </c>
      <c r="N93" s="27" t="str">
        <f>'Data 1'!N67</f>
        <v>-</v>
      </c>
      <c r="O93" s="27">
        <f>'Data 1'!O67</f>
        <v>2277.8123000000001</v>
      </c>
      <c r="P93" s="27">
        <f>'Data 1'!P67</f>
        <v>3720.2476900000001</v>
      </c>
      <c r="Q93" s="27">
        <f>'Data 1'!Q67</f>
        <v>52.205539999999999</v>
      </c>
      <c r="R93" s="27">
        <f>'Data 1'!R67</f>
        <v>108.51659999999998</v>
      </c>
      <c r="S93" s="27" t="str">
        <f>'Data 1'!S67</f>
        <v>-</v>
      </c>
      <c r="T93" s="27">
        <f>'Data 1'!T67</f>
        <v>33.592999999999996</v>
      </c>
      <c r="U93" s="27">
        <f>'Data 1'!U67</f>
        <v>254.77500000000001</v>
      </c>
      <c r="V93" s="27">
        <f>'Data 1'!V67</f>
        <v>173.7765</v>
      </c>
      <c r="W93" s="27">
        <f t="shared" ref="W93:W107" si="33">SUM(D93:V93)</f>
        <v>17084.767229999998</v>
      </c>
      <c r="X93" s="27">
        <f t="shared" ref="X93:X107" si="34">SUM(D93:F93,H93,J93:M93,O93:R93,T93:V93)</f>
        <v>17082.747230000001</v>
      </c>
      <c r="Y93" s="27">
        <f t="shared" ref="Y93:Y107" si="35">SUM(G93,I93,N93,S93)</f>
        <v>2.02</v>
      </c>
      <c r="Z93" s="506">
        <f>W93-W73</f>
        <v>-0.10499999999956344</v>
      </c>
      <c r="AA93" s="506">
        <f t="shared" ref="AA93:AB108" si="36">X93-X73</f>
        <v>-0.10499999999956344</v>
      </c>
      <c r="AB93" s="506">
        <f t="shared" si="36"/>
        <v>0</v>
      </c>
      <c r="AC93" s="41"/>
      <c r="AF93" s="19"/>
    </row>
    <row r="94" spans="3:32">
      <c r="C94" s="9" t="s">
        <v>68</v>
      </c>
      <c r="D94" s="27" t="str">
        <f>'Data 1'!D73</f>
        <v>-</v>
      </c>
      <c r="E94" s="27" t="str">
        <f>'Data 1'!E73</f>
        <v>-</v>
      </c>
      <c r="F94" s="27" t="str">
        <f>'Data 1'!F73</f>
        <v>-</v>
      </c>
      <c r="G94" s="27" t="str">
        <f>'Data 1'!G73</f>
        <v>-</v>
      </c>
      <c r="H94" s="27" t="str">
        <f>'Data 1'!H73</f>
        <v>-</v>
      </c>
      <c r="I94" s="27">
        <f>'Data 1'!I73</f>
        <v>11.39</v>
      </c>
      <c r="J94" s="27" t="str">
        <f>'Data 1'!J73</f>
        <v>-</v>
      </c>
      <c r="K94" s="27" t="str">
        <f>'Data 1'!K73</f>
        <v>-</v>
      </c>
      <c r="L94" s="27" t="str">
        <f>'Data 1'!L73</f>
        <v>-</v>
      </c>
      <c r="M94" s="27" t="str">
        <f>'Data 1'!M73</f>
        <v>-</v>
      </c>
      <c r="N94" s="27" t="str">
        <f>'Data 1'!N73</f>
        <v>-</v>
      </c>
      <c r="O94" s="27" t="str">
        <f>'Data 1'!O73</f>
        <v>-</v>
      </c>
      <c r="P94" s="27" t="str">
        <f>'Data 1'!P73</f>
        <v>-</v>
      </c>
      <c r="Q94" s="27" t="str">
        <f>'Data 1'!Q73</f>
        <v>-</v>
      </c>
      <c r="R94" s="27" t="str">
        <f>'Data 1'!R73</f>
        <v>-</v>
      </c>
      <c r="S94" s="27" t="str">
        <f>'Data 1'!S73</f>
        <v>-</v>
      </c>
      <c r="T94" s="27" t="str">
        <f>'Data 1'!T73</f>
        <v>-</v>
      </c>
      <c r="U94" s="27" t="str">
        <f>'Data 1'!U73</f>
        <v>-</v>
      </c>
      <c r="V94" s="27" t="str">
        <f>'Data 1'!V73</f>
        <v>-</v>
      </c>
      <c r="W94" s="27">
        <f t="shared" ref="W94:W99" si="37">SUM(D94:V94)</f>
        <v>11.39</v>
      </c>
      <c r="X94" s="27">
        <f t="shared" ref="X94:X99" si="38">SUM(D94:F94,H94,J94:M94,O94:R94,T94:V94)</f>
        <v>0</v>
      </c>
      <c r="Y94" s="27">
        <f t="shared" ref="Y94:Y99" si="39">SUM(G94,I94,N94,S94)</f>
        <v>11.39</v>
      </c>
      <c r="Z94" s="506">
        <f t="shared" ref="Z94:Z109" si="40">W94-W74</f>
        <v>0</v>
      </c>
      <c r="AA94" s="506">
        <f t="shared" si="36"/>
        <v>0</v>
      </c>
      <c r="AB94" s="506">
        <f t="shared" si="36"/>
        <v>0</v>
      </c>
      <c r="AC94" s="41"/>
      <c r="AF94" s="19"/>
    </row>
    <row r="95" spans="3:32">
      <c r="C95" s="9" t="s">
        <v>50</v>
      </c>
      <c r="D95" s="27">
        <f>'Data 1'!D74</f>
        <v>3474.5305000000003</v>
      </c>
      <c r="E95" s="27">
        <f>'Data 1'!E74</f>
        <v>4074.7140000000018</v>
      </c>
      <c r="F95" s="27">
        <f>'Data 1'!F74</f>
        <v>519.45000000000005</v>
      </c>
      <c r="G95" s="27">
        <f>'Data 1'!G74</f>
        <v>3.6374999999999909</v>
      </c>
      <c r="H95" s="27">
        <f>'Data 1'!H74</f>
        <v>1255.0299999999997</v>
      </c>
      <c r="I95" s="27">
        <f>'Data 1'!I74</f>
        <v>444.71500000000003</v>
      </c>
      <c r="J95" s="27">
        <f>'Data 1'!J74</f>
        <v>35.307000000000002</v>
      </c>
      <c r="K95" s="27">
        <f>'Data 1'!K74</f>
        <v>3877.5241999999985</v>
      </c>
      <c r="L95" s="27">
        <f>'Data 1'!L74</f>
        <v>6267.5170000000026</v>
      </c>
      <c r="M95" s="27">
        <f>'Data 1'!M74</f>
        <v>1271.1599999999999</v>
      </c>
      <c r="N95" s="27" t="str">
        <f>'Data 1'!N74</f>
        <v>-</v>
      </c>
      <c r="O95" s="27">
        <f>'Data 1'!O74</f>
        <v>39.375</v>
      </c>
      <c r="P95" s="27">
        <f>'Data 1'!P74</f>
        <v>3828.6600000000008</v>
      </c>
      <c r="Q95" s="27">
        <f>'Data 1'!Q74</f>
        <v>448.12</v>
      </c>
      <c r="R95" s="27" t="str">
        <f>'Data 1'!R74</f>
        <v>-</v>
      </c>
      <c r="S95" s="27" t="str">
        <f>'Data 1'!S74</f>
        <v>-</v>
      </c>
      <c r="T95" s="27">
        <f>'Data 1'!T74</f>
        <v>262.77</v>
      </c>
      <c r="U95" s="27">
        <f>'Data 1'!U74</f>
        <v>1302.2920000000001</v>
      </c>
      <c r="V95" s="27">
        <f>'Data 1'!V74</f>
        <v>154.28380000000001</v>
      </c>
      <c r="W95" s="18">
        <f t="shared" si="37"/>
        <v>27259.086000000003</v>
      </c>
      <c r="X95" s="18">
        <f t="shared" si="38"/>
        <v>26810.733500000006</v>
      </c>
      <c r="Y95" s="18">
        <f t="shared" si="39"/>
        <v>448.35250000000002</v>
      </c>
      <c r="Z95" s="506">
        <f t="shared" si="40"/>
        <v>1383.1865000000034</v>
      </c>
      <c r="AA95" s="506">
        <f t="shared" si="36"/>
        <v>1368.7865000000056</v>
      </c>
      <c r="AB95" s="506">
        <f t="shared" si="36"/>
        <v>14.400000000000034</v>
      </c>
      <c r="AC95" s="41"/>
      <c r="AF95" s="19"/>
    </row>
    <row r="96" spans="3:32">
      <c r="C96" s="9" t="s">
        <v>51</v>
      </c>
      <c r="D96" s="27">
        <f>'Data 1'!D75</f>
        <v>2546.8783290000547</v>
      </c>
      <c r="E96" s="27">
        <f>'Data 1'!E75</f>
        <v>1114.8382499999998</v>
      </c>
      <c r="F96" s="27">
        <f>'Data 1'!F75</f>
        <v>0.80448500000000034</v>
      </c>
      <c r="G96" s="27">
        <f>'Data 1'!G75</f>
        <v>103.32712499999984</v>
      </c>
      <c r="H96" s="27">
        <f>'Data 1'!H75</f>
        <v>364.31811499999554</v>
      </c>
      <c r="I96" s="27">
        <f>'Data 1'!I75</f>
        <v>167.10714499999966</v>
      </c>
      <c r="J96" s="27">
        <f>'Data 1'!J75</f>
        <v>2.1538149999999985</v>
      </c>
      <c r="K96" s="27">
        <f>'Data 1'!K75</f>
        <v>1947.4046900000781</v>
      </c>
      <c r="L96" s="27">
        <f>'Data 1'!L75</f>
        <v>839.84976500000334</v>
      </c>
      <c r="M96" s="27">
        <f>'Data 1'!M75</f>
        <v>278.31573999999921</v>
      </c>
      <c r="N96" s="27" t="str">
        <f>'Data 1'!N75</f>
        <v>-</v>
      </c>
      <c r="O96" s="27">
        <f>'Data 1'!O75</f>
        <v>2567.8652190000107</v>
      </c>
      <c r="P96" s="27">
        <f>'Data 1'!P75</f>
        <v>18.072594999999982</v>
      </c>
      <c r="Q96" s="27">
        <f>'Data 1'!Q75</f>
        <v>98.800779999999762</v>
      </c>
      <c r="R96" s="27">
        <f>'Data 1'!R75</f>
        <v>63.441562000000005</v>
      </c>
      <c r="S96" s="27">
        <f>'Data 1'!S75</f>
        <v>5.9700000000000003E-2</v>
      </c>
      <c r="T96" s="27">
        <f>'Data 1'!T75</f>
        <v>1220.7897809999895</v>
      </c>
      <c r="U96" s="27">
        <f>'Data 1'!U75</f>
        <v>162.94732999999644</v>
      </c>
      <c r="V96" s="27">
        <f>'Data 1'!V75</f>
        <v>50.197910000000121</v>
      </c>
      <c r="W96" s="18">
        <f t="shared" si="37"/>
        <v>11547.172336000127</v>
      </c>
      <c r="X96" s="18">
        <f t="shared" si="38"/>
        <v>11276.678366000127</v>
      </c>
      <c r="Y96" s="18">
        <f t="shared" si="39"/>
        <v>270.49396999999954</v>
      </c>
      <c r="Z96" s="506">
        <f t="shared" si="40"/>
        <v>2633.3182560000005</v>
      </c>
      <c r="AA96" s="506">
        <f t="shared" si="36"/>
        <v>2611.2451259999998</v>
      </c>
      <c r="AB96" s="506">
        <f t="shared" si="36"/>
        <v>22.07313000000002</v>
      </c>
      <c r="AC96" s="41"/>
      <c r="AF96" s="19"/>
    </row>
    <row r="97" spans="3:32">
      <c r="C97" s="9" t="s">
        <v>66</v>
      </c>
      <c r="D97" s="27">
        <f>'Data 1'!D76</f>
        <v>1000.0229999999998</v>
      </c>
      <c r="E97" s="27" t="str">
        <f>'Data 1'!E76</f>
        <v>-</v>
      </c>
      <c r="F97" s="27" t="str">
        <f>'Data 1'!F76</f>
        <v>-</v>
      </c>
      <c r="G97" s="27" t="str">
        <f>'Data 1'!G76</f>
        <v>-</v>
      </c>
      <c r="H97" s="27">
        <f>'Data 1'!H76</f>
        <v>49.9</v>
      </c>
      <c r="I97" s="27" t="str">
        <f>'Data 1'!I76</f>
        <v>-</v>
      </c>
      <c r="J97" s="27" t="str">
        <f>'Data 1'!J76</f>
        <v>-</v>
      </c>
      <c r="K97" s="27">
        <f>'Data 1'!K76</f>
        <v>349.4</v>
      </c>
      <c r="L97" s="27" t="str">
        <f>'Data 1'!L76</f>
        <v>-</v>
      </c>
      <c r="M97" s="27">
        <f>'Data 1'!M76</f>
        <v>24.29</v>
      </c>
      <c r="N97" s="27" t="str">
        <f>'Data 1'!N76</f>
        <v>-</v>
      </c>
      <c r="O97" s="27">
        <f>'Data 1'!O76</f>
        <v>848.99999999999989</v>
      </c>
      <c r="P97" s="27" t="str">
        <f>'Data 1'!P76</f>
        <v>-</v>
      </c>
      <c r="Q97" s="27" t="str">
        <f>'Data 1'!Q76</f>
        <v>-</v>
      </c>
      <c r="R97" s="27" t="str">
        <f>'Data 1'!R76</f>
        <v>-</v>
      </c>
      <c r="S97" s="27" t="str">
        <f>'Data 1'!S76</f>
        <v>-</v>
      </c>
      <c r="T97" s="27">
        <f>'Data 1'!T76</f>
        <v>31.4</v>
      </c>
      <c r="U97" s="27" t="str">
        <f>'Data 1'!U76</f>
        <v>-</v>
      </c>
      <c r="V97" s="27" t="str">
        <f>'Data 1'!V76</f>
        <v>-</v>
      </c>
      <c r="W97" s="18">
        <f t="shared" si="37"/>
        <v>2304.0129999999999</v>
      </c>
      <c r="X97" s="18">
        <f t="shared" si="38"/>
        <v>2304.0129999999999</v>
      </c>
      <c r="Y97" s="18">
        <f t="shared" si="39"/>
        <v>0</v>
      </c>
      <c r="Z97" s="506">
        <f t="shared" si="40"/>
        <v>0</v>
      </c>
      <c r="AA97" s="506">
        <f t="shared" si="36"/>
        <v>0</v>
      </c>
      <c r="AB97" s="506">
        <f t="shared" si="36"/>
        <v>0</v>
      </c>
      <c r="AC97" s="41"/>
      <c r="AF97" s="19"/>
    </row>
    <row r="98" spans="3:32">
      <c r="C98" s="9" t="s">
        <v>75</v>
      </c>
      <c r="D98" s="27">
        <f>'Data 1'!D77</f>
        <v>277.92200000000003</v>
      </c>
      <c r="E98" s="27">
        <f>'Data 1'!E77</f>
        <v>42.335000000000001</v>
      </c>
      <c r="F98" s="27">
        <f>'Data 1'!F77</f>
        <v>90.860000000000014</v>
      </c>
      <c r="G98" s="27">
        <f>'Data 1'!G77</f>
        <v>2.13</v>
      </c>
      <c r="H98" s="27">
        <f>'Data 1'!H77</f>
        <v>13.222999999999999</v>
      </c>
      <c r="I98" s="27">
        <f>'Data 1'!I77</f>
        <v>3.6960000000000002</v>
      </c>
      <c r="J98" s="27">
        <f>'Data 1'!J77</f>
        <v>12.862</v>
      </c>
      <c r="K98" s="27">
        <f>'Data 1'!K77</f>
        <v>140.40300000000002</v>
      </c>
      <c r="L98" s="27">
        <f>'Data 1'!L77</f>
        <v>96.394999999999996</v>
      </c>
      <c r="M98" s="27">
        <f>'Data 1'!M77</f>
        <v>73.095999999999989</v>
      </c>
      <c r="N98" s="27" t="str">
        <f>'Data 1'!N77</f>
        <v>-</v>
      </c>
      <c r="O98" s="27">
        <f>'Data 1'!O77</f>
        <v>35.799999999999997</v>
      </c>
      <c r="P98" s="27">
        <f>'Data 1'!P77</f>
        <v>115.73400000000001</v>
      </c>
      <c r="Q98" s="27">
        <f>'Data 1'!Q77</f>
        <v>3.6269999999999998</v>
      </c>
      <c r="R98" s="27">
        <f>'Data 1'!R77</f>
        <v>45.084000000000003</v>
      </c>
      <c r="S98" s="27" t="str">
        <f>'Data 1'!S77</f>
        <v>-</v>
      </c>
      <c r="T98" s="27">
        <f>'Data 1'!T77</f>
        <v>15.536999999999999</v>
      </c>
      <c r="U98" s="27">
        <f>'Data 1'!U77</f>
        <v>52.111000000000004</v>
      </c>
      <c r="V98" s="27">
        <f>'Data 1'!V77</f>
        <v>55.604999999999997</v>
      </c>
      <c r="W98" s="18">
        <f t="shared" si="37"/>
        <v>1076.4199999999998</v>
      </c>
      <c r="X98" s="18">
        <f t="shared" si="38"/>
        <v>1070.5939999999998</v>
      </c>
      <c r="Y98" s="18">
        <f t="shared" si="39"/>
        <v>5.8260000000000005</v>
      </c>
      <c r="Z98" s="506">
        <f t="shared" si="40"/>
        <v>-1.1720000000000255</v>
      </c>
      <c r="AA98" s="506">
        <f t="shared" si="36"/>
        <v>-1.1720000000000255</v>
      </c>
      <c r="AB98" s="506">
        <f t="shared" si="36"/>
        <v>0</v>
      </c>
      <c r="AC98" s="41"/>
      <c r="AF98" s="19"/>
    </row>
    <row r="99" spans="3:32">
      <c r="C99" s="10" t="s">
        <v>91</v>
      </c>
      <c r="D99" s="27" t="str">
        <f>'Data 1'!D80</f>
        <v>-</v>
      </c>
      <c r="E99" s="27" t="str">
        <f>'Data 1'!E80</f>
        <v>-</v>
      </c>
      <c r="F99" s="27" t="str">
        <f>'Data 1'!F80</f>
        <v>-</v>
      </c>
      <c r="G99" s="27">
        <f>'Data 1'!G80</f>
        <v>37.400000000000006</v>
      </c>
      <c r="H99" s="27" t="str">
        <f>'Data 1'!H80</f>
        <v>-</v>
      </c>
      <c r="I99" s="27" t="str">
        <f>'Data 1'!I80</f>
        <v>-</v>
      </c>
      <c r="J99" s="27">
        <f>'Data 1'!J80</f>
        <v>4.9669999999999996</v>
      </c>
      <c r="K99" s="27" t="str">
        <f>'Data 1'!K80</f>
        <v>-</v>
      </c>
      <c r="L99" s="27" t="str">
        <f>'Data 1'!L80</f>
        <v>-</v>
      </c>
      <c r="M99" s="27">
        <f>'Data 1'!M80</f>
        <v>27.174500000000002</v>
      </c>
      <c r="N99" s="27" t="str">
        <f>'Data 1'!N80</f>
        <v>-</v>
      </c>
      <c r="O99" s="27" t="str">
        <f>'Data 1'!O80</f>
        <v>-</v>
      </c>
      <c r="P99" s="27">
        <f>'Data 1'!P80</f>
        <v>25</v>
      </c>
      <c r="Q99" s="27" t="str">
        <f>'Data 1'!Q80</f>
        <v>-</v>
      </c>
      <c r="R99" s="27">
        <f>'Data 1'!R80</f>
        <v>14.9</v>
      </c>
      <c r="S99" s="27">
        <f>'Data 1'!S80</f>
        <v>1.0840000000000001</v>
      </c>
      <c r="T99" s="27" t="str">
        <f>'Data 1'!T80</f>
        <v>-</v>
      </c>
      <c r="U99" s="27" t="str">
        <f>'Data 1'!U80</f>
        <v>-</v>
      </c>
      <c r="V99" s="27">
        <f>'Data 1'!V80</f>
        <v>46.795999999999999</v>
      </c>
      <c r="W99" s="27">
        <f t="shared" si="37"/>
        <v>157.32150000000001</v>
      </c>
      <c r="X99" s="27">
        <f t="shared" si="38"/>
        <v>118.83750000000001</v>
      </c>
      <c r="Y99" s="27">
        <f t="shared" si="39"/>
        <v>38.484000000000009</v>
      </c>
      <c r="Z99" s="506">
        <f t="shared" si="40"/>
        <v>0</v>
      </c>
      <c r="AA99" s="506">
        <f t="shared" si="36"/>
        <v>0</v>
      </c>
      <c r="AB99" s="506">
        <f t="shared" si="36"/>
        <v>0</v>
      </c>
      <c r="AC99" s="41"/>
      <c r="AF99" s="19"/>
    </row>
    <row r="100" spans="3:32">
      <c r="C100" s="30" t="s">
        <v>346</v>
      </c>
      <c r="D100" s="31">
        <f t="shared" ref="D100:V100" si="41">SUM(D93:D99)</f>
        <v>7921.031829000056</v>
      </c>
      <c r="E100" s="31">
        <f t="shared" si="41"/>
        <v>6565.741750000001</v>
      </c>
      <c r="F100" s="31">
        <f t="shared" si="41"/>
        <v>1415.8662850000001</v>
      </c>
      <c r="G100" s="31">
        <f t="shared" si="41"/>
        <v>146.49462499999981</v>
      </c>
      <c r="H100" s="31">
        <f t="shared" si="41"/>
        <v>2322.2551149999954</v>
      </c>
      <c r="I100" s="31">
        <f t="shared" si="41"/>
        <v>628.92814499999974</v>
      </c>
      <c r="J100" s="31">
        <f t="shared" si="41"/>
        <v>154.20181500000001</v>
      </c>
      <c r="K100" s="31">
        <f t="shared" si="41"/>
        <v>6964.9738900000757</v>
      </c>
      <c r="L100" s="31">
        <f t="shared" si="41"/>
        <v>11603.077265000005</v>
      </c>
      <c r="M100" s="31">
        <f t="shared" si="41"/>
        <v>3587.3190399999989</v>
      </c>
      <c r="N100" s="31">
        <f t="shared" si="41"/>
        <v>0</v>
      </c>
      <c r="O100" s="31">
        <f t="shared" si="41"/>
        <v>5769.8525190000109</v>
      </c>
      <c r="P100" s="31">
        <f t="shared" si="41"/>
        <v>7707.7142850000009</v>
      </c>
      <c r="Q100" s="31">
        <f t="shared" si="41"/>
        <v>602.75331999999969</v>
      </c>
      <c r="R100" s="31">
        <f t="shared" si="41"/>
        <v>231.942162</v>
      </c>
      <c r="S100" s="31">
        <f t="shared" si="41"/>
        <v>1.1437000000000002</v>
      </c>
      <c r="T100" s="31">
        <f t="shared" si="41"/>
        <v>1564.0897809999897</v>
      </c>
      <c r="U100" s="31">
        <f t="shared" si="41"/>
        <v>1772.1253299999969</v>
      </c>
      <c r="V100" s="31">
        <f t="shared" si="41"/>
        <v>480.65921000000009</v>
      </c>
      <c r="W100" s="31">
        <f t="shared" ref="W100:Y100" si="42">SUM(W93:W99)</f>
        <v>59440.170066000122</v>
      </c>
      <c r="X100" s="31">
        <f t="shared" si="42"/>
        <v>58663.603596000132</v>
      </c>
      <c r="Y100" s="31">
        <f t="shared" si="42"/>
        <v>776.56646999999964</v>
      </c>
      <c r="Z100" s="506">
        <f t="shared" si="40"/>
        <v>4015.2277560000075</v>
      </c>
      <c r="AA100" s="506">
        <f t="shared" si="36"/>
        <v>3978.7546259999945</v>
      </c>
      <c r="AB100" s="506">
        <f t="shared" si="36"/>
        <v>36.473130000000083</v>
      </c>
      <c r="AC100" s="41"/>
      <c r="AF100" s="19"/>
    </row>
    <row r="101" spans="3:32">
      <c r="C101" s="9" t="s">
        <v>67</v>
      </c>
      <c r="D101" s="27">
        <f>'Data 1'!D68</f>
        <v>582.88</v>
      </c>
      <c r="E101" s="27">
        <f>'Data 1'!E68</f>
        <v>219.14</v>
      </c>
      <c r="F101" s="27" t="str">
        <f>'Data 1'!F68</f>
        <v>-</v>
      </c>
      <c r="G101" s="27" t="str">
        <f>'Data 1'!G68</f>
        <v>-</v>
      </c>
      <c r="H101" s="27">
        <f>'Data 1'!H68</f>
        <v>1511.95</v>
      </c>
      <c r="I101" s="27" t="str">
        <f>'Data 1'!I68</f>
        <v>-</v>
      </c>
      <c r="J101" s="27">
        <f>'Data 1'!J68</f>
        <v>360.6</v>
      </c>
      <c r="K101" s="27">
        <f>'Data 1'!K68</f>
        <v>215</v>
      </c>
      <c r="L101" s="27" t="str">
        <f>'Data 1'!L68</f>
        <v>-</v>
      </c>
      <c r="M101" s="27">
        <f>'Data 1'!M68</f>
        <v>439.32</v>
      </c>
      <c r="N101" s="27" t="str">
        <f>'Data 1'!N68</f>
        <v>-</v>
      </c>
      <c r="O101" s="27" t="str">
        <f>'Data 1'!O68</f>
        <v>-</v>
      </c>
      <c r="P101" s="27" t="str">
        <f>'Data 1'!P68</f>
        <v>-</v>
      </c>
      <c r="Q101" s="27" t="str">
        <f>'Data 1'!Q68</f>
        <v>-</v>
      </c>
      <c r="R101" s="27" t="str">
        <f>'Data 1'!R68</f>
        <v>-</v>
      </c>
      <c r="S101" s="27" t="str">
        <f>'Data 1'!S68</f>
        <v>-</v>
      </c>
      <c r="T101" s="27" t="str">
        <f>'Data 1'!T68</f>
        <v>-</v>
      </c>
      <c r="U101" s="27" t="str">
        <f>'Data 1'!U68</f>
        <v>-</v>
      </c>
      <c r="V101" s="27" t="str">
        <f>'Data 1'!V68</f>
        <v>-</v>
      </c>
      <c r="W101" s="27">
        <f t="shared" si="33"/>
        <v>3328.8900000000003</v>
      </c>
      <c r="X101" s="27">
        <f t="shared" si="34"/>
        <v>3328.8900000000003</v>
      </c>
      <c r="Y101" s="27">
        <f t="shared" si="35"/>
        <v>0</v>
      </c>
      <c r="Z101" s="506">
        <f t="shared" si="40"/>
        <v>0</v>
      </c>
      <c r="AA101" s="506">
        <f t="shared" si="36"/>
        <v>0</v>
      </c>
      <c r="AB101" s="506">
        <f t="shared" si="36"/>
        <v>0</v>
      </c>
      <c r="AC101" s="41"/>
      <c r="AF101" s="19"/>
    </row>
    <row r="102" spans="3:32">
      <c r="C102" s="9" t="s">
        <v>103</v>
      </c>
      <c r="D102" s="27" t="str">
        <f>'Data 1'!D69</f>
        <v>-</v>
      </c>
      <c r="E102" s="27" t="str">
        <f>'Data 1'!E69</f>
        <v>-</v>
      </c>
      <c r="F102" s="27" t="str">
        <f>'Data 1'!F69</f>
        <v>-</v>
      </c>
      <c r="G102" s="27" t="str">
        <f>'Data 1'!G69</f>
        <v>-</v>
      </c>
      <c r="H102" s="27">
        <f>'Data 1'!H69</f>
        <v>1063.94</v>
      </c>
      <c r="I102" s="27" t="str">
        <f>'Data 1'!I69</f>
        <v>-</v>
      </c>
      <c r="J102" s="27" t="str">
        <f>'Data 1'!J69</f>
        <v>-</v>
      </c>
      <c r="K102" s="27">
        <f>'Data 1'!K69</f>
        <v>1003.41</v>
      </c>
      <c r="L102" s="27" t="str">
        <f>'Data 1'!L69</f>
        <v>-</v>
      </c>
      <c r="M102" s="27">
        <f>'Data 1'!M69</f>
        <v>3032.81</v>
      </c>
      <c r="N102" s="27" t="str">
        <f>'Data 1'!N69</f>
        <v>-</v>
      </c>
      <c r="O102" s="27">
        <f>'Data 1'!O69</f>
        <v>2017.13</v>
      </c>
      <c r="P102" s="27" t="str">
        <f>'Data 1'!P69</f>
        <v>-</v>
      </c>
      <c r="Q102" s="27" t="str">
        <f>'Data 1'!Q69</f>
        <v>-</v>
      </c>
      <c r="R102" s="27" t="str">
        <f>'Data 1'!R69</f>
        <v>-</v>
      </c>
      <c r="S102" s="27" t="str">
        <f>'Data 1'!S69</f>
        <v>-</v>
      </c>
      <c r="T102" s="27" t="str">
        <f>'Data 1'!T69</f>
        <v>-</v>
      </c>
      <c r="U102" s="27" t="str">
        <f>'Data 1'!U69</f>
        <v>-</v>
      </c>
      <c r="V102" s="27" t="str">
        <f>'Data 1'!V69</f>
        <v>-</v>
      </c>
      <c r="W102" s="18">
        <f t="shared" si="33"/>
        <v>7117.29</v>
      </c>
      <c r="X102" s="18">
        <f t="shared" si="34"/>
        <v>7117.29</v>
      </c>
      <c r="Y102" s="18">
        <f t="shared" si="35"/>
        <v>0</v>
      </c>
      <c r="Z102" s="506">
        <f t="shared" si="40"/>
        <v>0</v>
      </c>
      <c r="AA102" s="506">
        <f t="shared" si="36"/>
        <v>0</v>
      </c>
      <c r="AB102" s="506">
        <f t="shared" si="36"/>
        <v>0</v>
      </c>
      <c r="AC102" s="41"/>
      <c r="AF102" s="19"/>
    </row>
    <row r="103" spans="3:32">
      <c r="C103" s="9" t="s">
        <v>104</v>
      </c>
      <c r="D103" s="27">
        <f>'Data 1'!D70</f>
        <v>1989.4</v>
      </c>
      <c r="E103" s="27" t="str">
        <f>'Data 1'!E70</f>
        <v>-</v>
      </c>
      <c r="F103" s="27">
        <f>'Data 1'!F70</f>
        <v>2099.4349999999999</v>
      </c>
      <c r="G103" s="27">
        <f>'Data 1'!G70</f>
        <v>241.19999999999996</v>
      </c>
      <c r="H103" s="27" t="str">
        <f>'Data 1'!H70</f>
        <v>-</v>
      </c>
      <c r="I103" s="27" t="str">
        <f>'Data 1'!I70</f>
        <v>-</v>
      </c>
      <c r="J103" s="27" t="str">
        <f>'Data 1'!J70</f>
        <v>-</v>
      </c>
      <c r="K103" s="27" t="str">
        <f>'Data 1'!K70</f>
        <v>-</v>
      </c>
      <c r="L103" s="27" t="str">
        <f>'Data 1'!L70</f>
        <v>-</v>
      </c>
      <c r="M103" s="27" t="str">
        <f>'Data 1'!M70</f>
        <v>-</v>
      </c>
      <c r="N103" s="27" t="str">
        <f>'Data 1'!N70</f>
        <v>-</v>
      </c>
      <c r="O103" s="27" t="str">
        <f>'Data 1'!O70</f>
        <v>-</v>
      </c>
      <c r="P103" s="27">
        <f>'Data 1'!P70</f>
        <v>1403.19</v>
      </c>
      <c r="Q103" s="27" t="str">
        <f>'Data 1'!Q70</f>
        <v>-</v>
      </c>
      <c r="R103" s="27" t="str">
        <f>'Data 1'!R70</f>
        <v>-</v>
      </c>
      <c r="S103" s="27" t="str">
        <f>'Data 1'!S70</f>
        <v>-</v>
      </c>
      <c r="T103" s="27" t="str">
        <f>'Data 1'!T70</f>
        <v>-</v>
      </c>
      <c r="U103" s="27" t="str">
        <f>'Data 1'!U70</f>
        <v>-</v>
      </c>
      <c r="V103" s="27" t="str">
        <f>'Data 1'!V70</f>
        <v>-</v>
      </c>
      <c r="W103" s="27">
        <f t="shared" si="33"/>
        <v>5733.2250000000004</v>
      </c>
      <c r="X103" s="27">
        <f t="shared" si="34"/>
        <v>5492.0249999999996</v>
      </c>
      <c r="Y103" s="27">
        <f t="shared" si="35"/>
        <v>241.19999999999996</v>
      </c>
      <c r="Z103" s="506">
        <f t="shared" si="40"/>
        <v>-3950.2199999999975</v>
      </c>
      <c r="AA103" s="506">
        <f t="shared" si="36"/>
        <v>-3723.0199999999986</v>
      </c>
      <c r="AB103" s="506">
        <f t="shared" si="36"/>
        <v>-227.20000000000002</v>
      </c>
      <c r="AC103" s="41"/>
      <c r="AF103" s="19"/>
    </row>
    <row r="104" spans="3:32">
      <c r="C104" s="9" t="s">
        <v>105</v>
      </c>
      <c r="D104" s="27" t="str">
        <f>'Data 1'!D71</f>
        <v>-</v>
      </c>
      <c r="E104" s="27" t="str">
        <f>'Data 1'!E71</f>
        <v>-</v>
      </c>
      <c r="F104" s="27" t="str">
        <f>'Data 1'!F71</f>
        <v>-</v>
      </c>
      <c r="G104" s="27">
        <f>'Data 1'!G71</f>
        <v>744.8</v>
      </c>
      <c r="H104" s="27" t="str">
        <f>'Data 1'!H71</f>
        <v>-</v>
      </c>
      <c r="I104" s="27">
        <f>'Data 1'!I71</f>
        <v>1535.7</v>
      </c>
      <c r="J104" s="27" t="str">
        <f>'Data 1'!J71</f>
        <v>-</v>
      </c>
      <c r="K104" s="27" t="str">
        <f>'Data 1'!K71</f>
        <v>-</v>
      </c>
      <c r="L104" s="27" t="str">
        <f>'Data 1'!L71</f>
        <v>-</v>
      </c>
      <c r="M104" s="27" t="str">
        <f>'Data 1'!M71</f>
        <v>-</v>
      </c>
      <c r="N104" s="27">
        <f>'Data 1'!N71</f>
        <v>90.82</v>
      </c>
      <c r="O104" s="27" t="str">
        <f>'Data 1'!O71</f>
        <v>-</v>
      </c>
      <c r="P104" s="27" t="str">
        <f>'Data 1'!P71</f>
        <v>-</v>
      </c>
      <c r="Q104" s="27" t="str">
        <f>'Data 1'!Q71</f>
        <v>-</v>
      </c>
      <c r="R104" s="27" t="str">
        <f>'Data 1'!R71</f>
        <v>-</v>
      </c>
      <c r="S104" s="27">
        <f>'Data 1'!S71</f>
        <v>76.14</v>
      </c>
      <c r="T104" s="27" t="str">
        <f>'Data 1'!T71</f>
        <v>-</v>
      </c>
      <c r="U104" s="27" t="str">
        <f>'Data 1'!U71</f>
        <v>-</v>
      </c>
      <c r="V104" s="27" t="str">
        <f>'Data 1'!V71</f>
        <v>-</v>
      </c>
      <c r="W104" s="27">
        <f t="shared" si="33"/>
        <v>2447.46</v>
      </c>
      <c r="X104" s="27">
        <f t="shared" si="34"/>
        <v>0</v>
      </c>
      <c r="Y104" s="27">
        <f t="shared" si="35"/>
        <v>2447.46</v>
      </c>
      <c r="Z104" s="506">
        <f t="shared" si="40"/>
        <v>0</v>
      </c>
      <c r="AA104" s="506">
        <f t="shared" si="36"/>
        <v>0</v>
      </c>
      <c r="AB104" s="506">
        <f t="shared" si="36"/>
        <v>0</v>
      </c>
      <c r="AC104" s="41"/>
      <c r="AF104" s="19"/>
    </row>
    <row r="105" spans="3:32">
      <c r="C105" s="9" t="s">
        <v>106</v>
      </c>
      <c r="D105" s="27">
        <f>'Data 1'!D72</f>
        <v>5951.72</v>
      </c>
      <c r="E105" s="27">
        <f>'Data 1'!E72</f>
        <v>1869.68</v>
      </c>
      <c r="F105" s="27">
        <f>'Data 1'!F72</f>
        <v>854.17</v>
      </c>
      <c r="G105" s="27">
        <f>'Data 1'!G72</f>
        <v>857.95</v>
      </c>
      <c r="H105" s="27">
        <f>'Data 1'!H72</f>
        <v>2853.54</v>
      </c>
      <c r="I105" s="27">
        <f>'Data 1'!I72</f>
        <v>864.2</v>
      </c>
      <c r="J105" s="27" t="str">
        <f>'Data 1'!J72</f>
        <v>-</v>
      </c>
      <c r="K105" s="27">
        <f>'Data 1'!K72</f>
        <v>758.74</v>
      </c>
      <c r="L105" s="27" t="str">
        <f>'Data 1'!L72</f>
        <v>-</v>
      </c>
      <c r="M105" s="27">
        <f>'Data 1'!M72</f>
        <v>3788.23</v>
      </c>
      <c r="N105" s="27" t="str">
        <f>'Data 1'!N72</f>
        <v>-</v>
      </c>
      <c r="O105" s="27" t="str">
        <f>'Data 1'!O72</f>
        <v>-</v>
      </c>
      <c r="P105" s="27">
        <f>'Data 1'!P72</f>
        <v>1246.98</v>
      </c>
      <c r="Q105" s="27">
        <f>'Data 1'!Q72</f>
        <v>784.7</v>
      </c>
      <c r="R105" s="27" t="str">
        <f>'Data 1'!R72</f>
        <v>-</v>
      </c>
      <c r="S105" s="27" t="str">
        <f>'Data 1'!S72</f>
        <v>-</v>
      </c>
      <c r="T105" s="27">
        <f>'Data 1'!T72</f>
        <v>3263.71</v>
      </c>
      <c r="U105" s="27">
        <f>'Data 1'!U72</f>
        <v>1222.32</v>
      </c>
      <c r="V105" s="27">
        <f>'Data 1'!V72</f>
        <v>1968.07</v>
      </c>
      <c r="W105" s="18">
        <f t="shared" si="33"/>
        <v>26284.010000000002</v>
      </c>
      <c r="X105" s="18">
        <f t="shared" si="34"/>
        <v>24561.86</v>
      </c>
      <c r="Y105" s="18">
        <f t="shared" si="35"/>
        <v>1722.15</v>
      </c>
      <c r="Z105" s="506">
        <f t="shared" si="40"/>
        <v>0</v>
      </c>
      <c r="AA105" s="506">
        <f t="shared" si="36"/>
        <v>0</v>
      </c>
      <c r="AB105" s="506">
        <f t="shared" si="36"/>
        <v>0</v>
      </c>
      <c r="AC105" s="41"/>
      <c r="AF105" s="19"/>
    </row>
    <row r="106" spans="3:32">
      <c r="C106" s="9" t="s">
        <v>73</v>
      </c>
      <c r="D106" s="27">
        <f>'Data 1'!D78</f>
        <v>847.56950000000006</v>
      </c>
      <c r="E106" s="27">
        <f>'Data 1'!E78</f>
        <v>478.25900000000001</v>
      </c>
      <c r="F106" s="27">
        <f>'Data 1'!F78</f>
        <v>66.693999999999974</v>
      </c>
      <c r="G106" s="27">
        <f>'Data 1'!G78</f>
        <v>11.523</v>
      </c>
      <c r="H106" s="27">
        <f>'Data 1'!H78</f>
        <v>449.72899999999976</v>
      </c>
      <c r="I106" s="27" t="str">
        <f>'Data 1'!I78</f>
        <v>-</v>
      </c>
      <c r="J106" s="27">
        <f>'Data 1'!J78</f>
        <v>280.72950000000003</v>
      </c>
      <c r="K106" s="27">
        <f>'Data 1'!K78</f>
        <v>348.88200000000001</v>
      </c>
      <c r="L106" s="27">
        <f>'Data 1'!L78</f>
        <v>591.51900000000001</v>
      </c>
      <c r="M106" s="27">
        <f>'Data 1'!M78</f>
        <v>974.72500000000048</v>
      </c>
      <c r="N106" s="27" t="str">
        <f>'Data 1'!N78</f>
        <v>-</v>
      </c>
      <c r="O106" s="27">
        <f>'Data 1'!O78</f>
        <v>18.077000000000002</v>
      </c>
      <c r="P106" s="27">
        <f>'Data 1'!P78</f>
        <v>483.65059999999994</v>
      </c>
      <c r="Q106" s="27">
        <f>'Data 1'!Q78</f>
        <v>22.917000000000005</v>
      </c>
      <c r="R106" s="27">
        <f>'Data 1'!R78</f>
        <v>210.00889999999998</v>
      </c>
      <c r="S106" s="27" t="str">
        <f>'Data 1'!S78</f>
        <v>-</v>
      </c>
      <c r="T106" s="27">
        <f>'Data 1'!T78</f>
        <v>308.14199999999994</v>
      </c>
      <c r="U106" s="27">
        <f>'Data 1'!U78</f>
        <v>142.12549999999993</v>
      </c>
      <c r="V106" s="27">
        <f>'Data 1'!V78</f>
        <v>398.93749999999977</v>
      </c>
      <c r="W106" s="18">
        <f t="shared" si="33"/>
        <v>5633.4885000000004</v>
      </c>
      <c r="X106" s="18">
        <f t="shared" si="34"/>
        <v>5621.9655000000002</v>
      </c>
      <c r="Y106" s="18">
        <f t="shared" si="35"/>
        <v>11.523</v>
      </c>
      <c r="Z106" s="506">
        <f t="shared" si="40"/>
        <v>-16.917000000000371</v>
      </c>
      <c r="AA106" s="506">
        <f t="shared" si="36"/>
        <v>-16.917000000001281</v>
      </c>
      <c r="AB106" s="506">
        <f t="shared" si="36"/>
        <v>0</v>
      </c>
      <c r="AC106" s="41"/>
      <c r="AF106" s="19"/>
    </row>
    <row r="107" spans="3:32">
      <c r="C107" s="10" t="s">
        <v>90</v>
      </c>
      <c r="D107" s="27">
        <f>'Data 1'!D79</f>
        <v>83.540999999999997</v>
      </c>
      <c r="E107" s="27">
        <f>'Data 1'!E79</f>
        <v>49.9</v>
      </c>
      <c r="F107" s="27">
        <f>'Data 1'!F79</f>
        <v>74.387</v>
      </c>
      <c r="G107" s="27">
        <f>'Data 1'!G79</f>
        <v>37.400000000000006</v>
      </c>
      <c r="H107" s="27">
        <f>'Data 1'!H79</f>
        <v>63.087999999999994</v>
      </c>
      <c r="I107" s="27" t="str">
        <f>'Data 1'!I79</f>
        <v>-</v>
      </c>
      <c r="J107" s="27">
        <f>'Data 1'!J79</f>
        <v>4.9669999999999996</v>
      </c>
      <c r="K107" s="27">
        <f>'Data 1'!K79</f>
        <v>0.68</v>
      </c>
      <c r="L107" s="27" t="str">
        <f>'Data 1'!L79</f>
        <v>-</v>
      </c>
      <c r="M107" s="27">
        <f>'Data 1'!M79</f>
        <v>32.374500000000005</v>
      </c>
      <c r="N107" s="27" t="str">
        <f>'Data 1'!N79</f>
        <v>-</v>
      </c>
      <c r="O107" s="27" t="str">
        <f>'Data 1'!O79</f>
        <v>-</v>
      </c>
      <c r="P107" s="27">
        <f>'Data 1'!P79</f>
        <v>40.68</v>
      </c>
      <c r="Q107" s="27" t="str">
        <f>'Data 1'!Q79</f>
        <v>-</v>
      </c>
      <c r="R107" s="27">
        <f>'Data 1'!R79</f>
        <v>14.9</v>
      </c>
      <c r="S107" s="27">
        <f>'Data 1'!S79</f>
        <v>1.0840000000000001</v>
      </c>
      <c r="T107" s="27" t="str">
        <f>'Data 1'!T79</f>
        <v>-</v>
      </c>
      <c r="U107" s="27" t="str">
        <f>'Data 1'!U79</f>
        <v>-</v>
      </c>
      <c r="V107" s="27">
        <f>'Data 1'!V79</f>
        <v>73.975999999999999</v>
      </c>
      <c r="W107" s="18">
        <f t="shared" si="33"/>
        <v>476.97750000000002</v>
      </c>
      <c r="X107" s="18">
        <f t="shared" si="34"/>
        <v>438.49349999999998</v>
      </c>
      <c r="Y107" s="18">
        <f t="shared" si="35"/>
        <v>38.484000000000009</v>
      </c>
      <c r="Z107" s="506">
        <f t="shared" si="40"/>
        <v>-9.6800000000000068</v>
      </c>
      <c r="AA107" s="506">
        <f t="shared" si="36"/>
        <v>-9.6800000000000068</v>
      </c>
      <c r="AB107" s="506">
        <f t="shared" si="36"/>
        <v>0</v>
      </c>
      <c r="AC107" s="41"/>
      <c r="AF107" s="19"/>
    </row>
    <row r="108" spans="3:32">
      <c r="C108" s="30" t="s">
        <v>347</v>
      </c>
      <c r="D108" s="31">
        <f t="shared" ref="D108:V108" si="43">SUM(D101:D107)</f>
        <v>9455.1104999999989</v>
      </c>
      <c r="E108" s="31">
        <f t="shared" si="43"/>
        <v>2616.9790000000003</v>
      </c>
      <c r="F108" s="31">
        <f t="shared" si="43"/>
        <v>3094.6860000000001</v>
      </c>
      <c r="G108" s="31">
        <f t="shared" si="43"/>
        <v>1892.8729999999998</v>
      </c>
      <c r="H108" s="31">
        <f t="shared" si="43"/>
        <v>5942.2469999999994</v>
      </c>
      <c r="I108" s="31">
        <f t="shared" si="43"/>
        <v>2399.9</v>
      </c>
      <c r="J108" s="31">
        <f t="shared" si="43"/>
        <v>646.29650000000004</v>
      </c>
      <c r="K108" s="31">
        <f t="shared" si="43"/>
        <v>2326.7119999999995</v>
      </c>
      <c r="L108" s="31">
        <f t="shared" si="43"/>
        <v>591.51900000000001</v>
      </c>
      <c r="M108" s="31">
        <f t="shared" si="43"/>
        <v>8267.4595000000008</v>
      </c>
      <c r="N108" s="31">
        <f t="shared" si="43"/>
        <v>90.82</v>
      </c>
      <c r="O108" s="31">
        <f t="shared" si="43"/>
        <v>2035.2070000000001</v>
      </c>
      <c r="P108" s="31">
        <f t="shared" si="43"/>
        <v>3174.5005999999998</v>
      </c>
      <c r="Q108" s="31">
        <f t="shared" si="43"/>
        <v>807.61700000000008</v>
      </c>
      <c r="R108" s="31">
        <f t="shared" si="43"/>
        <v>224.90889999999999</v>
      </c>
      <c r="S108" s="31">
        <f t="shared" si="43"/>
        <v>77.224000000000004</v>
      </c>
      <c r="T108" s="31">
        <f t="shared" si="43"/>
        <v>3571.8519999999999</v>
      </c>
      <c r="U108" s="31">
        <f t="shared" si="43"/>
        <v>1364.4454999999998</v>
      </c>
      <c r="V108" s="31">
        <f t="shared" si="43"/>
        <v>2440.9834999999998</v>
      </c>
      <c r="W108" s="31">
        <f t="shared" ref="W108:Y108" si="44">SUM(W101:W107)</f>
        <v>51021.341</v>
      </c>
      <c r="X108" s="31">
        <f t="shared" si="44"/>
        <v>46560.523999999998</v>
      </c>
      <c r="Y108" s="31">
        <f t="shared" si="44"/>
        <v>4460.817</v>
      </c>
      <c r="Z108" s="506">
        <f t="shared" si="40"/>
        <v>-3976.8170000000027</v>
      </c>
      <c r="AA108" s="506">
        <f t="shared" si="36"/>
        <v>-3749.6169999999984</v>
      </c>
      <c r="AB108" s="506">
        <f t="shared" si="36"/>
        <v>-227.20000000000073</v>
      </c>
      <c r="AC108" s="41"/>
      <c r="AF108" s="19"/>
    </row>
    <row r="109" spans="3:32">
      <c r="C109" s="30" t="s">
        <v>32</v>
      </c>
      <c r="D109" s="32">
        <f t="shared" ref="D109:V109" si="45">SUM(D100,D108)</f>
        <v>17376.142329000053</v>
      </c>
      <c r="E109" s="32">
        <f t="shared" si="45"/>
        <v>9182.7207500000004</v>
      </c>
      <c r="F109" s="32">
        <f t="shared" si="45"/>
        <v>4510.5522849999998</v>
      </c>
      <c r="G109" s="32">
        <f t="shared" si="45"/>
        <v>2039.3676249999996</v>
      </c>
      <c r="H109" s="32">
        <f t="shared" si="45"/>
        <v>8264.5021149999957</v>
      </c>
      <c r="I109" s="32">
        <f t="shared" si="45"/>
        <v>3028.8281449999999</v>
      </c>
      <c r="J109" s="32">
        <f t="shared" si="45"/>
        <v>800.49831500000005</v>
      </c>
      <c r="K109" s="32">
        <f t="shared" si="45"/>
        <v>9291.6858900000752</v>
      </c>
      <c r="L109" s="32">
        <f t="shared" si="45"/>
        <v>12194.596265000006</v>
      </c>
      <c r="M109" s="32">
        <f t="shared" si="45"/>
        <v>11854.778539999999</v>
      </c>
      <c r="N109" s="32">
        <f t="shared" si="45"/>
        <v>90.82</v>
      </c>
      <c r="O109" s="32">
        <f t="shared" si="45"/>
        <v>7805.0595190000113</v>
      </c>
      <c r="P109" s="32">
        <f t="shared" si="45"/>
        <v>10882.214885000001</v>
      </c>
      <c r="Q109" s="32">
        <f t="shared" si="45"/>
        <v>1410.3703199999998</v>
      </c>
      <c r="R109" s="32">
        <f t="shared" si="45"/>
        <v>456.85106199999996</v>
      </c>
      <c r="S109" s="32">
        <f t="shared" si="45"/>
        <v>78.367699999999999</v>
      </c>
      <c r="T109" s="32">
        <f t="shared" si="45"/>
        <v>5135.9417809999895</v>
      </c>
      <c r="U109" s="32">
        <f t="shared" si="45"/>
        <v>3136.5708299999969</v>
      </c>
      <c r="V109" s="32">
        <f t="shared" si="45"/>
        <v>2921.6427100000001</v>
      </c>
      <c r="W109" s="32">
        <f t="shared" ref="W109:Y109" si="46">SUM(W100,W108)</f>
        <v>110461.51106600012</v>
      </c>
      <c r="X109" s="32">
        <f t="shared" si="46"/>
        <v>105224.12759600012</v>
      </c>
      <c r="Y109" s="32">
        <f t="shared" si="46"/>
        <v>5237.3834699999998</v>
      </c>
      <c r="Z109" s="506">
        <f t="shared" si="40"/>
        <v>38.410755999997491</v>
      </c>
      <c r="AA109" s="506">
        <f t="shared" ref="AA109" si="47">X109-X89</f>
        <v>229.13762599998154</v>
      </c>
      <c r="AB109" s="506">
        <f t="shared" ref="AB109" si="48">Y109-Y89</f>
        <v>-190.72687000000042</v>
      </c>
      <c r="AC109" s="41"/>
      <c r="AD109" s="41"/>
      <c r="AE109" s="41"/>
      <c r="AF109" s="41"/>
    </row>
    <row r="110" spans="3:32">
      <c r="C110" s="496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38">
        <f>W100-W80</f>
        <v>4015.2277560000075</v>
      </c>
      <c r="X110" s="38">
        <f t="shared" ref="X110:Y110" si="49">X100-X80</f>
        <v>3978.7546259999945</v>
      </c>
      <c r="Y110" s="38">
        <f t="shared" si="49"/>
        <v>36.473130000000083</v>
      </c>
      <c r="Z110" s="416"/>
      <c r="AA110" s="416"/>
      <c r="AB110" s="416"/>
    </row>
    <row r="111" spans="3:32">
      <c r="C111" s="22" t="s">
        <v>384</v>
      </c>
      <c r="D111" s="479"/>
      <c r="E111" s="479"/>
      <c r="F111" s="479"/>
      <c r="G111" s="479"/>
      <c r="H111" s="479"/>
      <c r="I111" s="479"/>
      <c r="J111" s="479"/>
      <c r="K111" s="479"/>
      <c r="L111" s="479"/>
      <c r="M111" s="479"/>
      <c r="N111" s="479"/>
      <c r="O111" s="479"/>
      <c r="P111" s="479"/>
      <c r="Q111" s="479"/>
      <c r="R111" s="479"/>
      <c r="S111" s="479"/>
      <c r="T111" s="479"/>
      <c r="U111" s="479"/>
      <c r="V111" s="479"/>
      <c r="W111" s="38">
        <f>W108-W88</f>
        <v>-3976.8170000000027</v>
      </c>
      <c r="X111" s="38">
        <f t="shared" ref="X111:Y111" si="50">X108-X88</f>
        <v>-3749.6169999999984</v>
      </c>
      <c r="Y111" s="38">
        <f t="shared" si="50"/>
        <v>-227.20000000000073</v>
      </c>
    </row>
    <row r="112" spans="3:32" ht="81.75">
      <c r="C112" s="23"/>
      <c r="D112" s="24" t="s">
        <v>87</v>
      </c>
      <c r="E112" s="24" t="s">
        <v>71</v>
      </c>
      <c r="F112" s="24" t="s">
        <v>74</v>
      </c>
      <c r="G112" s="24" t="s">
        <v>37</v>
      </c>
      <c r="H112" s="24" t="s">
        <v>81</v>
      </c>
      <c r="I112" s="24" t="s">
        <v>38</v>
      </c>
      <c r="J112" s="24" t="s">
        <v>88</v>
      </c>
      <c r="K112" s="24" t="s">
        <v>83</v>
      </c>
      <c r="L112" s="24" t="s">
        <v>80</v>
      </c>
      <c r="M112" s="24" t="s">
        <v>65</v>
      </c>
      <c r="N112" s="24" t="s">
        <v>42</v>
      </c>
      <c r="O112" s="24" t="s">
        <v>92</v>
      </c>
      <c r="P112" s="24" t="s">
        <v>93</v>
      </c>
      <c r="Q112" s="24" t="s">
        <v>94</v>
      </c>
      <c r="R112" s="24" t="s">
        <v>82</v>
      </c>
      <c r="S112" s="24" t="s">
        <v>39</v>
      </c>
      <c r="T112" s="24" t="s">
        <v>95</v>
      </c>
      <c r="U112" s="24" t="s">
        <v>96</v>
      </c>
      <c r="V112" s="24" t="s">
        <v>70</v>
      </c>
      <c r="W112" s="25" t="s">
        <v>41</v>
      </c>
      <c r="X112" s="25" t="s">
        <v>99</v>
      </c>
      <c r="Y112" s="25" t="s">
        <v>100</v>
      </c>
    </row>
    <row r="113" spans="3:25">
      <c r="C113" s="9" t="s">
        <v>26</v>
      </c>
      <c r="D113" s="493">
        <f>IF(D93="-","-",((D93/D73)-1)*100)</f>
        <v>0</v>
      </c>
      <c r="E113" s="493">
        <f t="shared" ref="E113:Y125" si="51">IF(E93="-","-",((E93/E73)-1)*100)</f>
        <v>0</v>
      </c>
      <c r="F113" s="493">
        <f t="shared" si="51"/>
        <v>0</v>
      </c>
      <c r="G113" s="493" t="str">
        <f t="shared" si="51"/>
        <v>-</v>
      </c>
      <c r="H113" s="493">
        <f t="shared" si="51"/>
        <v>0</v>
      </c>
      <c r="I113" s="493">
        <f t="shared" si="51"/>
        <v>0</v>
      </c>
      <c r="J113" s="493">
        <f t="shared" si="51"/>
        <v>0</v>
      </c>
      <c r="K113" s="493">
        <f t="shared" si="51"/>
        <v>0</v>
      </c>
      <c r="L113" s="493">
        <f t="shared" si="51"/>
        <v>0</v>
      </c>
      <c r="M113" s="493">
        <f t="shared" si="51"/>
        <v>2.4571144651486243E-2</v>
      </c>
      <c r="N113" s="493" t="str">
        <f t="shared" si="51"/>
        <v>-</v>
      </c>
      <c r="O113" s="493">
        <f t="shared" si="51"/>
        <v>0</v>
      </c>
      <c r="P113" s="493">
        <f t="shared" si="51"/>
        <v>0</v>
      </c>
      <c r="Q113" s="493">
        <f t="shared" si="51"/>
        <v>0</v>
      </c>
      <c r="R113" s="493">
        <f t="shared" si="51"/>
        <v>0</v>
      </c>
      <c r="S113" s="493" t="str">
        <f t="shared" si="51"/>
        <v>-</v>
      </c>
      <c r="T113" s="493">
        <f t="shared" si="51"/>
        <v>0</v>
      </c>
      <c r="U113" s="493">
        <f t="shared" si="51"/>
        <v>0</v>
      </c>
      <c r="V113" s="493">
        <f t="shared" si="51"/>
        <v>-0.32979354923816651</v>
      </c>
      <c r="W113" s="493">
        <f t="shared" si="51"/>
        <v>-6.1457878399728827E-4</v>
      </c>
      <c r="X113" s="493">
        <f t="shared" si="51"/>
        <v>-6.1465145624328699E-4</v>
      </c>
      <c r="Y113" s="493">
        <f t="shared" si="51"/>
        <v>0</v>
      </c>
    </row>
    <row r="114" spans="3:25">
      <c r="C114" s="9" t="s">
        <v>68</v>
      </c>
      <c r="D114" s="493" t="str">
        <f t="shared" ref="D114:S129" si="52">IF(D94="-","-",((D94/D74)-1)*100)</f>
        <v>-</v>
      </c>
      <c r="E114" s="493" t="str">
        <f t="shared" si="52"/>
        <v>-</v>
      </c>
      <c r="F114" s="493" t="str">
        <f t="shared" si="52"/>
        <v>-</v>
      </c>
      <c r="G114" s="493" t="str">
        <f t="shared" si="52"/>
        <v>-</v>
      </c>
      <c r="H114" s="493" t="str">
        <f t="shared" si="52"/>
        <v>-</v>
      </c>
      <c r="I114" s="493">
        <f t="shared" si="52"/>
        <v>0</v>
      </c>
      <c r="J114" s="493" t="str">
        <f t="shared" si="52"/>
        <v>-</v>
      </c>
      <c r="K114" s="493" t="str">
        <f t="shared" si="52"/>
        <v>-</v>
      </c>
      <c r="L114" s="493" t="str">
        <f t="shared" si="52"/>
        <v>-</v>
      </c>
      <c r="M114" s="493" t="str">
        <f t="shared" si="52"/>
        <v>-</v>
      </c>
      <c r="N114" s="493" t="str">
        <f t="shared" si="52"/>
        <v>-</v>
      </c>
      <c r="O114" s="493" t="str">
        <f t="shared" si="52"/>
        <v>-</v>
      </c>
      <c r="P114" s="493" t="str">
        <f t="shared" si="52"/>
        <v>-</v>
      </c>
      <c r="Q114" s="493" t="str">
        <f t="shared" si="52"/>
        <v>-</v>
      </c>
      <c r="R114" s="493" t="str">
        <f t="shared" si="52"/>
        <v>-</v>
      </c>
      <c r="S114" s="493" t="str">
        <f t="shared" si="52"/>
        <v>-</v>
      </c>
      <c r="T114" s="493" t="str">
        <f t="shared" si="51"/>
        <v>-</v>
      </c>
      <c r="U114" s="493" t="str">
        <f t="shared" si="51"/>
        <v>-</v>
      </c>
      <c r="V114" s="493" t="str">
        <f t="shared" si="51"/>
        <v>-</v>
      </c>
      <c r="W114" s="493">
        <f t="shared" si="51"/>
        <v>0</v>
      </c>
      <c r="X114" s="493" t="s">
        <v>0</v>
      </c>
      <c r="Y114" s="493">
        <f t="shared" si="51"/>
        <v>0</v>
      </c>
    </row>
    <row r="115" spans="3:25">
      <c r="C115" s="9" t="s">
        <v>50</v>
      </c>
      <c r="D115" s="493">
        <f t="shared" si="52"/>
        <v>0.68460292523222499</v>
      </c>
      <c r="E115" s="493">
        <f t="shared" si="51"/>
        <v>25.072217009235143</v>
      </c>
      <c r="F115" s="493">
        <f t="shared" si="51"/>
        <v>0.19288263091907787</v>
      </c>
      <c r="G115" s="493">
        <f t="shared" si="51"/>
        <v>0</v>
      </c>
      <c r="H115" s="493">
        <f t="shared" si="51"/>
        <v>4.1311274103083218</v>
      </c>
      <c r="I115" s="493">
        <f t="shared" si="51"/>
        <v>3.3463857871559366</v>
      </c>
      <c r="J115" s="493">
        <f t="shared" si="51"/>
        <v>-9.9120658161200303E-3</v>
      </c>
      <c r="K115" s="493">
        <f t="shared" si="51"/>
        <v>1.7049072108184848</v>
      </c>
      <c r="L115" s="493">
        <f t="shared" si="51"/>
        <v>3.0686161314157134</v>
      </c>
      <c r="M115" s="493">
        <f t="shared" si="51"/>
        <v>0</v>
      </c>
      <c r="N115" s="493" t="str">
        <f t="shared" si="51"/>
        <v>-</v>
      </c>
      <c r="O115" s="493" t="s">
        <v>0</v>
      </c>
      <c r="P115" s="493">
        <f t="shared" si="51"/>
        <v>0.61745022883370471</v>
      </c>
      <c r="Q115" s="493">
        <f t="shared" si="51"/>
        <v>0</v>
      </c>
      <c r="R115" s="493" t="str">
        <f t="shared" si="51"/>
        <v>-</v>
      </c>
      <c r="S115" s="493" t="str">
        <f t="shared" si="51"/>
        <v>-</v>
      </c>
      <c r="T115" s="493">
        <f t="shared" si="51"/>
        <v>0</v>
      </c>
      <c r="U115" s="493">
        <f t="shared" si="51"/>
        <v>18.407727690557806</v>
      </c>
      <c r="V115" s="493">
        <f t="shared" si="51"/>
        <v>0</v>
      </c>
      <c r="W115" s="493">
        <f t="shared" si="51"/>
        <v>5.3454624833428666</v>
      </c>
      <c r="X115" s="493">
        <f t="shared" si="51"/>
        <v>5.3800383280415032</v>
      </c>
      <c r="Y115" s="493">
        <f t="shared" si="51"/>
        <v>3.3183355321146912</v>
      </c>
    </row>
    <row r="116" spans="3:25">
      <c r="C116" s="9" t="s">
        <v>345</v>
      </c>
      <c r="D116" s="493">
        <f t="shared" si="52"/>
        <v>42.774895919456938</v>
      </c>
      <c r="E116" s="493">
        <f t="shared" si="51"/>
        <v>18.796828259086553</v>
      </c>
      <c r="F116" s="493">
        <f t="shared" si="51"/>
        <v>1.0044131402349166</v>
      </c>
      <c r="G116" s="493">
        <f t="shared" si="51"/>
        <v>27.16559351943253</v>
      </c>
      <c r="H116" s="493">
        <f t="shared" si="51"/>
        <v>0</v>
      </c>
      <c r="I116" s="493">
        <f t="shared" si="51"/>
        <v>0</v>
      </c>
      <c r="J116" s="493">
        <f t="shared" si="51"/>
        <v>-0.88538946322113121</v>
      </c>
      <c r="K116" s="493">
        <f t="shared" si="51"/>
        <v>11.520727718583679</v>
      </c>
      <c r="L116" s="493">
        <f t="shared" si="51"/>
        <v>4.5692419931840478</v>
      </c>
      <c r="M116" s="493">
        <f t="shared" si="51"/>
        <v>1.5948318423197216</v>
      </c>
      <c r="N116" s="493" t="str">
        <f t="shared" si="51"/>
        <v>-</v>
      </c>
      <c r="O116" s="493">
        <f t="shared" si="51"/>
        <v>105.90530947041712</v>
      </c>
      <c r="P116" s="493">
        <f t="shared" si="51"/>
        <v>-0.12991746013850669</v>
      </c>
      <c r="Q116" s="493">
        <f t="shared" si="51"/>
        <v>2.2750850957185875</v>
      </c>
      <c r="R116" s="493">
        <f t="shared" si="51"/>
        <v>-4.5885749525376163E-2</v>
      </c>
      <c r="S116" s="493">
        <f t="shared" si="51"/>
        <v>0</v>
      </c>
      <c r="T116" s="493">
        <f t="shared" si="51"/>
        <v>9.5738748621283278</v>
      </c>
      <c r="U116" s="493">
        <f t="shared" si="51"/>
        <v>0.44240998915059393</v>
      </c>
      <c r="V116" s="493">
        <f t="shared" si="51"/>
        <v>-1.3859679159050509</v>
      </c>
      <c r="W116" s="493">
        <f t="shared" si="51"/>
        <v>29.541859585836548</v>
      </c>
      <c r="X116" s="493">
        <f t="shared" si="51"/>
        <v>30.134040084070413</v>
      </c>
      <c r="Y116" s="493">
        <f t="shared" si="51"/>
        <v>8.885377732399613</v>
      </c>
    </row>
    <row r="117" spans="3:25">
      <c r="C117" s="9" t="s">
        <v>66</v>
      </c>
      <c r="D117" s="493">
        <f t="shared" si="52"/>
        <v>0</v>
      </c>
      <c r="E117" s="493" t="str">
        <f t="shared" si="51"/>
        <v>-</v>
      </c>
      <c r="F117" s="493" t="str">
        <f t="shared" si="51"/>
        <v>-</v>
      </c>
      <c r="G117" s="493" t="str">
        <f t="shared" si="51"/>
        <v>-</v>
      </c>
      <c r="H117" s="493">
        <f t="shared" si="51"/>
        <v>0</v>
      </c>
      <c r="I117" s="493" t="str">
        <f t="shared" si="51"/>
        <v>-</v>
      </c>
      <c r="J117" s="493" t="str">
        <f t="shared" si="51"/>
        <v>-</v>
      </c>
      <c r="K117" s="493">
        <f t="shared" si="51"/>
        <v>0</v>
      </c>
      <c r="L117" s="493" t="str">
        <f t="shared" si="51"/>
        <v>-</v>
      </c>
      <c r="M117" s="493">
        <f t="shared" si="51"/>
        <v>0</v>
      </c>
      <c r="N117" s="493" t="str">
        <f t="shared" si="51"/>
        <v>-</v>
      </c>
      <c r="O117" s="493">
        <f t="shared" si="51"/>
        <v>0</v>
      </c>
      <c r="P117" s="493" t="str">
        <f t="shared" si="51"/>
        <v>-</v>
      </c>
      <c r="Q117" s="493" t="str">
        <f t="shared" si="51"/>
        <v>-</v>
      </c>
      <c r="R117" s="493" t="str">
        <f t="shared" si="51"/>
        <v>-</v>
      </c>
      <c r="S117" s="493" t="str">
        <f t="shared" si="51"/>
        <v>-</v>
      </c>
      <c r="T117" s="493">
        <f t="shared" si="51"/>
        <v>0</v>
      </c>
      <c r="U117" s="493" t="str">
        <f t="shared" si="51"/>
        <v>-</v>
      </c>
      <c r="V117" s="493" t="str">
        <f t="shared" si="51"/>
        <v>-</v>
      </c>
      <c r="W117" s="493">
        <f t="shared" si="51"/>
        <v>0</v>
      </c>
      <c r="X117" s="493">
        <f t="shared" si="51"/>
        <v>0</v>
      </c>
      <c r="Y117" s="493" t="s">
        <v>0</v>
      </c>
    </row>
    <row r="118" spans="3:25">
      <c r="C118" s="9" t="s">
        <v>75</v>
      </c>
      <c r="D118" s="493">
        <f t="shared" si="52"/>
        <v>0</v>
      </c>
      <c r="E118" s="493">
        <f t="shared" si="51"/>
        <v>0</v>
      </c>
      <c r="F118" s="493">
        <f t="shared" si="51"/>
        <v>0</v>
      </c>
      <c r="G118" s="493">
        <f t="shared" si="51"/>
        <v>0</v>
      </c>
      <c r="H118" s="493">
        <f t="shared" si="51"/>
        <v>0</v>
      </c>
      <c r="I118" s="493">
        <f t="shared" si="51"/>
        <v>0</v>
      </c>
      <c r="J118" s="493">
        <f t="shared" si="51"/>
        <v>0</v>
      </c>
      <c r="K118" s="493">
        <f t="shared" si="51"/>
        <v>0</v>
      </c>
      <c r="L118" s="493">
        <f t="shared" si="51"/>
        <v>0</v>
      </c>
      <c r="M118" s="493">
        <f t="shared" si="51"/>
        <v>0</v>
      </c>
      <c r="N118" s="493" t="str">
        <f t="shared" si="51"/>
        <v>-</v>
      </c>
      <c r="O118" s="493">
        <f t="shared" si="51"/>
        <v>0</v>
      </c>
      <c r="P118" s="493">
        <f t="shared" si="51"/>
        <v>0</v>
      </c>
      <c r="Q118" s="493">
        <f t="shared" si="51"/>
        <v>-12.1153380179307</v>
      </c>
      <c r="R118" s="493">
        <f t="shared" si="51"/>
        <v>0</v>
      </c>
      <c r="S118" s="493" t="str">
        <f t="shared" si="51"/>
        <v>-</v>
      </c>
      <c r="T118" s="493">
        <f t="shared" si="51"/>
        <v>0</v>
      </c>
      <c r="U118" s="493">
        <f t="shared" si="51"/>
        <v>0</v>
      </c>
      <c r="V118" s="493">
        <f t="shared" si="51"/>
        <v>-1.194093501785809</v>
      </c>
      <c r="W118" s="493">
        <f t="shared" si="51"/>
        <v>-0.10876101530078452</v>
      </c>
      <c r="X118" s="493">
        <f t="shared" si="51"/>
        <v>-0.10935222800499966</v>
      </c>
      <c r="Y118" s="493">
        <f t="shared" si="51"/>
        <v>0</v>
      </c>
    </row>
    <row r="119" spans="3:25">
      <c r="C119" s="10" t="s">
        <v>91</v>
      </c>
      <c r="D119" s="493" t="str">
        <f t="shared" si="52"/>
        <v>-</v>
      </c>
      <c r="E119" s="493" t="str">
        <f t="shared" si="51"/>
        <v>-</v>
      </c>
      <c r="F119" s="493" t="str">
        <f t="shared" si="51"/>
        <v>-</v>
      </c>
      <c r="G119" s="493">
        <f t="shared" si="51"/>
        <v>0</v>
      </c>
      <c r="H119" s="493" t="str">
        <f t="shared" si="51"/>
        <v>-</v>
      </c>
      <c r="I119" s="493" t="str">
        <f t="shared" si="51"/>
        <v>-</v>
      </c>
      <c r="J119" s="493">
        <f t="shared" si="51"/>
        <v>0</v>
      </c>
      <c r="K119" s="493" t="str">
        <f t="shared" si="51"/>
        <v>-</v>
      </c>
      <c r="L119" s="493" t="str">
        <f t="shared" si="51"/>
        <v>-</v>
      </c>
      <c r="M119" s="493">
        <f t="shared" si="51"/>
        <v>0</v>
      </c>
      <c r="N119" s="493" t="str">
        <f t="shared" si="51"/>
        <v>-</v>
      </c>
      <c r="O119" s="493" t="str">
        <f t="shared" si="51"/>
        <v>-</v>
      </c>
      <c r="P119" s="493">
        <f t="shared" si="51"/>
        <v>0</v>
      </c>
      <c r="Q119" s="493" t="str">
        <f t="shared" si="51"/>
        <v>-</v>
      </c>
      <c r="R119" s="493">
        <f t="shared" si="51"/>
        <v>0</v>
      </c>
      <c r="S119" s="493">
        <f t="shared" si="51"/>
        <v>0</v>
      </c>
      <c r="T119" s="493" t="str">
        <f t="shared" si="51"/>
        <v>-</v>
      </c>
      <c r="U119" s="493" t="str">
        <f t="shared" si="51"/>
        <v>-</v>
      </c>
      <c r="V119" s="493">
        <f t="shared" si="51"/>
        <v>0</v>
      </c>
      <c r="W119" s="493">
        <f t="shared" si="51"/>
        <v>0</v>
      </c>
      <c r="X119" s="493">
        <f t="shared" si="51"/>
        <v>0</v>
      </c>
      <c r="Y119" s="493">
        <f t="shared" si="51"/>
        <v>0</v>
      </c>
    </row>
    <row r="120" spans="3:25">
      <c r="C120" s="30" t="s">
        <v>346</v>
      </c>
      <c r="D120" s="494">
        <f t="shared" si="52"/>
        <v>11.026361859850663</v>
      </c>
      <c r="E120" s="494">
        <f t="shared" si="51"/>
        <v>17.823574129418173</v>
      </c>
      <c r="F120" s="494">
        <f t="shared" si="51"/>
        <v>7.1243884330107754E-2</v>
      </c>
      <c r="G120" s="494">
        <f t="shared" si="51"/>
        <v>17.740608244580258</v>
      </c>
      <c r="H120" s="494">
        <f t="shared" si="51"/>
        <v>2.1910127320040385</v>
      </c>
      <c r="I120" s="494">
        <f t="shared" si="51"/>
        <v>2.3432612675535092</v>
      </c>
      <c r="J120" s="494">
        <f t="shared" si="51"/>
        <v>-1.4744733742322325E-2</v>
      </c>
      <c r="K120" s="494">
        <f t="shared" si="51"/>
        <v>3.9735203933001229</v>
      </c>
      <c r="L120" s="494">
        <f t="shared" si="51"/>
        <v>1.9622344495351163</v>
      </c>
      <c r="M120" s="494">
        <f t="shared" si="51"/>
        <v>0.13507374590961962</v>
      </c>
      <c r="N120" s="495" t="s">
        <v>0</v>
      </c>
      <c r="O120" s="494">
        <f t="shared" si="51"/>
        <v>29.685921345410261</v>
      </c>
      <c r="P120" s="494">
        <f t="shared" si="51"/>
        <v>0.3054496145706409</v>
      </c>
      <c r="Q120" s="494">
        <f t="shared" si="51"/>
        <v>0.28246974588970186</v>
      </c>
      <c r="R120" s="494">
        <f t="shared" si="51"/>
        <v>-1.2555002173841867E-2</v>
      </c>
      <c r="S120" s="494">
        <f t="shared" si="51"/>
        <v>0</v>
      </c>
      <c r="T120" s="494">
        <f t="shared" si="51"/>
        <v>7.3187251606791959</v>
      </c>
      <c r="U120" s="494">
        <f t="shared" si="51"/>
        <v>12.949576596835556</v>
      </c>
      <c r="V120" s="494">
        <f t="shared" si="51"/>
        <v>-0.40457057699065935</v>
      </c>
      <c r="W120" s="494">
        <f t="shared" si="51"/>
        <v>7.2444419220902834</v>
      </c>
      <c r="X120" s="494">
        <f t="shared" si="51"/>
        <v>7.2757897314166931</v>
      </c>
      <c r="Y120" s="494">
        <f t="shared" si="51"/>
        <v>4.9281797347345613</v>
      </c>
    </row>
    <row r="121" spans="3:25">
      <c r="C121" s="9" t="s">
        <v>67</v>
      </c>
      <c r="D121" s="493">
        <f t="shared" si="52"/>
        <v>0</v>
      </c>
      <c r="E121" s="493">
        <f t="shared" si="51"/>
        <v>0</v>
      </c>
      <c r="F121" s="493" t="str">
        <f t="shared" si="51"/>
        <v>-</v>
      </c>
      <c r="G121" s="493" t="str">
        <f t="shared" si="51"/>
        <v>-</v>
      </c>
      <c r="H121" s="493">
        <f t="shared" si="51"/>
        <v>0</v>
      </c>
      <c r="I121" s="493" t="str">
        <f t="shared" si="51"/>
        <v>-</v>
      </c>
      <c r="J121" s="493">
        <f t="shared" si="51"/>
        <v>0</v>
      </c>
      <c r="K121" s="493">
        <f t="shared" si="51"/>
        <v>0</v>
      </c>
      <c r="L121" s="493" t="str">
        <f t="shared" si="51"/>
        <v>-</v>
      </c>
      <c r="M121" s="493">
        <f t="shared" si="51"/>
        <v>0</v>
      </c>
      <c r="N121" s="493" t="str">
        <f t="shared" si="51"/>
        <v>-</v>
      </c>
      <c r="O121" s="493" t="str">
        <f t="shared" si="51"/>
        <v>-</v>
      </c>
      <c r="P121" s="493" t="str">
        <f t="shared" si="51"/>
        <v>-</v>
      </c>
      <c r="Q121" s="493" t="str">
        <f t="shared" si="51"/>
        <v>-</v>
      </c>
      <c r="R121" s="493" t="str">
        <f t="shared" si="51"/>
        <v>-</v>
      </c>
      <c r="S121" s="493" t="str">
        <f t="shared" si="51"/>
        <v>-</v>
      </c>
      <c r="T121" s="493" t="str">
        <f t="shared" si="51"/>
        <v>-</v>
      </c>
      <c r="U121" s="493" t="str">
        <f t="shared" si="51"/>
        <v>-</v>
      </c>
      <c r="V121" s="493" t="str">
        <f t="shared" si="51"/>
        <v>-</v>
      </c>
      <c r="W121" s="493">
        <f t="shared" si="51"/>
        <v>0</v>
      </c>
      <c r="X121" s="493">
        <f t="shared" si="51"/>
        <v>0</v>
      </c>
      <c r="Y121" s="493" t="s">
        <v>0</v>
      </c>
    </row>
    <row r="122" spans="3:25">
      <c r="C122" s="9" t="s">
        <v>103</v>
      </c>
      <c r="D122" s="493" t="str">
        <f t="shared" si="52"/>
        <v>-</v>
      </c>
      <c r="E122" s="493" t="str">
        <f t="shared" si="51"/>
        <v>-</v>
      </c>
      <c r="F122" s="493" t="str">
        <f t="shared" si="51"/>
        <v>-</v>
      </c>
      <c r="G122" s="493" t="str">
        <f t="shared" si="51"/>
        <v>-</v>
      </c>
      <c r="H122" s="493">
        <f t="shared" si="51"/>
        <v>0</v>
      </c>
      <c r="I122" s="493" t="str">
        <f t="shared" si="51"/>
        <v>-</v>
      </c>
      <c r="J122" s="493" t="str">
        <f t="shared" si="51"/>
        <v>-</v>
      </c>
      <c r="K122" s="493">
        <f t="shared" si="51"/>
        <v>0</v>
      </c>
      <c r="L122" s="493" t="str">
        <f t="shared" si="51"/>
        <v>-</v>
      </c>
      <c r="M122" s="493">
        <f t="shared" si="51"/>
        <v>0</v>
      </c>
      <c r="N122" s="493" t="str">
        <f t="shared" si="51"/>
        <v>-</v>
      </c>
      <c r="O122" s="493">
        <f t="shared" si="51"/>
        <v>0</v>
      </c>
      <c r="P122" s="493" t="str">
        <f t="shared" si="51"/>
        <v>-</v>
      </c>
      <c r="Q122" s="493" t="str">
        <f t="shared" si="51"/>
        <v>-</v>
      </c>
      <c r="R122" s="493" t="str">
        <f t="shared" si="51"/>
        <v>-</v>
      </c>
      <c r="S122" s="493" t="str">
        <f t="shared" si="51"/>
        <v>-</v>
      </c>
      <c r="T122" s="493" t="str">
        <f t="shared" si="51"/>
        <v>-</v>
      </c>
      <c r="U122" s="493" t="str">
        <f t="shared" si="51"/>
        <v>-</v>
      </c>
      <c r="V122" s="493" t="str">
        <f t="shared" si="51"/>
        <v>-</v>
      </c>
      <c r="W122" s="493">
        <f t="shared" si="51"/>
        <v>0</v>
      </c>
      <c r="X122" s="493">
        <f t="shared" si="51"/>
        <v>0</v>
      </c>
      <c r="Y122" s="493" t="s">
        <v>0</v>
      </c>
    </row>
    <row r="123" spans="3:25">
      <c r="C123" s="9" t="s">
        <v>104</v>
      </c>
      <c r="D123" s="493">
        <f t="shared" si="52"/>
        <v>0</v>
      </c>
      <c r="E123" s="493" t="str">
        <f t="shared" si="51"/>
        <v>-</v>
      </c>
      <c r="F123" s="493">
        <f t="shared" si="51"/>
        <v>0</v>
      </c>
      <c r="G123" s="493">
        <f t="shared" si="51"/>
        <v>-48.505550811272421</v>
      </c>
      <c r="H123" s="493" t="str">
        <f t="shared" si="51"/>
        <v>-</v>
      </c>
      <c r="I123" s="493" t="str">
        <f t="shared" si="51"/>
        <v>-</v>
      </c>
      <c r="J123" s="493" t="str">
        <f t="shared" si="51"/>
        <v>-</v>
      </c>
      <c r="K123" s="493" t="str">
        <f t="shared" si="51"/>
        <v>-</v>
      </c>
      <c r="L123" s="493" t="str">
        <f t="shared" si="51"/>
        <v>-</v>
      </c>
      <c r="M123" s="493" t="str">
        <f t="shared" si="51"/>
        <v>-</v>
      </c>
      <c r="N123" s="493" t="str">
        <f t="shared" si="51"/>
        <v>-</v>
      </c>
      <c r="O123" s="493" t="str">
        <f t="shared" si="51"/>
        <v>-</v>
      </c>
      <c r="P123" s="493">
        <f t="shared" si="51"/>
        <v>-28.422915848377105</v>
      </c>
      <c r="Q123" s="493" t="str">
        <f t="shared" si="51"/>
        <v>-</v>
      </c>
      <c r="R123" s="493" t="str">
        <f t="shared" si="51"/>
        <v>-</v>
      </c>
      <c r="S123" s="493" t="str">
        <f t="shared" si="51"/>
        <v>-</v>
      </c>
      <c r="T123" s="493" t="str">
        <f t="shared" si="51"/>
        <v>-</v>
      </c>
      <c r="U123" s="493" t="str">
        <f t="shared" si="51"/>
        <v>-</v>
      </c>
      <c r="V123" s="493" t="str">
        <f t="shared" si="51"/>
        <v>-</v>
      </c>
      <c r="W123" s="493">
        <f t="shared" si="51"/>
        <v>-40.79353990237977</v>
      </c>
      <c r="X123" s="493">
        <f t="shared" si="51"/>
        <v>-40.401539004964157</v>
      </c>
      <c r="Y123" s="493">
        <f t="shared" si="51"/>
        <v>-48.505550811272421</v>
      </c>
    </row>
    <row r="124" spans="3:25">
      <c r="C124" s="9" t="s">
        <v>105</v>
      </c>
      <c r="D124" s="493" t="str">
        <f t="shared" si="52"/>
        <v>-</v>
      </c>
      <c r="E124" s="493" t="str">
        <f t="shared" si="51"/>
        <v>-</v>
      </c>
      <c r="F124" s="493" t="str">
        <f t="shared" si="51"/>
        <v>-</v>
      </c>
      <c r="G124" s="493">
        <f t="shared" si="51"/>
        <v>0</v>
      </c>
      <c r="H124" s="493" t="str">
        <f t="shared" si="51"/>
        <v>-</v>
      </c>
      <c r="I124" s="493">
        <f t="shared" si="51"/>
        <v>0</v>
      </c>
      <c r="J124" s="493" t="str">
        <f t="shared" si="51"/>
        <v>-</v>
      </c>
      <c r="K124" s="493" t="str">
        <f t="shared" si="51"/>
        <v>-</v>
      </c>
      <c r="L124" s="493" t="str">
        <f t="shared" si="51"/>
        <v>-</v>
      </c>
      <c r="M124" s="493" t="str">
        <f t="shared" si="51"/>
        <v>-</v>
      </c>
      <c r="N124" s="493">
        <f t="shared" si="51"/>
        <v>0</v>
      </c>
      <c r="O124" s="493" t="str">
        <f t="shared" si="51"/>
        <v>-</v>
      </c>
      <c r="P124" s="493" t="str">
        <f t="shared" si="51"/>
        <v>-</v>
      </c>
      <c r="Q124" s="493" t="str">
        <f t="shared" si="51"/>
        <v>-</v>
      </c>
      <c r="R124" s="493" t="str">
        <f t="shared" si="51"/>
        <v>-</v>
      </c>
      <c r="S124" s="493">
        <f t="shared" si="51"/>
        <v>0</v>
      </c>
      <c r="T124" s="493" t="str">
        <f t="shared" si="51"/>
        <v>-</v>
      </c>
      <c r="U124" s="493" t="str">
        <f t="shared" si="51"/>
        <v>-</v>
      </c>
      <c r="V124" s="493" t="str">
        <f t="shared" si="51"/>
        <v>-</v>
      </c>
      <c r="W124" s="493">
        <f t="shared" si="51"/>
        <v>0</v>
      </c>
      <c r="X124" s="493" t="s">
        <v>0</v>
      </c>
      <c r="Y124" s="493">
        <f t="shared" si="51"/>
        <v>0</v>
      </c>
    </row>
    <row r="125" spans="3:25">
      <c r="C125" s="9" t="s">
        <v>106</v>
      </c>
      <c r="D125" s="493">
        <f t="shared" si="52"/>
        <v>0</v>
      </c>
      <c r="E125" s="493">
        <f t="shared" si="51"/>
        <v>0</v>
      </c>
      <c r="F125" s="493">
        <f t="shared" si="51"/>
        <v>0</v>
      </c>
      <c r="G125" s="493">
        <f t="shared" si="51"/>
        <v>0</v>
      </c>
      <c r="H125" s="493">
        <f t="shared" si="51"/>
        <v>0</v>
      </c>
      <c r="I125" s="493">
        <f t="shared" si="51"/>
        <v>0</v>
      </c>
      <c r="J125" s="493" t="str">
        <f t="shared" si="51"/>
        <v>-</v>
      </c>
      <c r="K125" s="493">
        <f t="shared" si="51"/>
        <v>0</v>
      </c>
      <c r="L125" s="493" t="str">
        <f t="shared" si="51"/>
        <v>-</v>
      </c>
      <c r="M125" s="493">
        <f t="shared" si="51"/>
        <v>0</v>
      </c>
      <c r="N125" s="493" t="str">
        <f t="shared" si="51"/>
        <v>-</v>
      </c>
      <c r="O125" s="493" t="str">
        <f t="shared" si="51"/>
        <v>-</v>
      </c>
      <c r="P125" s="493">
        <f t="shared" si="51"/>
        <v>0</v>
      </c>
      <c r="Q125" s="493">
        <f t="shared" si="51"/>
        <v>0</v>
      </c>
      <c r="R125" s="493" t="str">
        <f t="shared" si="51"/>
        <v>-</v>
      </c>
      <c r="S125" s="493" t="str">
        <f t="shared" si="51"/>
        <v>-</v>
      </c>
      <c r="T125" s="493">
        <f t="shared" si="51"/>
        <v>0</v>
      </c>
      <c r="U125" s="493">
        <f t="shared" si="51"/>
        <v>0</v>
      </c>
      <c r="V125" s="493">
        <f t="shared" si="51"/>
        <v>0</v>
      </c>
      <c r="W125" s="493">
        <f t="shared" ref="E125:Y129" si="53">IF(W105="-","-",((W105/W85)-1)*100)</f>
        <v>0</v>
      </c>
      <c r="X125" s="493">
        <f t="shared" si="53"/>
        <v>0</v>
      </c>
      <c r="Y125" s="493">
        <f t="shared" si="53"/>
        <v>0</v>
      </c>
    </row>
    <row r="126" spans="3:25">
      <c r="C126" s="9" t="s">
        <v>73</v>
      </c>
      <c r="D126" s="493">
        <f t="shared" si="52"/>
        <v>0</v>
      </c>
      <c r="E126" s="493">
        <f t="shared" si="53"/>
        <v>0</v>
      </c>
      <c r="F126" s="493">
        <f t="shared" si="53"/>
        <v>0</v>
      </c>
      <c r="G126" s="493">
        <f t="shared" si="53"/>
        <v>0</v>
      </c>
      <c r="H126" s="493">
        <f t="shared" si="53"/>
        <v>-1.7597780617538916</v>
      </c>
      <c r="I126" s="493" t="str">
        <f t="shared" si="53"/>
        <v>-</v>
      </c>
      <c r="J126" s="493">
        <f t="shared" si="53"/>
        <v>-1.5638724427091355</v>
      </c>
      <c r="K126" s="493">
        <f t="shared" si="53"/>
        <v>-0.3114534877075803</v>
      </c>
      <c r="L126" s="493">
        <f t="shared" si="53"/>
        <v>-0.16708606957869243</v>
      </c>
      <c r="M126" s="493">
        <f t="shared" si="53"/>
        <v>-0.1207087179771138</v>
      </c>
      <c r="N126" s="493" t="str">
        <f t="shared" si="53"/>
        <v>-</v>
      </c>
      <c r="O126" s="493">
        <f t="shared" si="53"/>
        <v>0</v>
      </c>
      <c r="P126" s="493">
        <f t="shared" si="53"/>
        <v>0</v>
      </c>
      <c r="Q126" s="493">
        <f t="shared" si="53"/>
        <v>0</v>
      </c>
      <c r="R126" s="493">
        <f t="shared" si="53"/>
        <v>-0.4800449621579439</v>
      </c>
      <c r="S126" s="493" t="str">
        <f t="shared" si="53"/>
        <v>-</v>
      </c>
      <c r="T126" s="493">
        <f t="shared" si="53"/>
        <v>0</v>
      </c>
      <c r="U126" s="493">
        <f t="shared" si="53"/>
        <v>-9.1384867368926592E-2</v>
      </c>
      <c r="V126" s="493">
        <f t="shared" si="53"/>
        <v>0</v>
      </c>
      <c r="W126" s="493">
        <f t="shared" si="53"/>
        <v>-0.29939444169095886</v>
      </c>
      <c r="X126" s="493">
        <f t="shared" si="53"/>
        <v>-0.30000625123862701</v>
      </c>
      <c r="Y126" s="493">
        <f t="shared" si="53"/>
        <v>0</v>
      </c>
    </row>
    <row r="127" spans="3:25">
      <c r="C127" s="10" t="s">
        <v>90</v>
      </c>
      <c r="D127" s="493">
        <f t="shared" si="52"/>
        <v>0</v>
      </c>
      <c r="E127" s="493">
        <f t="shared" si="53"/>
        <v>0</v>
      </c>
      <c r="F127" s="493">
        <f t="shared" si="53"/>
        <v>0</v>
      </c>
      <c r="G127" s="493">
        <f t="shared" si="53"/>
        <v>0</v>
      </c>
      <c r="H127" s="493">
        <f t="shared" si="53"/>
        <v>0</v>
      </c>
      <c r="I127" s="493" t="str">
        <f t="shared" si="53"/>
        <v>-</v>
      </c>
      <c r="J127" s="493">
        <f t="shared" si="53"/>
        <v>0</v>
      </c>
      <c r="K127" s="493">
        <f t="shared" si="53"/>
        <v>0</v>
      </c>
      <c r="L127" s="493" t="str">
        <f t="shared" si="53"/>
        <v>-</v>
      </c>
      <c r="M127" s="493">
        <f t="shared" si="53"/>
        <v>0</v>
      </c>
      <c r="N127" s="493" t="str">
        <f t="shared" si="53"/>
        <v>-</v>
      </c>
      <c r="O127" s="493" t="str">
        <f t="shared" si="53"/>
        <v>-</v>
      </c>
      <c r="P127" s="493">
        <f t="shared" si="53"/>
        <v>0</v>
      </c>
      <c r="Q127" s="493" t="str">
        <f t="shared" si="53"/>
        <v>-</v>
      </c>
      <c r="R127" s="493">
        <f t="shared" si="53"/>
        <v>0</v>
      </c>
      <c r="S127" s="493">
        <f t="shared" si="53"/>
        <v>0</v>
      </c>
      <c r="T127" s="493" t="str">
        <f t="shared" si="53"/>
        <v>-</v>
      </c>
      <c r="U127" s="493" t="str">
        <f t="shared" si="53"/>
        <v>-</v>
      </c>
      <c r="V127" s="493">
        <f t="shared" si="53"/>
        <v>0</v>
      </c>
      <c r="W127" s="493">
        <f t="shared" si="53"/>
        <v>-1.9890785614112616</v>
      </c>
      <c r="X127" s="493">
        <f t="shared" si="53"/>
        <v>-2.1598778151764919</v>
      </c>
      <c r="Y127" s="493">
        <f t="shared" si="53"/>
        <v>0</v>
      </c>
    </row>
    <row r="128" spans="3:25">
      <c r="C128" s="30" t="s">
        <v>347</v>
      </c>
      <c r="D128" s="494">
        <f t="shared" si="52"/>
        <v>0</v>
      </c>
      <c r="E128" s="494">
        <f t="shared" si="53"/>
        <v>-28.74604281425167</v>
      </c>
      <c r="F128" s="494">
        <f t="shared" si="53"/>
        <v>0</v>
      </c>
      <c r="G128" s="494">
        <f t="shared" si="53"/>
        <v>-10.716612116658252</v>
      </c>
      <c r="H128" s="494">
        <f t="shared" si="53"/>
        <v>-0.13538806343139642</v>
      </c>
      <c r="I128" s="494">
        <f t="shared" si="53"/>
        <v>0</v>
      </c>
      <c r="J128" s="494">
        <f t="shared" si="53"/>
        <v>-0.6853561969799804</v>
      </c>
      <c r="K128" s="494">
        <f t="shared" si="53"/>
        <v>-4.6825288405116794E-2</v>
      </c>
      <c r="L128" s="494">
        <f t="shared" si="53"/>
        <v>-78.112633248709827</v>
      </c>
      <c r="M128" s="494">
        <f t="shared" si="53"/>
        <v>-1.4246603506318234E-2</v>
      </c>
      <c r="N128" s="494">
        <f t="shared" si="53"/>
        <v>0</v>
      </c>
      <c r="O128" s="494">
        <f t="shared" si="53"/>
        <v>0</v>
      </c>
      <c r="P128" s="494">
        <f t="shared" si="53"/>
        <v>-14.931530144728111</v>
      </c>
      <c r="Q128" s="494">
        <f t="shared" si="53"/>
        <v>0</v>
      </c>
      <c r="R128" s="494">
        <f t="shared" si="53"/>
        <v>-0.44838503925470619</v>
      </c>
      <c r="S128" s="494">
        <f t="shared" si="53"/>
        <v>0</v>
      </c>
      <c r="T128" s="494">
        <f t="shared" si="53"/>
        <v>-0.27027540169960451</v>
      </c>
      <c r="U128" s="494">
        <f t="shared" si="53"/>
        <v>-9.5267722452940795E-3</v>
      </c>
      <c r="V128" s="494">
        <f t="shared" si="53"/>
        <v>0</v>
      </c>
      <c r="W128" s="494">
        <f t="shared" si="53"/>
        <v>-7.2308185303224253</v>
      </c>
      <c r="X128" s="494">
        <f t="shared" si="53"/>
        <v>-7.4530043555234737</v>
      </c>
      <c r="Y128" s="494">
        <f t="shared" si="53"/>
        <v>-4.8463988078541682</v>
      </c>
    </row>
    <row r="129" spans="3:25">
      <c r="C129" s="30" t="s">
        <v>32</v>
      </c>
      <c r="D129" s="495">
        <f t="shared" si="52"/>
        <v>4.7419295253088523</v>
      </c>
      <c r="E129" s="495">
        <f t="shared" si="53"/>
        <v>-0.6765389170808378</v>
      </c>
      <c r="F129" s="495">
        <f t="shared" si="53"/>
        <v>2.2352591221963536E-2</v>
      </c>
      <c r="G129" s="495">
        <f t="shared" si="53"/>
        <v>-9.139112190159338</v>
      </c>
      <c r="H129" s="495">
        <f t="shared" si="53"/>
        <v>0.50754197876343721</v>
      </c>
      <c r="I129" s="495">
        <f t="shared" si="53"/>
        <v>0.47770254613250795</v>
      </c>
      <c r="J129" s="495">
        <f t="shared" si="53"/>
        <v>-0.55687521739253842</v>
      </c>
      <c r="K129" s="495">
        <f t="shared" si="53"/>
        <v>2.9367434311106333</v>
      </c>
      <c r="L129" s="495">
        <f t="shared" si="53"/>
        <v>-13.405032657035687</v>
      </c>
      <c r="M129" s="495">
        <f t="shared" si="53"/>
        <v>3.0891517062037188E-2</v>
      </c>
      <c r="N129" s="495">
        <f t="shared" si="53"/>
        <v>0</v>
      </c>
      <c r="O129" s="495">
        <f t="shared" si="53"/>
        <v>20.368499718152599</v>
      </c>
      <c r="P129" s="495">
        <f t="shared" si="53"/>
        <v>-4.6752904384035681</v>
      </c>
      <c r="Q129" s="495">
        <f t="shared" si="53"/>
        <v>0.12052481864273101</v>
      </c>
      <c r="R129" s="495">
        <f t="shared" si="53"/>
        <v>-0.22759106967797926</v>
      </c>
      <c r="S129" s="495">
        <f t="shared" si="53"/>
        <v>0</v>
      </c>
      <c r="T129" s="495">
        <f t="shared" si="53"/>
        <v>1.9247023277899844</v>
      </c>
      <c r="U129" s="495">
        <f t="shared" si="53"/>
        <v>6.9214513168581959</v>
      </c>
      <c r="V129" s="495">
        <f t="shared" si="53"/>
        <v>-6.6784382119045027E-2</v>
      </c>
      <c r="W129" s="495">
        <f t="shared" si="53"/>
        <v>3.4785072953180673E-2</v>
      </c>
      <c r="X129" s="495">
        <f t="shared" si="53"/>
        <v>0.21823672354790435</v>
      </c>
      <c r="Y129" s="495">
        <f t="shared" si="53"/>
        <v>-3.5136881539515774</v>
      </c>
    </row>
  </sheetData>
  <printOptions gridLines="1" gridLinesSet="0"/>
  <pageMargins left="0.39370078740157483" right="0.39370078740157483" top="0.39370078740157483" bottom="0.39370078740157483" header="0.39370078740157483" footer="0.39370078740157483"/>
  <pageSetup paperSize="9" orientation="portrait" horizontalDpi="4294967292" verticalDpi="4294967292" r:id="rId1"/>
  <headerFooter alignWithMargins="0"/>
  <colBreaks count="1" manualBreakCount="1">
    <brk id="24" max="1048575" man="1"/>
  </colBreaks>
  <ignoredErrors>
    <ignoredError sqref="W22 X80:Y80 X100:Y100" formula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01"/>
  <sheetViews>
    <sheetView showGridLines="0" showRowColHeaders="0" topLeftCell="B1" workbookViewId="0">
      <selection activeCell="B1" sqref="B1"/>
    </sheetView>
  </sheetViews>
  <sheetFormatPr baseColWidth="10" defaultRowHeight="12.75"/>
  <cols>
    <col min="1" max="1" width="0" hidden="1" customWidth="1"/>
    <col min="2" max="2" width="2.7109375" style="13" customWidth="1"/>
  </cols>
  <sheetData>
    <row r="1" spans="1:10" s="13" customFormat="1" ht="21.75" customHeight="1">
      <c r="E1" s="14"/>
      <c r="J1" s="15" t="s">
        <v>86</v>
      </c>
    </row>
    <row r="2" spans="1:10" s="13" customFormat="1" ht="15" customHeight="1">
      <c r="E2" s="14"/>
      <c r="J2" s="362" t="s">
        <v>348</v>
      </c>
    </row>
    <row r="3" spans="1:10" s="13" customFormat="1" ht="19.899999999999999" customHeight="1">
      <c r="C3" s="16"/>
    </row>
    <row r="4" spans="1:10" s="13" customFormat="1" ht="12" customHeight="1">
      <c r="C4" s="16"/>
    </row>
    <row r="5" spans="1:10" s="17" customFormat="1" ht="11.25" customHeight="1">
      <c r="A5" s="13"/>
      <c r="C5" s="183" t="s">
        <v>132</v>
      </c>
    </row>
    <row r="6" spans="1:10" s="17" customFormat="1" ht="11.25" customHeight="1">
      <c r="A6" s="13"/>
      <c r="C6" s="155"/>
      <c r="D6" s="156" t="s">
        <v>129</v>
      </c>
      <c r="E6" s="156" t="s">
        <v>130</v>
      </c>
      <c r="F6" s="156" t="s">
        <v>133</v>
      </c>
    </row>
    <row r="7" spans="1:10" s="17" customFormat="1" ht="11.25" customHeight="1">
      <c r="A7" s="452"/>
      <c r="B7" s="33">
        <v>2016</v>
      </c>
      <c r="C7" s="150" t="s">
        <v>17</v>
      </c>
      <c r="D7" s="158">
        <v>1.9671024062268401</v>
      </c>
      <c r="E7" s="158">
        <v>1.57806067345145</v>
      </c>
      <c r="F7" s="158">
        <v>2.0443402568968398</v>
      </c>
      <c r="G7" s="19"/>
      <c r="H7" s="19"/>
      <c r="I7" s="19"/>
    </row>
    <row r="8" spans="1:10" s="17" customFormat="1" ht="11.25" customHeight="1">
      <c r="A8" s="452"/>
      <c r="B8" s="33"/>
      <c r="C8" s="150" t="s">
        <v>18</v>
      </c>
      <c r="D8" s="158">
        <v>1.8302941137662101</v>
      </c>
      <c r="E8" s="158">
        <v>1.35617511961563</v>
      </c>
      <c r="F8" s="158">
        <v>1.8722488223028799</v>
      </c>
      <c r="G8" s="19"/>
      <c r="H8" s="19"/>
      <c r="I8" s="19"/>
    </row>
    <row r="9" spans="1:10" s="17" customFormat="1" ht="11.25" customHeight="1">
      <c r="A9" s="452"/>
      <c r="B9" s="33"/>
      <c r="C9" s="150" t="s">
        <v>19</v>
      </c>
      <c r="D9" s="158">
        <v>1.56339568686623</v>
      </c>
      <c r="E9" s="158">
        <v>0.87455204338582304</v>
      </c>
      <c r="F9" s="158">
        <v>1.85356759732094</v>
      </c>
      <c r="G9" s="19"/>
      <c r="H9" s="19"/>
      <c r="I9" s="19"/>
    </row>
    <row r="10" spans="1:10" s="17" customFormat="1" ht="11.25" customHeight="1">
      <c r="A10" s="452"/>
      <c r="B10" s="33"/>
      <c r="C10" s="150" t="s">
        <v>20</v>
      </c>
      <c r="D10" s="158">
        <v>1.4427342450988601</v>
      </c>
      <c r="E10" s="158">
        <v>0.68402253722636996</v>
      </c>
      <c r="F10" s="158">
        <v>1.8986205404018901</v>
      </c>
      <c r="G10" s="19"/>
      <c r="H10" s="19"/>
      <c r="I10" s="19"/>
    </row>
    <row r="11" spans="1:10" s="17" customFormat="1" ht="11.25" customHeight="1">
      <c r="A11" s="452"/>
      <c r="B11" s="33"/>
      <c r="C11" s="150" t="s">
        <v>19</v>
      </c>
      <c r="D11" s="158">
        <v>1.3188465386228401</v>
      </c>
      <c r="E11" s="158">
        <v>0.35588791407312698</v>
      </c>
      <c r="F11" s="158">
        <v>2.30231402982393</v>
      </c>
      <c r="G11" s="19"/>
      <c r="H11" s="19"/>
      <c r="I11" s="19"/>
    </row>
    <row r="12" spans="1:10" s="17" customFormat="1" ht="11.25" customHeight="1">
      <c r="A12" s="452"/>
      <c r="B12" s="33"/>
      <c r="C12" s="150" t="s">
        <v>21</v>
      </c>
      <c r="D12" s="158">
        <v>1.1407629174624301</v>
      </c>
      <c r="E12" s="158">
        <v>5.9022884062898094E-2</v>
      </c>
      <c r="F12" s="158">
        <v>2.26005991041478</v>
      </c>
      <c r="G12" s="19"/>
      <c r="H12" s="19"/>
      <c r="I12" s="19"/>
    </row>
    <row r="13" spans="1:10" s="17" customFormat="1" ht="11.25" customHeight="1">
      <c r="A13" s="452"/>
      <c r="B13" s="33"/>
      <c r="C13" s="150" t="s">
        <v>21</v>
      </c>
      <c r="D13" s="158">
        <v>0.93546822883319203</v>
      </c>
      <c r="E13" s="158">
        <v>-7.3520422293327198E-2</v>
      </c>
      <c r="F13" s="158">
        <v>1.6756565426260499</v>
      </c>
      <c r="G13" s="19"/>
      <c r="H13" s="19"/>
      <c r="I13" s="19"/>
    </row>
    <row r="14" spans="1:10" s="17" customFormat="1" ht="11.25" customHeight="1">
      <c r="A14" s="452"/>
      <c r="B14" s="33"/>
      <c r="C14" s="150" t="s">
        <v>20</v>
      </c>
      <c r="D14" s="158">
        <v>0.67596654002315404</v>
      </c>
      <c r="E14" s="158">
        <v>-0.33070149027180101</v>
      </c>
      <c r="F14" s="158">
        <v>1.4550761058006001</v>
      </c>
      <c r="G14" s="19"/>
      <c r="H14" s="19"/>
      <c r="I14" s="19"/>
    </row>
    <row r="15" spans="1:10" s="17" customFormat="1" ht="11.25" customHeight="1">
      <c r="A15" s="452"/>
      <c r="B15" s="455"/>
      <c r="C15" s="150" t="s">
        <v>22</v>
      </c>
      <c r="D15" s="158">
        <v>0.60002817339504</v>
      </c>
      <c r="E15" s="158">
        <v>-0.46170392945509303</v>
      </c>
      <c r="F15" s="158">
        <v>1.60770246408859</v>
      </c>
      <c r="G15" s="19"/>
      <c r="H15" s="19"/>
      <c r="I15" s="19"/>
    </row>
    <row r="16" spans="1:10" s="17" customFormat="1" ht="11.25" customHeight="1">
      <c r="A16" s="452"/>
      <c r="B16" s="33"/>
      <c r="C16" s="150" t="s">
        <v>23</v>
      </c>
      <c r="D16" s="158">
        <v>0.37200441435494302</v>
      </c>
      <c r="E16" s="158">
        <v>-0.64042000830618595</v>
      </c>
      <c r="F16" s="158">
        <v>1.3519230342650801</v>
      </c>
      <c r="G16" s="19"/>
      <c r="H16" s="19"/>
      <c r="I16" s="19"/>
    </row>
    <row r="17" spans="1:9" s="17" customFormat="1" ht="11.25" customHeight="1">
      <c r="A17" s="452"/>
      <c r="B17" s="33"/>
      <c r="C17" s="150" t="s">
        <v>24</v>
      </c>
      <c r="D17" s="158">
        <v>0.343421021681589</v>
      </c>
      <c r="E17" s="158">
        <v>-0.73623435181702201</v>
      </c>
      <c r="F17" s="158">
        <v>1.43016643073219</v>
      </c>
      <c r="G17" s="19"/>
      <c r="H17" s="19"/>
      <c r="I17" s="19"/>
    </row>
    <row r="18" spans="1:9" s="17" customFormat="1" ht="11.25" customHeight="1">
      <c r="A18" s="452"/>
      <c r="B18" s="33"/>
      <c r="C18" s="150" t="s">
        <v>25</v>
      </c>
      <c r="D18" s="158">
        <v>0.28115766039262802</v>
      </c>
      <c r="E18" s="158">
        <v>-0.66237250237592993</v>
      </c>
      <c r="F18" s="158">
        <v>1.4646001612316901</v>
      </c>
      <c r="G18" s="19"/>
      <c r="H18" s="19"/>
      <c r="I18" s="19"/>
    </row>
    <row r="19" spans="1:9" s="17" customFormat="1" ht="11.25" customHeight="1">
      <c r="A19" s="452"/>
      <c r="B19" s="33">
        <v>2017</v>
      </c>
      <c r="C19" s="150" t="s">
        <v>17</v>
      </c>
      <c r="D19" s="158">
        <v>0.47364547514736605</v>
      </c>
      <c r="E19" s="158">
        <v>-0.30558283973767303</v>
      </c>
      <c r="F19" s="158">
        <v>1.66029681054272</v>
      </c>
      <c r="G19" s="19"/>
      <c r="H19" s="19"/>
      <c r="I19" s="19"/>
    </row>
    <row r="20" spans="1:9" s="17" customFormat="1" ht="11.25" customHeight="1">
      <c r="A20" s="452"/>
      <c r="B20" s="33"/>
      <c r="C20" s="150" t="s">
        <v>18</v>
      </c>
      <c r="D20" s="158">
        <v>0.60593495553076193</v>
      </c>
      <c r="E20" s="158">
        <v>-3.43572625457811E-2</v>
      </c>
      <c r="F20" s="158">
        <v>1.7225504549194699</v>
      </c>
      <c r="G20" s="19"/>
      <c r="H20" s="19"/>
      <c r="I20" s="19"/>
    </row>
    <row r="21" spans="1:9" s="17" customFormat="1" ht="11.25" customHeight="1">
      <c r="A21" s="452"/>
      <c r="B21" s="33"/>
      <c r="C21" s="150" t="s">
        <v>19</v>
      </c>
      <c r="D21" s="158">
        <v>1.0364648124210301</v>
      </c>
      <c r="E21" s="158">
        <v>0.69340986585217901</v>
      </c>
      <c r="F21" s="158">
        <v>1.6792475456241001</v>
      </c>
      <c r="G21" s="19"/>
      <c r="H21" s="19"/>
      <c r="I21" s="19"/>
    </row>
    <row r="22" spans="1:9" s="17" customFormat="1" ht="11.25" customHeight="1">
      <c r="A22" s="452"/>
      <c r="B22" s="33"/>
      <c r="C22" s="150" t="s">
        <v>20</v>
      </c>
      <c r="D22" s="158">
        <v>0.87218200988958794</v>
      </c>
      <c r="E22" s="158">
        <v>0.62409579152427097</v>
      </c>
      <c r="F22" s="158">
        <v>1.1090423251580901</v>
      </c>
      <c r="G22" s="19"/>
      <c r="H22" s="19"/>
      <c r="I22" s="19"/>
    </row>
    <row r="23" spans="1:9" s="17" customFormat="1" ht="11.25" customHeight="1">
      <c r="A23" s="452"/>
      <c r="B23" s="33"/>
      <c r="C23" s="150" t="s">
        <v>19</v>
      </c>
      <c r="D23" s="158">
        <v>1.07949478315739</v>
      </c>
      <c r="E23" s="158">
        <v>0.95999135667033109</v>
      </c>
      <c r="F23" s="158">
        <v>0.73693672776560193</v>
      </c>
      <c r="G23" s="19"/>
      <c r="H23" s="19"/>
      <c r="I23" s="19"/>
    </row>
    <row r="24" spans="1:9" s="17" customFormat="1" ht="11.25" customHeight="1">
      <c r="A24" s="452"/>
      <c r="B24" s="33"/>
      <c r="C24" s="150" t="s">
        <v>21</v>
      </c>
      <c r="D24" s="158">
        <v>1.3573154075348801</v>
      </c>
      <c r="E24" s="158">
        <v>1.3221979835898301</v>
      </c>
      <c r="F24" s="158">
        <v>0.83594026043416503</v>
      </c>
      <c r="G24" s="19"/>
      <c r="H24" s="19"/>
      <c r="I24" s="19"/>
    </row>
    <row r="25" spans="1:9" s="17" customFormat="1" ht="11.25" customHeight="1">
      <c r="A25" s="452"/>
      <c r="B25" s="33"/>
      <c r="C25" s="150" t="s">
        <v>21</v>
      </c>
      <c r="D25" s="158">
        <v>1.7016957006765501</v>
      </c>
      <c r="E25" s="158">
        <v>1.7389053543769701</v>
      </c>
      <c r="F25" s="158">
        <v>1.0282320821895801</v>
      </c>
      <c r="G25" s="19"/>
      <c r="H25" s="19"/>
      <c r="I25" s="19"/>
    </row>
    <row r="26" spans="1:9" s="17" customFormat="1" ht="11.25" customHeight="1">
      <c r="A26" s="452"/>
      <c r="B26" s="33"/>
      <c r="C26" s="150" t="s">
        <v>20</v>
      </c>
      <c r="D26" s="158">
        <v>1.92244930682821</v>
      </c>
      <c r="E26" s="158">
        <v>2.0190873745040001</v>
      </c>
      <c r="F26" s="158">
        <v>1.14959196774935</v>
      </c>
      <c r="G26" s="19"/>
      <c r="H26" s="19"/>
      <c r="I26" s="19"/>
    </row>
    <row r="27" spans="1:9" s="17" customFormat="1" ht="11.25" customHeight="1">
      <c r="A27" s="452"/>
      <c r="B27" s="33"/>
      <c r="C27" s="150" t="s">
        <v>22</v>
      </c>
      <c r="D27" s="158">
        <v>2.1277594582825401</v>
      </c>
      <c r="E27" s="158">
        <v>2.3920676754946202</v>
      </c>
      <c r="F27" s="158">
        <v>1.08816389857163</v>
      </c>
      <c r="G27" s="19"/>
      <c r="H27" s="19"/>
      <c r="I27" s="19"/>
    </row>
    <row r="28" spans="1:9" s="17" customFormat="1" ht="11.25" customHeight="1">
      <c r="A28" s="452"/>
      <c r="B28" s="33"/>
      <c r="C28" s="150" t="s">
        <v>23</v>
      </c>
      <c r="D28" s="158">
        <v>2.2565205361086997</v>
      </c>
      <c r="E28" s="158">
        <v>2.75138072784527</v>
      </c>
      <c r="F28" s="158">
        <v>0.78345022945407494</v>
      </c>
      <c r="G28" s="19"/>
      <c r="H28" s="19"/>
      <c r="I28" s="19"/>
    </row>
    <row r="29" spans="1:9" s="17" customFormat="1" ht="11.25" customHeight="1">
      <c r="A29" s="452"/>
      <c r="B29" s="33"/>
      <c r="C29" s="150" t="s">
        <v>24</v>
      </c>
      <c r="D29" s="158">
        <v>2.5750875216126601</v>
      </c>
      <c r="E29" s="158">
        <v>3.2732172091218397</v>
      </c>
      <c r="F29" s="158">
        <v>0.70874514273588907</v>
      </c>
      <c r="G29" s="19"/>
      <c r="H29" s="19"/>
      <c r="I29" s="19"/>
    </row>
    <row r="30" spans="1:9" s="17" customFormat="1" ht="11.25" customHeight="1">
      <c r="A30" s="452"/>
      <c r="B30" s="33"/>
      <c r="C30" s="150" t="s">
        <v>25</v>
      </c>
      <c r="D30" s="158">
        <v>2.7039136271789701</v>
      </c>
      <c r="E30" s="158">
        <v>3.2534023119013695</v>
      </c>
      <c r="F30" s="158">
        <v>0.79896182478300692</v>
      </c>
      <c r="G30" s="19"/>
      <c r="H30" s="19"/>
      <c r="I30" s="19"/>
    </row>
    <row r="31" spans="1:9" s="17" customFormat="1" ht="11.25" customHeight="1">
      <c r="A31" s="452"/>
      <c r="B31" s="33">
        <v>2018</v>
      </c>
      <c r="C31" s="150" t="s">
        <v>17</v>
      </c>
      <c r="D31" s="158">
        <v>2.6793161051484002</v>
      </c>
      <c r="E31" s="158">
        <v>3.0899090725131</v>
      </c>
      <c r="F31" s="158">
        <v>0.58179698882954201</v>
      </c>
      <c r="G31" s="19"/>
      <c r="H31" s="19"/>
      <c r="I31" s="19"/>
    </row>
    <row r="32" spans="1:9" s="17" customFormat="1" ht="11.25" customHeight="1">
      <c r="A32" s="452"/>
      <c r="B32" s="33"/>
      <c r="C32" s="150" t="s">
        <v>18</v>
      </c>
      <c r="D32" s="158">
        <v>2.7671162744270901</v>
      </c>
      <c r="E32" s="158">
        <v>3.0816219882548799</v>
      </c>
      <c r="F32" s="158">
        <v>0.67792689288552799</v>
      </c>
      <c r="G32" s="19"/>
      <c r="H32" s="19"/>
      <c r="I32" s="19"/>
    </row>
    <row r="33" spans="1:9" s="17" customFormat="1" ht="11.25" customHeight="1">
      <c r="A33" s="452"/>
      <c r="B33" s="33"/>
      <c r="C33" s="150" t="s">
        <v>19</v>
      </c>
      <c r="D33" s="158">
        <v>2.4789813109240999</v>
      </c>
      <c r="E33" s="158">
        <v>2.5834938773355898</v>
      </c>
      <c r="F33" s="158">
        <v>0.80298444232191901</v>
      </c>
      <c r="G33" s="19"/>
      <c r="H33" s="19"/>
      <c r="I33" s="19"/>
    </row>
    <row r="34" spans="1:9" s="17" customFormat="1" ht="11.25" customHeight="1">
      <c r="A34" s="452"/>
      <c r="B34" s="33"/>
      <c r="C34" s="150" t="s">
        <v>20</v>
      </c>
      <c r="D34" s="158">
        <v>2.6551777290374701</v>
      </c>
      <c r="E34" s="158">
        <v>2.7573162462818601</v>
      </c>
      <c r="F34" s="158">
        <v>1.3140901961760498</v>
      </c>
      <c r="G34" s="19"/>
      <c r="H34" s="19"/>
      <c r="I34" s="19"/>
    </row>
    <row r="35" spans="1:9" s="17" customFormat="1" ht="11.25" customHeight="1">
      <c r="A35" s="452"/>
      <c r="B35" s="33"/>
      <c r="C35" s="150" t="s">
        <v>19</v>
      </c>
      <c r="D35" s="158">
        <v>2.6001573861714999</v>
      </c>
      <c r="E35" s="158">
        <v>2.5809377909450997</v>
      </c>
      <c r="F35" s="158">
        <v>1.6980113948267699</v>
      </c>
      <c r="G35" s="19"/>
      <c r="H35" s="19"/>
      <c r="I35" s="19"/>
    </row>
    <row r="36" spans="1:9" s="17" customFormat="1" ht="11.25" customHeight="1">
      <c r="A36" s="452"/>
      <c r="B36" s="33"/>
      <c r="C36" s="150" t="s">
        <v>21</v>
      </c>
      <c r="D36" s="158">
        <v>2.28313020459934</v>
      </c>
      <c r="E36" s="158">
        <v>2.2710066265406499</v>
      </c>
      <c r="F36" s="158">
        <v>1.469142871794</v>
      </c>
      <c r="G36" s="19"/>
      <c r="H36" s="19"/>
      <c r="I36" s="19"/>
    </row>
    <row r="37" spans="1:9" s="17" customFormat="1" ht="11.25" customHeight="1">
      <c r="A37" s="452"/>
      <c r="B37" s="33"/>
      <c r="C37" s="150" t="s">
        <v>21</v>
      </c>
      <c r="D37" s="158">
        <v>1.8264054511766301</v>
      </c>
      <c r="E37" s="158">
        <v>1.7370802914931101</v>
      </c>
      <c r="F37" s="158">
        <v>1.3874973127813801</v>
      </c>
      <c r="G37" s="19"/>
      <c r="H37" s="19"/>
      <c r="I37" s="19"/>
    </row>
    <row r="38" spans="1:9" s="17" customFormat="1" ht="11.25" customHeight="1">
      <c r="A38" s="452"/>
      <c r="B38" s="33"/>
      <c r="C38" s="150" t="s">
        <v>20</v>
      </c>
      <c r="D38" s="158">
        <v>1.38975186123935</v>
      </c>
      <c r="E38" s="158">
        <v>1.22139434567754</v>
      </c>
      <c r="F38" s="158">
        <v>1.1892224487629202</v>
      </c>
      <c r="G38" s="19"/>
      <c r="H38" s="19"/>
      <c r="I38" s="19"/>
    </row>
    <row r="39" spans="1:9" s="17" customFormat="1" ht="11.25" customHeight="1">
      <c r="A39" s="452"/>
      <c r="B39" s="33"/>
      <c r="C39" s="150" t="s">
        <v>22</v>
      </c>
      <c r="D39" s="158">
        <v>1.04876815510959</v>
      </c>
      <c r="E39" s="158">
        <v>0.75048963534056801</v>
      </c>
      <c r="F39" s="158">
        <v>1.22071530013768</v>
      </c>
      <c r="G39" s="19"/>
      <c r="H39" s="19"/>
      <c r="I39" s="19"/>
    </row>
    <row r="40" spans="1:9" s="17" customFormat="1" ht="11.25" customHeight="1">
      <c r="A40" s="452"/>
      <c r="B40" s="33"/>
      <c r="C40" s="150" t="s">
        <v>23</v>
      </c>
      <c r="D40" s="158">
        <v>0.83827237562199597</v>
      </c>
      <c r="E40" s="158">
        <v>0.24845203684482597</v>
      </c>
      <c r="F40" s="158">
        <v>1.5796159967239602</v>
      </c>
      <c r="G40" s="19"/>
      <c r="H40" s="19"/>
      <c r="I40" s="19"/>
    </row>
    <row r="41" spans="1:9" s="17" customFormat="1" ht="11.25" customHeight="1">
      <c r="A41" s="452"/>
      <c r="B41" s="33"/>
      <c r="C41" s="150" t="s">
        <v>24</v>
      </c>
      <c r="D41" s="158">
        <v>0.21647307286165601</v>
      </c>
      <c r="E41" s="158">
        <v>-0.54313557586399597</v>
      </c>
      <c r="F41" s="158">
        <v>1.47049254489793</v>
      </c>
      <c r="G41" s="19"/>
      <c r="H41" s="19"/>
      <c r="I41" s="19"/>
    </row>
    <row r="42" spans="1:9" s="17" customFormat="1" ht="11.25" customHeight="1">
      <c r="A42" s="452"/>
      <c r="B42" s="33"/>
      <c r="C42" s="150" t="s">
        <v>25</v>
      </c>
      <c r="D42" s="158">
        <v>-0.15429757659267698</v>
      </c>
      <c r="E42" s="158">
        <v>-0.78367760944115794</v>
      </c>
      <c r="F42" s="158">
        <v>1.1045185340883901</v>
      </c>
      <c r="G42" s="19"/>
      <c r="H42" s="19"/>
      <c r="I42" s="19"/>
    </row>
    <row r="43" spans="1:9" s="17" customFormat="1" ht="11.25" customHeight="1">
      <c r="A43" s="452"/>
      <c r="B43" s="33">
        <v>2019</v>
      </c>
      <c r="C43" s="150" t="s">
        <v>17</v>
      </c>
      <c r="D43" s="158">
        <v>-0.33087427405431602</v>
      </c>
      <c r="E43" s="158">
        <v>-0.83841892628960801</v>
      </c>
      <c r="F43" s="158">
        <v>1.2019821348278101</v>
      </c>
      <c r="G43" s="19"/>
      <c r="H43" s="19"/>
      <c r="I43" s="19"/>
    </row>
    <row r="44" spans="1:9" s="17" customFormat="1" ht="11.25" customHeight="1">
      <c r="A44" s="452"/>
      <c r="B44" s="33"/>
      <c r="C44" s="150" t="s">
        <v>18</v>
      </c>
      <c r="D44" s="158">
        <v>-0.68272806101626904</v>
      </c>
      <c r="E44" s="158">
        <v>-1.1751511017593899</v>
      </c>
      <c r="F44" s="158">
        <v>0.9744588160456541</v>
      </c>
      <c r="G44" s="19"/>
      <c r="H44" s="19"/>
      <c r="I44" s="19"/>
    </row>
    <row r="45" spans="1:9" s="17" customFormat="1" ht="11.25" customHeight="1">
      <c r="A45" s="452"/>
      <c r="B45" s="33"/>
      <c r="C45" s="150" t="s">
        <v>19</v>
      </c>
      <c r="D45" s="158">
        <v>-0.79448559329135005</v>
      </c>
      <c r="E45" s="158">
        <v>-1.35303528503783</v>
      </c>
      <c r="F45" s="158">
        <v>0.85262391411104999</v>
      </c>
      <c r="G45" s="19"/>
      <c r="H45" s="19"/>
      <c r="I45" s="19"/>
    </row>
    <row r="46" spans="1:9" s="17" customFormat="1" ht="11.25" customHeight="1">
      <c r="A46" s="452"/>
      <c r="B46" s="33"/>
      <c r="C46" s="150" t="s">
        <v>20</v>
      </c>
      <c r="D46" s="158">
        <v>-1.2373726906795102</v>
      </c>
      <c r="E46" s="158">
        <v>-1.9095646003264002</v>
      </c>
      <c r="F46" s="158">
        <v>0.63128375363885603</v>
      </c>
      <c r="G46" s="19"/>
      <c r="H46" s="19"/>
      <c r="I46" s="19"/>
    </row>
    <row r="47" spans="1:9" s="17" customFormat="1" ht="11.25" customHeight="1">
      <c r="A47" s="452"/>
      <c r="B47" s="33"/>
      <c r="C47" s="150" t="s">
        <v>19</v>
      </c>
      <c r="D47" s="158">
        <v>-1.6501956912771902</v>
      </c>
      <c r="E47" s="158">
        <v>-2.2933144163114401</v>
      </c>
      <c r="F47" s="158">
        <v>0.209099943801028</v>
      </c>
      <c r="G47" s="19"/>
      <c r="H47" s="19"/>
      <c r="I47" s="19"/>
    </row>
    <row r="48" spans="1:9" s="17" customFormat="1" ht="11.25" customHeight="1">
      <c r="A48" s="452"/>
      <c r="B48" s="33"/>
      <c r="C48" s="150" t="s">
        <v>21</v>
      </c>
      <c r="D48" s="158">
        <v>-1.82036549525959</v>
      </c>
      <c r="E48" s="158">
        <v>-2.6127129387942101</v>
      </c>
      <c r="F48" s="158">
        <v>0.18759772309964198</v>
      </c>
      <c r="G48" s="19"/>
      <c r="H48" s="19"/>
      <c r="I48" s="19"/>
    </row>
    <row r="49" spans="1:9" s="17" customFormat="1" ht="11.25" customHeight="1">
      <c r="A49" s="452"/>
      <c r="B49" s="33"/>
      <c r="C49" s="150" t="s">
        <v>21</v>
      </c>
      <c r="D49" s="158">
        <v>-1.8755524959125101</v>
      </c>
      <c r="E49" s="158">
        <v>-2.7201016379469802</v>
      </c>
      <c r="F49" s="158">
        <v>0.11949004313431799</v>
      </c>
      <c r="G49" s="19"/>
      <c r="H49" s="19"/>
      <c r="I49" s="19"/>
    </row>
    <row r="50" spans="1:9" s="17" customFormat="1" ht="11.25" customHeight="1">
      <c r="A50" s="452"/>
      <c r="B50" s="33"/>
      <c r="C50" s="150" t="s">
        <v>20</v>
      </c>
      <c r="D50" s="158">
        <v>-1.8740483409492099</v>
      </c>
      <c r="E50" s="158">
        <v>-2.7636322023230599</v>
      </c>
      <c r="F50" s="158">
        <v>0.106297515104137</v>
      </c>
      <c r="G50" s="19"/>
      <c r="H50" s="19"/>
      <c r="I50" s="19"/>
    </row>
    <row r="51" spans="1:9" s="17" customFormat="1" ht="11.25" customHeight="1">
      <c r="A51" s="452"/>
      <c r="B51" s="33"/>
      <c r="C51" s="150" t="s">
        <v>22</v>
      </c>
      <c r="D51" s="158">
        <v>-1.97168782093162</v>
      </c>
      <c r="E51" s="158">
        <v>-2.9241592346202601</v>
      </c>
      <c r="F51" s="158">
        <v>-3.0065685489988298E-2</v>
      </c>
      <c r="G51" s="19"/>
      <c r="H51" s="19"/>
      <c r="I51" s="19"/>
    </row>
    <row r="52" spans="1:9" s="17" customFormat="1" ht="11.25" customHeight="1">
      <c r="A52" s="452"/>
      <c r="B52" s="33"/>
      <c r="C52" s="150" t="s">
        <v>23</v>
      </c>
      <c r="D52" s="158">
        <v>-2.1431082209236001</v>
      </c>
      <c r="E52" s="158">
        <v>-3.1128269422127701</v>
      </c>
      <c r="F52" s="158">
        <v>-0.25249459621861103</v>
      </c>
      <c r="G52" s="19"/>
      <c r="H52" s="19"/>
      <c r="I52" s="19"/>
    </row>
    <row r="53" spans="1:9" s="17" customFormat="1" ht="11.25" customHeight="1">
      <c r="A53" s="452"/>
      <c r="B53" s="33"/>
      <c r="C53" s="150" t="s">
        <v>24</v>
      </c>
      <c r="D53" s="158">
        <v>-2.11641334972049</v>
      </c>
      <c r="E53" s="158">
        <v>-3.2128872206052996</v>
      </c>
      <c r="F53" s="158">
        <v>-0.22009128864480801</v>
      </c>
      <c r="G53" s="19"/>
      <c r="H53" s="19"/>
      <c r="I53" s="19"/>
    </row>
    <row r="54" spans="1:9" s="17" customFormat="1" ht="11.25" customHeight="1">
      <c r="A54" s="452"/>
      <c r="B54" s="33"/>
      <c r="C54" s="150" t="s">
        <v>25</v>
      </c>
      <c r="D54" s="158">
        <v>-2.3050508008634498</v>
      </c>
      <c r="E54" s="158">
        <v>-3.65302620315865</v>
      </c>
      <c r="F54" s="158">
        <v>-0.13299285125208901</v>
      </c>
      <c r="G54" s="19"/>
      <c r="H54" s="19"/>
      <c r="I54" s="19"/>
    </row>
    <row r="55" spans="1:9" s="17" customFormat="1" ht="11.25" customHeight="1">
      <c r="A55" s="452"/>
      <c r="B55" s="33">
        <v>2020</v>
      </c>
      <c r="C55" s="150" t="s">
        <v>17</v>
      </c>
      <c r="D55" s="158">
        <v>-2.5523943608738198</v>
      </c>
      <c r="E55" s="158">
        <v>-4.1309166077142301</v>
      </c>
      <c r="F55" s="158">
        <v>-0.27581837058751102</v>
      </c>
      <c r="G55" s="19"/>
      <c r="H55" s="19"/>
      <c r="I55" s="19"/>
    </row>
    <row r="56" spans="1:9" s="17" customFormat="1" ht="11.25" customHeight="1">
      <c r="A56" s="452"/>
      <c r="B56" s="455"/>
      <c r="C56" s="150" t="s">
        <v>18</v>
      </c>
      <c r="D56" s="158">
        <v>-2.5697063001261102</v>
      </c>
      <c r="E56" s="158">
        <v>-4.1531172361763407</v>
      </c>
      <c r="F56" s="158">
        <v>-0.37837049458484501</v>
      </c>
      <c r="G56" s="19"/>
      <c r="H56" s="19"/>
      <c r="I56" s="19"/>
    </row>
    <row r="57" spans="1:9" s="17" customFormat="1" ht="11.25" customHeight="1">
      <c r="A57" s="452"/>
      <c r="B57" s="455"/>
      <c r="C57" s="150" t="s">
        <v>19</v>
      </c>
      <c r="D57" s="158">
        <v>-3.1720505235434704</v>
      </c>
      <c r="E57" s="158">
        <v>-4.55600469422349</v>
      </c>
      <c r="F57" s="158">
        <v>-1.38577347866006</v>
      </c>
      <c r="G57" s="19"/>
      <c r="H57" s="19"/>
      <c r="I57" s="19"/>
    </row>
    <row r="58" spans="1:9" s="17" customFormat="1" ht="11.25" customHeight="1">
      <c r="A58" s="452"/>
      <c r="B58" s="455"/>
      <c r="C58" s="150" t="s">
        <v>20</v>
      </c>
      <c r="D58" s="158">
        <v>-4.8103701533430101</v>
      </c>
      <c r="E58" s="158">
        <v>-6.1642910746099799</v>
      </c>
      <c r="F58" s="158">
        <v>-3.3850748728718001</v>
      </c>
      <c r="G58" s="19"/>
      <c r="H58" s="19"/>
      <c r="I58" s="19"/>
    </row>
    <row r="59" spans="1:9" s="17" customFormat="1" ht="11.25" customHeight="1">
      <c r="A59" s="452"/>
      <c r="B59" s="455"/>
      <c r="C59" s="150" t="s">
        <v>19</v>
      </c>
      <c r="D59" s="158">
        <v>-5.8691793631696205</v>
      </c>
      <c r="E59" s="158">
        <v>-7.010051200509861</v>
      </c>
      <c r="F59" s="158">
        <v>-5.0636267434797402</v>
      </c>
      <c r="G59" s="19"/>
      <c r="H59" s="19"/>
      <c r="I59" s="19"/>
    </row>
    <row r="60" spans="1:9" s="17" customFormat="1" ht="11.25" customHeight="1">
      <c r="A60" s="452"/>
      <c r="B60" s="455"/>
      <c r="C60" s="150" t="s">
        <v>21</v>
      </c>
      <c r="D60" s="158">
        <v>-6.4783472760888499</v>
      </c>
      <c r="E60" s="158">
        <v>-7.4342138891591096</v>
      </c>
      <c r="F60" s="158">
        <v>-6.1585740532972197</v>
      </c>
      <c r="G60" s="19"/>
      <c r="H60" s="19"/>
      <c r="I60" s="19"/>
    </row>
    <row r="61" spans="1:9" s="17" customFormat="1" ht="11.25" customHeight="1">
      <c r="A61" s="452"/>
      <c r="B61" s="33"/>
      <c r="C61" s="150" t="s">
        <v>21</v>
      </c>
      <c r="D61" s="158">
        <v>-7.07900328067511</v>
      </c>
      <c r="E61" s="158">
        <v>-7.8315294568863294</v>
      </c>
      <c r="F61" s="158">
        <v>-7.1792719271284904</v>
      </c>
      <c r="G61" s="19"/>
      <c r="H61" s="19"/>
      <c r="I61" s="19"/>
    </row>
    <row r="62" spans="1:9" s="17" customFormat="1" ht="11.25" customHeight="1">
      <c r="A62" s="452"/>
      <c r="B62" s="33"/>
      <c r="C62" s="150" t="s">
        <v>20</v>
      </c>
      <c r="D62" s="158">
        <v>-7.4920117206685806</v>
      </c>
      <c r="E62" s="158">
        <v>-8.1470344960193</v>
      </c>
      <c r="F62" s="158">
        <v>-7.8189536528511905</v>
      </c>
      <c r="G62" s="19"/>
      <c r="H62" s="19"/>
      <c r="I62" s="19"/>
    </row>
    <row r="63" spans="1:9" s="17" customFormat="1" ht="11.25" customHeight="1">
      <c r="A63" s="452"/>
      <c r="B63" s="33"/>
      <c r="C63" s="150" t="s">
        <v>22</v>
      </c>
      <c r="D63" s="158">
        <v>-7.6772598531035507</v>
      </c>
      <c r="E63" s="158">
        <v>-8.0716314585894704</v>
      </c>
      <c r="F63" s="158">
        <v>-8.6322886255543292</v>
      </c>
      <c r="G63" s="19"/>
      <c r="H63" s="19"/>
      <c r="I63" s="19"/>
    </row>
    <row r="64" spans="1:9" s="17" customFormat="1" ht="11.25" customHeight="1">
      <c r="A64" s="452"/>
      <c r="B64" s="33"/>
      <c r="C64" s="150" t="s">
        <v>23</v>
      </c>
      <c r="D64" s="158">
        <v>-7.7520666458197995</v>
      </c>
      <c r="E64" s="158">
        <v>-7.8927213294198699</v>
      </c>
      <c r="F64" s="158">
        <v>-9.2279382497565994</v>
      </c>
      <c r="G64" s="19"/>
      <c r="H64" s="19"/>
      <c r="I64" s="19"/>
    </row>
    <row r="65" spans="1:16" s="17" customFormat="1" ht="11.25" customHeight="1">
      <c r="A65" s="452"/>
      <c r="B65" s="33"/>
      <c r="C65" s="150" t="s">
        <v>24</v>
      </c>
      <c r="D65" s="158">
        <v>-7.8474500567154006</v>
      </c>
      <c r="E65" s="158">
        <v>-7.5456510085103599</v>
      </c>
      <c r="F65" s="158">
        <v>-10.0632886212078</v>
      </c>
      <c r="G65" s="19"/>
      <c r="H65" s="19"/>
      <c r="I65" s="19"/>
    </row>
    <row r="66" spans="1:16" s="17" customFormat="1" ht="11.25" customHeight="1">
      <c r="A66" s="452"/>
      <c r="B66" s="33"/>
      <c r="C66" s="152" t="s">
        <v>25</v>
      </c>
      <c r="D66" s="159">
        <v>-7.7491550991398706</v>
      </c>
      <c r="E66" s="159">
        <v>-7.0406463533148802</v>
      </c>
      <c r="F66" s="159">
        <v>-10.6536731565336</v>
      </c>
      <c r="G66" s="19"/>
      <c r="H66" s="19"/>
      <c r="I66" s="19"/>
    </row>
    <row r="67" spans="1:16" s="17" customFormat="1" ht="11.25" customHeight="1">
      <c r="A67" s="13"/>
      <c r="C67" s="13"/>
      <c r="D67" s="182"/>
      <c r="E67" s="182"/>
      <c r="F67" s="182"/>
    </row>
    <row r="68" spans="1:16" ht="11.25" customHeight="1">
      <c r="C68" s="183" t="s">
        <v>278</v>
      </c>
    </row>
    <row r="69" spans="1:16" ht="11.25" customHeight="1">
      <c r="B69" s="21"/>
      <c r="C69" s="369"/>
      <c r="D69" s="369"/>
      <c r="E69" s="550" t="s">
        <v>274</v>
      </c>
      <c r="F69" s="550"/>
      <c r="G69" s="550"/>
      <c r="H69" s="550"/>
      <c r="I69" s="550" t="s">
        <v>275</v>
      </c>
      <c r="J69" s="550"/>
      <c r="K69" s="550"/>
      <c r="L69" s="550"/>
      <c r="M69" s="550" t="s">
        <v>276</v>
      </c>
      <c r="N69" s="550"/>
      <c r="O69" s="550"/>
      <c r="P69" s="550"/>
    </row>
    <row r="70" spans="1:16" ht="11.25" customHeight="1">
      <c r="B70" s="21"/>
      <c r="C70" s="370"/>
      <c r="D70" s="370"/>
      <c r="E70" s="371" t="s">
        <v>32</v>
      </c>
      <c r="F70" s="371" t="s">
        <v>130</v>
      </c>
      <c r="G70" s="371" t="s">
        <v>133</v>
      </c>
      <c r="H70" s="371" t="s">
        <v>277</v>
      </c>
      <c r="I70" s="371" t="s">
        <v>32</v>
      </c>
      <c r="J70" s="371" t="s">
        <v>130</v>
      </c>
      <c r="K70" s="371" t="s">
        <v>133</v>
      </c>
      <c r="L70" s="371" t="s">
        <v>277</v>
      </c>
      <c r="M70" s="371" t="s">
        <v>32</v>
      </c>
      <c r="N70" s="371" t="s">
        <v>130</v>
      </c>
      <c r="O70" s="371" t="s">
        <v>133</v>
      </c>
      <c r="P70" s="371" t="s">
        <v>277</v>
      </c>
    </row>
    <row r="71" spans="1:16" ht="11.25" customHeight="1">
      <c r="B71" s="21"/>
      <c r="C71" s="368">
        <v>2017</v>
      </c>
      <c r="D71" s="367"/>
      <c r="E71" s="158">
        <v>2.8650296054509417</v>
      </c>
      <c r="F71" s="158">
        <v>3.1713698473072593</v>
      </c>
      <c r="G71" s="158">
        <v>1.3527860225198918</v>
      </c>
      <c r="H71" s="158">
        <v>4.6106457737588924</v>
      </c>
      <c r="I71" s="158">
        <v>3.1628868300759949</v>
      </c>
      <c r="J71" s="158">
        <v>3.4535704416798874</v>
      </c>
      <c r="K71" s="158">
        <v>1.7402855783970272</v>
      </c>
      <c r="L71" s="158">
        <v>4.7866184070020967</v>
      </c>
      <c r="M71" s="158">
        <v>2.7038469444776503</v>
      </c>
      <c r="N71" s="158">
        <v>3.2534560156702641</v>
      </c>
      <c r="O71" s="158">
        <v>0.79884624123489623</v>
      </c>
      <c r="P71" s="158">
        <v>3.4489033622172816</v>
      </c>
    </row>
    <row r="72" spans="1:16" ht="11.25" customHeight="1">
      <c r="B72" s="21"/>
      <c r="C72" s="368">
        <v>2018</v>
      </c>
      <c r="D72" s="367"/>
      <c r="E72" s="158">
        <v>-0.67178070292318592</v>
      </c>
      <c r="F72" s="158">
        <v>-0.96854365880026938</v>
      </c>
      <c r="G72" s="158">
        <v>8.0736142335746663E-2</v>
      </c>
      <c r="H72" s="158">
        <v>-0.49989511763268712</v>
      </c>
      <c r="I72" s="158">
        <v>-0.69711726092390736</v>
      </c>
      <c r="J72" s="158">
        <v>-0.98549907319009922</v>
      </c>
      <c r="K72" s="158">
        <v>1.9714508267654196E-2</v>
      </c>
      <c r="L72" s="158">
        <v>-0.4951531299667522</v>
      </c>
      <c r="M72" s="158">
        <v>-0.15432538219494196</v>
      </c>
      <c r="N72" s="158">
        <v>-0.78384792487931065</v>
      </c>
      <c r="O72" s="158">
        <v>1.1046247696091305</v>
      </c>
      <c r="P72" s="158">
        <v>1.4835905825474338</v>
      </c>
    </row>
    <row r="73" spans="1:16" ht="11.25" customHeight="1">
      <c r="B73" s="21"/>
      <c r="C73" s="368">
        <v>2019</v>
      </c>
      <c r="D73" s="367"/>
      <c r="E73" s="158">
        <v>-1.8772333319393653</v>
      </c>
      <c r="F73" s="158">
        <v>-3.3574856315432777</v>
      </c>
      <c r="G73" s="158">
        <v>0.19547737867380288</v>
      </c>
      <c r="H73" s="158">
        <v>3.0877200729248377</v>
      </c>
      <c r="I73" s="158">
        <v>-1.9618836051954802</v>
      </c>
      <c r="J73" s="158">
        <v>-3.4406510715144667</v>
      </c>
      <c r="K73" s="158">
        <v>7.9020000462404205E-2</v>
      </c>
      <c r="L73" s="158">
        <v>3.0766955427731668</v>
      </c>
      <c r="M73" s="158">
        <v>-2.3051678441407097</v>
      </c>
      <c r="N73" s="158">
        <v>-3.6528728715678027</v>
      </c>
      <c r="O73" s="158">
        <v>-0.1331374376345118</v>
      </c>
      <c r="P73" s="158">
        <v>2.3244388463135257</v>
      </c>
    </row>
    <row r="74" spans="1:16" ht="11.25" customHeight="1">
      <c r="B74" s="21"/>
      <c r="C74" s="372">
        <v>2020</v>
      </c>
      <c r="D74" s="373"/>
      <c r="E74" s="374">
        <v>-7.3001949216836</v>
      </c>
      <c r="F74" s="374">
        <v>-6.5868923632992011</v>
      </c>
      <c r="G74" s="374">
        <v>-10.298899140155537</v>
      </c>
      <c r="H74" s="374">
        <v>-4.5880283666476114</v>
      </c>
      <c r="I74" s="374">
        <v>-7.5669349526299108</v>
      </c>
      <c r="J74" s="374">
        <v>-6.8854326581537784</v>
      </c>
      <c r="K74" s="374">
        <v>-10.553986565775164</v>
      </c>
      <c r="L74" s="374">
        <v>-4.6777710539237187</v>
      </c>
      <c r="M74" s="374">
        <v>-7.7490846543401437</v>
      </c>
      <c r="N74" s="374">
        <v>-7.0407186756367928</v>
      </c>
      <c r="O74" s="374">
        <v>-10.653555369083879</v>
      </c>
      <c r="P74" s="374">
        <v>-5.5688574507337769</v>
      </c>
    </row>
    <row r="75" spans="1:16">
      <c r="B75" s="2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B76" s="21"/>
    </row>
    <row r="77" spans="1:16">
      <c r="B77" s="21"/>
    </row>
    <row r="78" spans="1:16">
      <c r="B78" s="21"/>
    </row>
    <row r="79" spans="1:16">
      <c r="B79" s="21"/>
    </row>
    <row r="80" spans="1:16">
      <c r="B80" s="21"/>
    </row>
    <row r="81" spans="2:2">
      <c r="B81" s="21"/>
    </row>
    <row r="82" spans="2:2" ht="12.75" customHeight="1">
      <c r="B82" s="21"/>
    </row>
    <row r="83" spans="2:2">
      <c r="B83" s="21"/>
    </row>
    <row r="84" spans="2:2">
      <c r="B84" s="21"/>
    </row>
    <row r="85" spans="2:2">
      <c r="B85" s="21"/>
    </row>
    <row r="86" spans="2:2">
      <c r="B86" s="21"/>
    </row>
    <row r="144" spans="2:2">
      <c r="B144" s="17"/>
    </row>
    <row r="145" spans="2:2">
      <c r="B145" s="17"/>
    </row>
    <row r="147" spans="2:2">
      <c r="B147" s="17"/>
    </row>
    <row r="148" spans="2:2">
      <c r="B148" s="17"/>
    </row>
    <row r="149" spans="2:2">
      <c r="B149" s="17"/>
    </row>
    <row r="150" spans="2:2">
      <c r="B150" s="17"/>
    </row>
    <row r="151" spans="2:2">
      <c r="B151" s="17"/>
    </row>
    <row r="152" spans="2:2">
      <c r="B152" s="17"/>
    </row>
    <row r="153" spans="2:2">
      <c r="B153" s="17"/>
    </row>
    <row r="154" spans="2:2">
      <c r="B154" s="17"/>
    </row>
    <row r="155" spans="2:2">
      <c r="B155" s="17"/>
    </row>
    <row r="156" spans="2:2">
      <c r="B156" s="17"/>
    </row>
    <row r="157" spans="2:2">
      <c r="B157" s="17"/>
    </row>
    <row r="158" spans="2:2">
      <c r="B158" s="17"/>
    </row>
    <row r="159" spans="2:2">
      <c r="B159" s="17"/>
    </row>
    <row r="160" spans="2:2">
      <c r="B160" s="17"/>
    </row>
    <row r="161" spans="2:2">
      <c r="B161" s="17"/>
    </row>
    <row r="162" spans="2:2">
      <c r="B162" s="17"/>
    </row>
    <row r="163" spans="2:2">
      <c r="B163" s="17"/>
    </row>
    <row r="164" spans="2:2">
      <c r="B164" s="17"/>
    </row>
    <row r="165" spans="2:2">
      <c r="B165" s="17"/>
    </row>
    <row r="166" spans="2:2">
      <c r="B166" s="17"/>
    </row>
    <row r="167" spans="2:2">
      <c r="B167" s="17"/>
    </row>
    <row r="168" spans="2:2">
      <c r="B168" s="17"/>
    </row>
    <row r="169" spans="2:2">
      <c r="B169" s="17"/>
    </row>
    <row r="170" spans="2:2">
      <c r="B170" s="17"/>
    </row>
    <row r="172" spans="2:2">
      <c r="B172" s="17"/>
    </row>
    <row r="173" spans="2:2">
      <c r="B173" s="17"/>
    </row>
    <row r="174" spans="2:2">
      <c r="B174" s="17"/>
    </row>
    <row r="175" spans="2:2">
      <c r="B175" s="17"/>
    </row>
    <row r="176" spans="2:2">
      <c r="B176" s="17"/>
    </row>
    <row r="177" spans="2:2">
      <c r="B177" s="17"/>
    </row>
    <row r="178" spans="2:2">
      <c r="B178" s="17"/>
    </row>
    <row r="179" spans="2:2">
      <c r="B179" s="17"/>
    </row>
    <row r="180" spans="2:2">
      <c r="B180" s="17"/>
    </row>
    <row r="181" spans="2:2">
      <c r="B181" s="17"/>
    </row>
    <row r="182" spans="2:2">
      <c r="B182" s="17"/>
    </row>
    <row r="183" spans="2:2">
      <c r="B183" s="17"/>
    </row>
    <row r="184" spans="2:2">
      <c r="B184" s="17"/>
    </row>
    <row r="185" spans="2:2">
      <c r="B185" s="17"/>
    </row>
    <row r="186" spans="2:2">
      <c r="B186" s="17"/>
    </row>
    <row r="187" spans="2:2">
      <c r="B187" s="17"/>
    </row>
    <row r="188" spans="2:2">
      <c r="B188" s="17"/>
    </row>
    <row r="189" spans="2:2">
      <c r="B189" s="17"/>
    </row>
    <row r="190" spans="2:2">
      <c r="B190" s="17"/>
    </row>
    <row r="191" spans="2:2">
      <c r="B191" s="17"/>
    </row>
    <row r="192" spans="2:2">
      <c r="B192" s="17"/>
    </row>
    <row r="193" spans="2:2">
      <c r="B193" s="17"/>
    </row>
    <row r="194" spans="2:2">
      <c r="B194" s="17"/>
    </row>
    <row r="195" spans="2:2">
      <c r="B195" s="17"/>
    </row>
    <row r="196" spans="2:2">
      <c r="B196" s="17"/>
    </row>
    <row r="197" spans="2:2">
      <c r="B197" s="17"/>
    </row>
    <row r="198" spans="2:2">
      <c r="B198" s="17"/>
    </row>
    <row r="199" spans="2:2">
      <c r="B199" s="17"/>
    </row>
    <row r="200" spans="2:2">
      <c r="B200" s="17"/>
    </row>
    <row r="201" spans="2:2">
      <c r="B201" s="17"/>
    </row>
    <row r="202" spans="2:2">
      <c r="B202" s="17"/>
    </row>
    <row r="203" spans="2:2">
      <c r="B203" s="17"/>
    </row>
    <row r="204" spans="2:2">
      <c r="B204" s="17"/>
    </row>
    <row r="205" spans="2:2">
      <c r="B205" s="17"/>
    </row>
    <row r="206" spans="2:2">
      <c r="B206" s="17"/>
    </row>
    <row r="207" spans="2:2">
      <c r="B207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48" spans="2:2">
      <c r="B248" s="17"/>
    </row>
    <row r="250" spans="2:2">
      <c r="B250" s="17"/>
    </row>
    <row r="251" spans="2:2">
      <c r="B251" s="17"/>
    </row>
    <row r="252" spans="2:2">
      <c r="B252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  <row r="260" spans="2:2">
      <c r="B260" s="17"/>
    </row>
    <row r="261" spans="2:2">
      <c r="B261" s="17"/>
    </row>
    <row r="262" spans="2:2">
      <c r="B262" s="17"/>
    </row>
    <row r="263" spans="2:2">
      <c r="B263" s="17"/>
    </row>
    <row r="264" spans="2:2">
      <c r="B264" s="17"/>
    </row>
    <row r="265" spans="2:2">
      <c r="B265" s="17"/>
    </row>
    <row r="266" spans="2:2">
      <c r="B266" s="17"/>
    </row>
    <row r="267" spans="2:2">
      <c r="B267" s="17"/>
    </row>
    <row r="268" spans="2:2">
      <c r="B268" s="17"/>
    </row>
    <row r="269" spans="2:2">
      <c r="B269" s="17"/>
    </row>
    <row r="270" spans="2:2">
      <c r="B270" s="17"/>
    </row>
    <row r="271" spans="2:2">
      <c r="B271" s="17"/>
    </row>
    <row r="272" spans="2:2">
      <c r="B272" s="17"/>
    </row>
    <row r="273" spans="2:2">
      <c r="B273" s="17"/>
    </row>
    <row r="274" spans="2:2">
      <c r="B274" s="17"/>
    </row>
    <row r="275" spans="2:2">
      <c r="B275" s="17"/>
    </row>
    <row r="276" spans="2:2">
      <c r="B276" s="17"/>
    </row>
    <row r="277" spans="2:2">
      <c r="B277" s="17"/>
    </row>
    <row r="278" spans="2:2">
      <c r="B278" s="17"/>
    </row>
    <row r="279" spans="2:2">
      <c r="B279" s="17"/>
    </row>
    <row r="280" spans="2:2">
      <c r="B280" s="17"/>
    </row>
    <row r="281" spans="2:2">
      <c r="B281" s="17"/>
    </row>
    <row r="282" spans="2:2">
      <c r="B282" s="17"/>
    </row>
    <row r="283" spans="2:2">
      <c r="B283" s="17"/>
    </row>
    <row r="284" spans="2:2">
      <c r="B284" s="17"/>
    </row>
    <row r="285" spans="2:2">
      <c r="B285" s="17"/>
    </row>
    <row r="286" spans="2:2">
      <c r="B286" s="17"/>
    </row>
    <row r="287" spans="2:2">
      <c r="B287" s="17"/>
    </row>
    <row r="288" spans="2:2">
      <c r="B288" s="17"/>
    </row>
    <row r="289" spans="2:2">
      <c r="B289" s="17"/>
    </row>
    <row r="295" spans="2:2">
      <c r="B295" s="17"/>
    </row>
    <row r="296" spans="2:2">
      <c r="B296" s="17"/>
    </row>
    <row r="297" spans="2:2">
      <c r="B297" s="17"/>
    </row>
    <row r="298" spans="2:2">
      <c r="B298" s="17"/>
    </row>
    <row r="299" spans="2:2">
      <c r="B299" s="17"/>
    </row>
    <row r="300" spans="2:2">
      <c r="B300" s="17"/>
    </row>
    <row r="301" spans="2:2">
      <c r="B301" s="17"/>
    </row>
  </sheetData>
  <mergeCells count="3">
    <mergeCell ref="E69:H69"/>
    <mergeCell ref="I69:L69"/>
    <mergeCell ref="M69:P69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K259"/>
  <sheetViews>
    <sheetView showGridLines="0" showRowColHeaders="0" topLeftCell="B1" workbookViewId="0">
      <selection activeCell="B1" sqref="B1"/>
    </sheetView>
  </sheetViews>
  <sheetFormatPr baseColWidth="10" defaultRowHeight="12.75"/>
  <cols>
    <col min="1" max="1" width="0" hidden="1" customWidth="1"/>
    <col min="2" max="2" width="2.7109375" style="13" customWidth="1"/>
    <col min="3" max="3" width="22.7109375" customWidth="1"/>
  </cols>
  <sheetData>
    <row r="1" spans="2:11" s="13" customFormat="1" ht="21.75" customHeight="1">
      <c r="F1" s="14"/>
      <c r="J1" s="15" t="s">
        <v>86</v>
      </c>
    </row>
    <row r="2" spans="2:11" s="13" customFormat="1" ht="15" customHeight="1">
      <c r="F2" s="14"/>
      <c r="J2" s="362" t="s">
        <v>348</v>
      </c>
    </row>
    <row r="3" spans="2:11" s="13" customFormat="1" ht="19.899999999999999" customHeight="1">
      <c r="D3" s="16"/>
    </row>
    <row r="4" spans="2:11" s="17" customFormat="1" ht="12" customHeight="1">
      <c r="B4" s="21"/>
      <c r="C4" s="13"/>
    </row>
    <row r="5" spans="2:11">
      <c r="B5" s="21"/>
      <c r="C5" s="547" t="s">
        <v>117</v>
      </c>
      <c r="D5" s="547"/>
      <c r="E5" s="547"/>
      <c r="F5" s="547"/>
      <c r="G5" s="146"/>
      <c r="H5" s="146"/>
      <c r="I5" s="146"/>
      <c r="J5" s="147"/>
    </row>
    <row r="6" spans="2:11">
      <c r="B6" s="21"/>
      <c r="C6" s="134"/>
      <c r="D6" s="134"/>
      <c r="E6" s="134"/>
      <c r="F6" s="148">
        <v>2016</v>
      </c>
      <c r="G6" s="148">
        <v>2017</v>
      </c>
      <c r="H6" s="148">
        <v>2018</v>
      </c>
      <c r="I6" s="148">
        <v>2019</v>
      </c>
      <c r="J6" s="148" t="s">
        <v>349</v>
      </c>
    </row>
    <row r="7" spans="2:11">
      <c r="B7" s="21"/>
      <c r="C7" s="551" t="s">
        <v>33</v>
      </c>
      <c r="D7" s="136" t="s">
        <v>56</v>
      </c>
      <c r="E7" s="136" t="s">
        <v>43</v>
      </c>
      <c r="F7" s="137">
        <v>21615.888999999999</v>
      </c>
      <c r="G7" s="137">
        <v>21724.85</v>
      </c>
      <c r="H7" s="137">
        <v>21726.609999999997</v>
      </c>
      <c r="I7" s="137">
        <v>21738.015999999996</v>
      </c>
      <c r="J7" s="137">
        <v>21753.143999999997</v>
      </c>
    </row>
    <row r="8" spans="2:11">
      <c r="B8" s="21"/>
      <c r="C8" s="552"/>
      <c r="D8" s="136"/>
      <c r="E8" s="136" t="s">
        <v>34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</row>
    <row r="9" spans="2:11">
      <c r="B9" s="21"/>
      <c r="C9" s="552"/>
      <c r="D9" s="136"/>
      <c r="E9" s="138" t="s">
        <v>32</v>
      </c>
      <c r="F9" s="139">
        <f t="shared" ref="F9:I9" si="0">SUM(F7:F8)</f>
        <v>21615.888999999999</v>
      </c>
      <c r="G9" s="139">
        <f t="shared" si="0"/>
        <v>21724.85</v>
      </c>
      <c r="H9" s="139">
        <f t="shared" si="0"/>
        <v>21726.609999999997</v>
      </c>
      <c r="I9" s="139">
        <f t="shared" si="0"/>
        <v>21738.015999999996</v>
      </c>
      <c r="J9" s="139">
        <f t="shared" ref="J9" si="1">SUM(J7:J8)</f>
        <v>21753.143999999997</v>
      </c>
      <c r="K9" s="341"/>
    </row>
    <row r="10" spans="2:11">
      <c r="B10" s="21"/>
      <c r="C10" s="552"/>
      <c r="D10" s="136"/>
      <c r="E10" s="136"/>
      <c r="F10" s="139"/>
      <c r="G10" s="139"/>
      <c r="H10" s="139"/>
      <c r="I10" s="139"/>
      <c r="J10" s="139"/>
    </row>
    <row r="11" spans="2:11">
      <c r="B11" s="21"/>
      <c r="C11" s="552" t="s">
        <v>54</v>
      </c>
      <c r="D11" s="136" t="s">
        <v>56</v>
      </c>
      <c r="E11" s="136" t="s">
        <v>43</v>
      </c>
      <c r="F11" s="137">
        <v>19038.166500000007</v>
      </c>
      <c r="G11" s="137">
        <v>19063.529210000008</v>
      </c>
      <c r="H11" s="137">
        <v>19139.032210000005</v>
      </c>
      <c r="I11" s="137">
        <v>19223.167210000011</v>
      </c>
      <c r="J11" s="137">
        <v>19256.678210000009</v>
      </c>
    </row>
    <row r="12" spans="2:11">
      <c r="B12" s="21"/>
      <c r="C12" s="552"/>
      <c r="D12" s="136"/>
      <c r="E12" s="136" t="s">
        <v>34</v>
      </c>
      <c r="F12" s="137">
        <v>53.378</v>
      </c>
      <c r="G12" s="137">
        <v>53.378</v>
      </c>
      <c r="H12" s="137">
        <v>53.378</v>
      </c>
      <c r="I12" s="137">
        <v>53.378</v>
      </c>
      <c r="J12" s="137">
        <v>53.378</v>
      </c>
    </row>
    <row r="13" spans="2:11">
      <c r="B13" s="21"/>
      <c r="C13" s="552"/>
      <c r="D13" s="136"/>
      <c r="E13" s="138" t="s">
        <v>32</v>
      </c>
      <c r="F13" s="139">
        <f t="shared" ref="F13:I13" si="2">SUM(F11:F12)</f>
        <v>19091.544500000007</v>
      </c>
      <c r="G13" s="139">
        <f t="shared" si="2"/>
        <v>19116.907210000008</v>
      </c>
      <c r="H13" s="139">
        <f t="shared" si="2"/>
        <v>19192.410210000005</v>
      </c>
      <c r="I13" s="139">
        <f t="shared" si="2"/>
        <v>19276.545210000011</v>
      </c>
      <c r="J13" s="139">
        <f t="shared" ref="J13" si="3">SUM(J11:J12)</f>
        <v>19310.05621000001</v>
      </c>
      <c r="K13" s="341"/>
    </row>
    <row r="14" spans="2:11">
      <c r="B14" s="21"/>
      <c r="C14" s="552"/>
      <c r="D14" s="136"/>
      <c r="E14" s="136"/>
      <c r="F14" s="137"/>
      <c r="G14" s="137"/>
      <c r="H14" s="137"/>
      <c r="I14" s="137"/>
      <c r="J14" s="137"/>
    </row>
    <row r="15" spans="2:11">
      <c r="B15" s="21"/>
      <c r="C15" s="552"/>
      <c r="D15" s="135" t="s">
        <v>37</v>
      </c>
      <c r="E15" s="136" t="s">
        <v>43</v>
      </c>
      <c r="F15" s="137">
        <v>1772.8209999999999</v>
      </c>
      <c r="G15" s="137">
        <v>1781.1039999999998</v>
      </c>
      <c r="H15" s="137">
        <v>1825.8269999999998</v>
      </c>
      <c r="I15" s="137">
        <v>1845.2059999999999</v>
      </c>
      <c r="J15" s="137">
        <v>1900.665</v>
      </c>
    </row>
    <row r="16" spans="2:11">
      <c r="B16" s="21"/>
      <c r="C16" s="552"/>
      <c r="D16" s="135"/>
      <c r="E16" s="135" t="s">
        <v>34</v>
      </c>
      <c r="F16" s="137">
        <v>28.114999999999998</v>
      </c>
      <c r="G16" s="137">
        <v>28.114999999999998</v>
      </c>
      <c r="H16" s="137">
        <v>28.114999999999998</v>
      </c>
      <c r="I16" s="137">
        <v>28.114999999999998</v>
      </c>
      <c r="J16" s="137">
        <v>28.114999999999998</v>
      </c>
    </row>
    <row r="17" spans="2:11">
      <c r="B17" s="21"/>
      <c r="C17" s="552"/>
      <c r="D17" s="135"/>
      <c r="E17" s="138" t="s">
        <v>32</v>
      </c>
      <c r="F17" s="139">
        <f t="shared" ref="F17:I17" si="4">SUM(F15:F16)</f>
        <v>1800.9359999999999</v>
      </c>
      <c r="G17" s="139">
        <f t="shared" si="4"/>
        <v>1809.2189999999998</v>
      </c>
      <c r="H17" s="139">
        <f t="shared" si="4"/>
        <v>1853.9419999999998</v>
      </c>
      <c r="I17" s="139">
        <f t="shared" si="4"/>
        <v>1873.3209999999999</v>
      </c>
      <c r="J17" s="139">
        <f t="shared" ref="J17" si="5">SUM(J15:J16)</f>
        <v>1928.78</v>
      </c>
      <c r="K17" s="341"/>
    </row>
    <row r="18" spans="2:11">
      <c r="B18" s="21"/>
      <c r="C18" s="552"/>
      <c r="D18" s="135"/>
      <c r="E18" s="135"/>
      <c r="F18" s="137"/>
      <c r="G18" s="137"/>
      <c r="H18" s="137"/>
      <c r="I18" s="137"/>
      <c r="J18" s="137"/>
    </row>
    <row r="19" spans="2:11">
      <c r="B19" s="21"/>
      <c r="C19" s="552"/>
      <c r="D19" s="135" t="s">
        <v>38</v>
      </c>
      <c r="E19" s="135" t="s">
        <v>43</v>
      </c>
      <c r="F19" s="162">
        <v>1354.1649999999997</v>
      </c>
      <c r="G19" s="162">
        <v>1355.0969999999998</v>
      </c>
      <c r="H19" s="162">
        <v>1481.8359999999998</v>
      </c>
      <c r="I19" s="162">
        <v>1549.192</v>
      </c>
      <c r="J19" s="162">
        <v>1560.9909999999998</v>
      </c>
    </row>
    <row r="20" spans="2:11">
      <c r="B20" s="21"/>
      <c r="C20" s="552"/>
      <c r="D20" s="135"/>
      <c r="E20" s="135" t="s">
        <v>34</v>
      </c>
      <c r="F20" s="162" t="s">
        <v>0</v>
      </c>
      <c r="G20" s="162" t="s">
        <v>0</v>
      </c>
      <c r="H20" s="162" t="s">
        <v>0</v>
      </c>
      <c r="I20" s="162" t="s">
        <v>0</v>
      </c>
      <c r="J20" s="162" t="s">
        <v>0</v>
      </c>
    </row>
    <row r="21" spans="2:11">
      <c r="B21" s="21"/>
      <c r="C21" s="552"/>
      <c r="D21" s="135"/>
      <c r="E21" s="138" t="s">
        <v>32</v>
      </c>
      <c r="F21" s="139">
        <f t="shared" ref="F21:I21" si="6">SUM(F19:F20)</f>
        <v>1354.1649999999997</v>
      </c>
      <c r="G21" s="139">
        <f t="shared" si="6"/>
        <v>1355.0969999999998</v>
      </c>
      <c r="H21" s="139">
        <f t="shared" si="6"/>
        <v>1481.8359999999998</v>
      </c>
      <c r="I21" s="139">
        <f t="shared" si="6"/>
        <v>1549.192</v>
      </c>
      <c r="J21" s="139">
        <f t="shared" ref="J21" si="7">SUM(J19:J20)</f>
        <v>1560.9909999999998</v>
      </c>
      <c r="K21" s="341"/>
    </row>
    <row r="22" spans="2:11" ht="12.75" customHeight="1">
      <c r="B22" s="21"/>
      <c r="C22" s="140"/>
      <c r="D22" s="135"/>
      <c r="E22" s="138"/>
      <c r="F22" s="137"/>
      <c r="G22" s="137"/>
      <c r="H22" s="137"/>
      <c r="I22" s="137"/>
      <c r="J22" s="137"/>
    </row>
    <row r="23" spans="2:11" ht="12.75" customHeight="1">
      <c r="B23" s="21"/>
      <c r="C23" s="141" t="s">
        <v>116</v>
      </c>
      <c r="D23" s="142"/>
      <c r="E23" s="143"/>
      <c r="F23" s="144">
        <f>F9+F13+F17+F21</f>
        <v>43862.534500000009</v>
      </c>
      <c r="G23" s="144">
        <f>G9+G13+G17+G21</f>
        <v>44006.07321000001</v>
      </c>
      <c r="H23" s="144">
        <f>H9+H13+H17+H21</f>
        <v>44254.798210000008</v>
      </c>
      <c r="I23" s="144">
        <f>I9+I13+I17+I21</f>
        <v>44437.074210000013</v>
      </c>
      <c r="J23" s="144">
        <f>J9+J13+J17+J21</f>
        <v>44552.971210000011</v>
      </c>
    </row>
    <row r="24" spans="2:11">
      <c r="B24" s="21"/>
      <c r="F24" s="341"/>
      <c r="G24" s="341"/>
      <c r="H24" s="341"/>
      <c r="I24" s="341"/>
      <c r="J24" s="341"/>
    </row>
    <row r="25" spans="2:11">
      <c r="C25" s="547" t="s">
        <v>260</v>
      </c>
      <c r="D25" s="547"/>
      <c r="E25" s="547"/>
      <c r="F25" s="547"/>
    </row>
    <row r="26" spans="2:11">
      <c r="C26" s="134"/>
      <c r="D26" s="134"/>
      <c r="E26" s="134"/>
      <c r="F26" s="148">
        <v>2016</v>
      </c>
      <c r="G26" s="148">
        <v>2017</v>
      </c>
      <c r="H26" s="148">
        <v>2018</v>
      </c>
      <c r="I26" s="148">
        <v>2019</v>
      </c>
      <c r="J26" s="148" t="s">
        <v>349</v>
      </c>
    </row>
    <row r="27" spans="2:11">
      <c r="C27" s="551" t="s">
        <v>33</v>
      </c>
      <c r="D27" s="136" t="s">
        <v>56</v>
      </c>
      <c r="E27" s="136" t="s">
        <v>43</v>
      </c>
      <c r="F27" s="137">
        <f t="shared" ref="F27:J28" si="8">F7</f>
        <v>21615.888999999999</v>
      </c>
      <c r="G27" s="137">
        <f t="shared" si="8"/>
        <v>21724.85</v>
      </c>
      <c r="H27" s="137">
        <f t="shared" si="8"/>
        <v>21726.609999999997</v>
      </c>
      <c r="I27" s="137">
        <f t="shared" si="8"/>
        <v>21738.015999999996</v>
      </c>
      <c r="J27" s="137">
        <f t="shared" si="8"/>
        <v>21753.143999999997</v>
      </c>
    </row>
    <row r="28" spans="2:11">
      <c r="C28" s="552"/>
      <c r="D28" s="136"/>
      <c r="E28" s="136" t="s">
        <v>34</v>
      </c>
      <c r="F28" s="137">
        <f t="shared" si="8"/>
        <v>0</v>
      </c>
      <c r="G28" s="137">
        <f t="shared" si="8"/>
        <v>0</v>
      </c>
      <c r="H28" s="137">
        <f t="shared" si="8"/>
        <v>0</v>
      </c>
      <c r="I28" s="137">
        <f t="shared" si="8"/>
        <v>0</v>
      </c>
      <c r="J28" s="137">
        <f t="shared" si="8"/>
        <v>0</v>
      </c>
    </row>
    <row r="29" spans="2:11">
      <c r="C29" s="552"/>
      <c r="D29" s="136"/>
      <c r="E29" s="138" t="s">
        <v>32</v>
      </c>
      <c r="F29" s="139">
        <f t="shared" ref="F29:I29" si="9">SUM(F27:F28)</f>
        <v>21615.888999999999</v>
      </c>
      <c r="G29" s="139">
        <f t="shared" si="9"/>
        <v>21724.85</v>
      </c>
      <c r="H29" s="139">
        <f t="shared" si="9"/>
        <v>21726.609999999997</v>
      </c>
      <c r="I29" s="139">
        <f t="shared" si="9"/>
        <v>21738.015999999996</v>
      </c>
      <c r="J29" s="139">
        <f t="shared" ref="J29" si="10">SUM(J27:J28)</f>
        <v>21753.143999999997</v>
      </c>
    </row>
    <row r="30" spans="2:11">
      <c r="C30" s="552" t="s">
        <v>54</v>
      </c>
      <c r="D30" s="136" t="s">
        <v>56</v>
      </c>
      <c r="E30" s="136" t="s">
        <v>43</v>
      </c>
      <c r="F30" s="137">
        <f t="shared" ref="F30:J31" si="11">F11</f>
        <v>19038.166500000007</v>
      </c>
      <c r="G30" s="137">
        <f t="shared" si="11"/>
        <v>19063.529210000008</v>
      </c>
      <c r="H30" s="137">
        <f t="shared" si="11"/>
        <v>19139.032210000005</v>
      </c>
      <c r="I30" s="137">
        <f t="shared" si="11"/>
        <v>19223.167210000011</v>
      </c>
      <c r="J30" s="137">
        <f t="shared" si="11"/>
        <v>19256.678210000009</v>
      </c>
    </row>
    <row r="31" spans="2:11">
      <c r="C31" s="552"/>
      <c r="D31" s="136"/>
      <c r="E31" s="136" t="s">
        <v>34</v>
      </c>
      <c r="F31" s="137">
        <f t="shared" si="11"/>
        <v>53.378</v>
      </c>
      <c r="G31" s="137">
        <f t="shared" si="11"/>
        <v>53.378</v>
      </c>
      <c r="H31" s="137">
        <f t="shared" si="11"/>
        <v>53.378</v>
      </c>
      <c r="I31" s="137">
        <f t="shared" si="11"/>
        <v>53.378</v>
      </c>
      <c r="J31" s="137">
        <f t="shared" si="11"/>
        <v>53.378</v>
      </c>
    </row>
    <row r="32" spans="2:11" ht="12.75" customHeight="1">
      <c r="C32" s="552"/>
      <c r="D32" s="136"/>
      <c r="E32" s="138" t="s">
        <v>32</v>
      </c>
      <c r="F32" s="139">
        <f t="shared" ref="F32:I32" si="12">SUM(F30:F31)</f>
        <v>19091.544500000007</v>
      </c>
      <c r="G32" s="139">
        <f t="shared" si="12"/>
        <v>19116.907210000008</v>
      </c>
      <c r="H32" s="139">
        <f t="shared" si="12"/>
        <v>19192.410210000005</v>
      </c>
      <c r="I32" s="139">
        <f t="shared" si="12"/>
        <v>19276.545210000011</v>
      </c>
      <c r="J32" s="139">
        <f t="shared" ref="J32" si="13">SUM(J30:J31)</f>
        <v>19310.05621000001</v>
      </c>
    </row>
    <row r="33" spans="3:10" ht="12.75" customHeight="1">
      <c r="C33" s="286" t="s">
        <v>116</v>
      </c>
      <c r="D33" s="287"/>
      <c r="E33" s="135"/>
      <c r="F33" s="288">
        <f t="shared" ref="F33:I33" si="14">SUM(F29,F32)</f>
        <v>40707.433500000006</v>
      </c>
      <c r="G33" s="288">
        <f t="shared" si="14"/>
        <v>40841.757210000011</v>
      </c>
      <c r="H33" s="288">
        <f t="shared" si="14"/>
        <v>40919.020210000002</v>
      </c>
      <c r="I33" s="288">
        <f t="shared" si="14"/>
        <v>41014.561210000007</v>
      </c>
      <c r="J33" s="288">
        <f t="shared" ref="J33" si="15">SUM(J29,J32)</f>
        <v>41063.20021000001</v>
      </c>
    </row>
    <row r="34" spans="3:10" ht="22.5">
      <c r="C34" s="141" t="s">
        <v>215</v>
      </c>
      <c r="D34" s="142"/>
      <c r="E34" s="143"/>
      <c r="F34" s="144">
        <v>81525</v>
      </c>
      <c r="G34" s="144">
        <v>82075</v>
      </c>
      <c r="H34" s="144">
        <v>84357</v>
      </c>
      <c r="I34" s="144">
        <v>85157</v>
      </c>
      <c r="J34" s="144">
        <v>86077</v>
      </c>
    </row>
    <row r="35" spans="3:10">
      <c r="F35" s="340"/>
      <c r="G35" s="340"/>
      <c r="H35" s="340"/>
      <c r="I35" s="340"/>
      <c r="J35" s="340"/>
    </row>
    <row r="36" spans="3:10">
      <c r="C36" s="547" t="s">
        <v>259</v>
      </c>
      <c r="D36" s="547"/>
      <c r="E36" s="547"/>
      <c r="F36" s="547"/>
    </row>
    <row r="37" spans="3:10">
      <c r="C37" s="134"/>
      <c r="D37" s="134"/>
      <c r="E37" s="134"/>
      <c r="F37" s="148">
        <v>2016</v>
      </c>
      <c r="G37" s="148">
        <v>2017</v>
      </c>
      <c r="H37" s="148">
        <v>2018</v>
      </c>
      <c r="I37" s="148">
        <v>2019</v>
      </c>
      <c r="J37" s="148" t="s">
        <v>349</v>
      </c>
    </row>
    <row r="38" spans="3:10">
      <c r="C38" s="551" t="s">
        <v>258</v>
      </c>
      <c r="D38" s="136" t="s">
        <v>37</v>
      </c>
      <c r="E38" s="136"/>
      <c r="F38" s="137">
        <v>432.214</v>
      </c>
      <c r="G38" s="137">
        <v>432.214</v>
      </c>
      <c r="H38" s="137">
        <v>432.214</v>
      </c>
      <c r="I38" s="137">
        <v>447.66399999999999</v>
      </c>
      <c r="J38" s="137">
        <v>447.66399999999999</v>
      </c>
    </row>
    <row r="39" spans="3:10">
      <c r="C39" s="552"/>
      <c r="D39" s="136" t="s">
        <v>38</v>
      </c>
      <c r="E39" s="136"/>
      <c r="F39" s="137">
        <v>220.24300000000002</v>
      </c>
      <c r="G39" s="137">
        <v>220.24300000000002</v>
      </c>
      <c r="H39" s="137">
        <v>239.14500000000004</v>
      </c>
      <c r="I39" s="137">
        <v>239.14500000000004</v>
      </c>
      <c r="J39" s="137">
        <v>239.14500000000004</v>
      </c>
    </row>
    <row r="40" spans="3:10">
      <c r="C40" s="552"/>
      <c r="D40" s="138" t="s">
        <v>32</v>
      </c>
      <c r="E40" s="138"/>
      <c r="F40" s="139">
        <f t="shared" ref="F40:I40" si="16">SUM(F38:F39)</f>
        <v>652.45699999999999</v>
      </c>
      <c r="G40" s="139">
        <f t="shared" si="16"/>
        <v>652.45699999999999</v>
      </c>
      <c r="H40" s="139">
        <f t="shared" si="16"/>
        <v>671.35900000000004</v>
      </c>
      <c r="I40" s="139">
        <f t="shared" si="16"/>
        <v>686.80899999999997</v>
      </c>
      <c r="J40" s="139">
        <f t="shared" ref="J40" si="17">SUM(J38:J39)</f>
        <v>686.80899999999997</v>
      </c>
    </row>
    <row r="41" spans="3:10">
      <c r="C41" s="552" t="s">
        <v>305</v>
      </c>
      <c r="D41" s="136" t="s">
        <v>37</v>
      </c>
      <c r="E41" s="136"/>
      <c r="F41" s="137">
        <v>472.13900000000001</v>
      </c>
      <c r="G41" s="137">
        <v>472.13900000000001</v>
      </c>
      <c r="H41" s="137">
        <v>516.86199999999997</v>
      </c>
      <c r="I41" s="137">
        <v>520.29999999999995</v>
      </c>
      <c r="J41" s="137">
        <v>575.75900000000001</v>
      </c>
    </row>
    <row r="42" spans="3:10">
      <c r="C42" s="552"/>
      <c r="D42" s="136" t="s">
        <v>38</v>
      </c>
      <c r="E42" s="136"/>
      <c r="F42" s="162" t="s">
        <v>0</v>
      </c>
      <c r="G42" s="162" t="s">
        <v>0</v>
      </c>
      <c r="H42" s="162">
        <v>67.02</v>
      </c>
      <c r="I42" s="162">
        <v>125.45800000000001</v>
      </c>
      <c r="J42" s="162">
        <v>125.62800000000001</v>
      </c>
    </row>
    <row r="43" spans="3:10">
      <c r="C43" s="552"/>
      <c r="D43" s="138" t="s">
        <v>32</v>
      </c>
      <c r="E43" s="136"/>
      <c r="F43" s="139">
        <f t="shared" ref="F43:I43" si="18">SUM(F41:F42)</f>
        <v>472.13900000000001</v>
      </c>
      <c r="G43" s="139">
        <f t="shared" si="18"/>
        <v>472.13900000000001</v>
      </c>
      <c r="H43" s="139">
        <f t="shared" si="18"/>
        <v>583.88199999999995</v>
      </c>
      <c r="I43" s="139">
        <f t="shared" si="18"/>
        <v>645.75799999999992</v>
      </c>
      <c r="J43" s="139">
        <f t="shared" ref="J43" si="19">SUM(J41:J42)</f>
        <v>701.38700000000006</v>
      </c>
    </row>
    <row r="44" spans="3:10">
      <c r="C44" s="552" t="s">
        <v>306</v>
      </c>
      <c r="D44" s="136" t="s">
        <v>37</v>
      </c>
      <c r="E44" s="136"/>
      <c r="F44" s="137">
        <v>896.58300000000008</v>
      </c>
      <c r="G44" s="137">
        <v>904.8660000000001</v>
      </c>
      <c r="H44" s="137">
        <v>904.8660000000001</v>
      </c>
      <c r="I44" s="137">
        <v>905.35700000000008</v>
      </c>
      <c r="J44" s="137">
        <v>905.35700000000008</v>
      </c>
    </row>
    <row r="45" spans="3:10">
      <c r="C45" s="552"/>
      <c r="D45" s="136" t="s">
        <v>38</v>
      </c>
      <c r="E45" s="136"/>
      <c r="F45" s="137">
        <v>1133.9219999999998</v>
      </c>
      <c r="G45" s="137">
        <v>1134.8539999999998</v>
      </c>
      <c r="H45" s="137">
        <v>1175.6709999999998</v>
      </c>
      <c r="I45" s="137">
        <v>1184.5889999999999</v>
      </c>
      <c r="J45" s="137">
        <v>1196.2179999999998</v>
      </c>
    </row>
    <row r="46" spans="3:10">
      <c r="C46" s="552"/>
      <c r="D46" s="138" t="s">
        <v>32</v>
      </c>
      <c r="E46" s="138"/>
      <c r="F46" s="139">
        <f t="shared" ref="F46:I46" si="20">SUM(F44:F45)</f>
        <v>2030.5049999999999</v>
      </c>
      <c r="G46" s="139">
        <f t="shared" si="20"/>
        <v>2039.7199999999998</v>
      </c>
      <c r="H46" s="139">
        <f t="shared" si="20"/>
        <v>2080.5369999999998</v>
      </c>
      <c r="I46" s="139">
        <f t="shared" si="20"/>
        <v>2089.9459999999999</v>
      </c>
      <c r="J46" s="139">
        <f t="shared" ref="J46" si="21">SUM(J44:J45)</f>
        <v>2101.5749999999998</v>
      </c>
    </row>
    <row r="47" spans="3:10">
      <c r="C47" s="553" t="s">
        <v>215</v>
      </c>
      <c r="D47" s="136" t="s">
        <v>37</v>
      </c>
      <c r="E47" s="136"/>
      <c r="F47" s="137">
        <v>3463</v>
      </c>
      <c r="G47" s="137">
        <v>3463</v>
      </c>
      <c r="H47" s="137">
        <v>3463</v>
      </c>
      <c r="I47" s="137">
        <v>3838</v>
      </c>
      <c r="J47" s="137">
        <v>3838</v>
      </c>
    </row>
    <row r="48" spans="3:10">
      <c r="C48" s="553"/>
      <c r="D48" s="136" t="s">
        <v>38</v>
      </c>
      <c r="E48" s="136"/>
      <c r="F48" s="137">
        <v>2250</v>
      </c>
      <c r="G48" s="137">
        <v>2810</v>
      </c>
      <c r="H48" s="137">
        <v>3310</v>
      </c>
      <c r="I48" s="137">
        <v>3470</v>
      </c>
      <c r="J48" s="137">
        <v>3630</v>
      </c>
    </row>
    <row r="49" spans="3:11">
      <c r="C49" s="554"/>
      <c r="D49" s="337" t="s">
        <v>32</v>
      </c>
      <c r="E49" s="337"/>
      <c r="F49" s="338">
        <f t="shared" ref="F49:I49" si="22">SUM(F47:F48)</f>
        <v>5713</v>
      </c>
      <c r="G49" s="338">
        <f t="shared" si="22"/>
        <v>6273</v>
      </c>
      <c r="H49" s="338">
        <f t="shared" si="22"/>
        <v>6773</v>
      </c>
      <c r="I49" s="338">
        <f t="shared" si="22"/>
        <v>7308</v>
      </c>
      <c r="J49" s="338">
        <f t="shared" ref="J49" si="23">SUM(J47:J48)</f>
        <v>7468</v>
      </c>
      <c r="K49" s="341"/>
    </row>
    <row r="50" spans="3:11">
      <c r="F50" s="394"/>
      <c r="G50" s="394">
        <f>F23-SUM(F33,F40,F43,F46)</f>
        <v>0</v>
      </c>
      <c r="H50" s="394">
        <f>G23-SUM(G33,G40,G43,G46)</f>
        <v>0</v>
      </c>
      <c r="I50" s="394">
        <f>H23-SUM(H33,H40,H43,H46)</f>
        <v>0</v>
      </c>
      <c r="J50" s="394">
        <f>I23-SUM(I33,I40,I43,I46)</f>
        <v>0</v>
      </c>
    </row>
    <row r="51" spans="3:11">
      <c r="F51" s="341"/>
      <c r="G51" s="341"/>
      <c r="H51" s="341"/>
      <c r="I51" s="341"/>
      <c r="J51" s="341"/>
    </row>
    <row r="52" spans="3:11">
      <c r="F52" s="339"/>
      <c r="G52" s="339"/>
      <c r="H52" s="339"/>
      <c r="I52" s="339"/>
      <c r="J52" s="339"/>
    </row>
    <row r="82" spans="2:2">
      <c r="B82" s="145"/>
    </row>
    <row r="83" spans="2:2">
      <c r="B83" s="145"/>
    </row>
    <row r="84" spans="2:2">
      <c r="B84" s="145"/>
    </row>
    <row r="85" spans="2:2">
      <c r="B85" s="145"/>
    </row>
    <row r="86" spans="2:2">
      <c r="B86" s="145"/>
    </row>
    <row r="87" spans="2:2">
      <c r="B87" s="145"/>
    </row>
    <row r="88" spans="2:2">
      <c r="B88" s="145"/>
    </row>
    <row r="89" spans="2:2">
      <c r="B89" s="145"/>
    </row>
    <row r="90" spans="2:2">
      <c r="B90" s="145"/>
    </row>
    <row r="91" spans="2:2">
      <c r="B91" s="145"/>
    </row>
    <row r="92" spans="2:2">
      <c r="B92" s="145"/>
    </row>
    <row r="93" spans="2:2">
      <c r="B93" s="145"/>
    </row>
    <row r="94" spans="2:2">
      <c r="B94" s="145"/>
    </row>
    <row r="95" spans="2:2">
      <c r="B95" s="145"/>
    </row>
    <row r="96" spans="2:2">
      <c r="B96" s="145"/>
    </row>
    <row r="97" spans="2:2">
      <c r="B97" s="145"/>
    </row>
    <row r="98" spans="2:2">
      <c r="B98" s="145"/>
    </row>
    <row r="99" spans="2:2">
      <c r="B99" s="145"/>
    </row>
    <row r="100" spans="2:2">
      <c r="B100" s="145"/>
    </row>
    <row r="101" spans="2:2">
      <c r="B101" s="17"/>
    </row>
    <row r="102" spans="2:2">
      <c r="B102" s="17"/>
    </row>
    <row r="103" spans="2:2">
      <c r="B103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  <row r="149" spans="2:2">
      <c r="B149" s="17"/>
    </row>
    <row r="150" spans="2:2">
      <c r="B150" s="17"/>
    </row>
    <row r="151" spans="2:2">
      <c r="B151" s="17"/>
    </row>
    <row r="152" spans="2:2">
      <c r="B152" s="17"/>
    </row>
    <row r="153" spans="2:2">
      <c r="B153" s="17"/>
    </row>
    <row r="154" spans="2:2">
      <c r="B154" s="17"/>
    </row>
    <row r="155" spans="2:2">
      <c r="B155" s="17"/>
    </row>
    <row r="156" spans="2:2">
      <c r="B156" s="17"/>
    </row>
    <row r="157" spans="2:2">
      <c r="B157" s="17"/>
    </row>
    <row r="158" spans="2:2">
      <c r="B158" s="17"/>
    </row>
    <row r="159" spans="2:2">
      <c r="B159" s="17"/>
    </row>
    <row r="160" spans="2:2">
      <c r="B160" s="17"/>
    </row>
    <row r="161" spans="2:2">
      <c r="B161" s="17"/>
    </row>
    <row r="162" spans="2:2">
      <c r="B162" s="17"/>
    </row>
    <row r="163" spans="2:2">
      <c r="B163" s="17"/>
    </row>
    <row r="164" spans="2:2">
      <c r="B164" s="17"/>
    </row>
    <row r="165" spans="2:2">
      <c r="B165" s="17"/>
    </row>
    <row r="166" spans="2:2">
      <c r="B166" s="17"/>
    </row>
    <row r="167" spans="2:2">
      <c r="B167" s="17"/>
    </row>
    <row r="168" spans="2:2">
      <c r="B168" s="17"/>
    </row>
    <row r="169" spans="2:2">
      <c r="B169" s="17"/>
    </row>
    <row r="175" spans="2:2">
      <c r="B175" s="17"/>
    </row>
    <row r="176" spans="2:2">
      <c r="B176" s="17"/>
    </row>
    <row r="177" spans="2:2">
      <c r="B177" s="17"/>
    </row>
    <row r="178" spans="2:2">
      <c r="B178" s="17"/>
    </row>
    <row r="179" spans="2:2">
      <c r="B179" s="17"/>
    </row>
    <row r="180" spans="2:2">
      <c r="B180" s="17"/>
    </row>
    <row r="197" spans="2:2">
      <c r="B197" s="17"/>
    </row>
    <row r="198" spans="2:2">
      <c r="B198" s="17"/>
    </row>
    <row r="199" spans="2:2">
      <c r="B199" s="17"/>
    </row>
    <row r="200" spans="2:2">
      <c r="B200" s="17"/>
    </row>
    <row r="201" spans="2:2">
      <c r="B201" s="17"/>
    </row>
    <row r="202" spans="2:2">
      <c r="B202" s="17"/>
    </row>
    <row r="203" spans="2:2">
      <c r="B203" s="17"/>
    </row>
    <row r="204" spans="2:2">
      <c r="B204" s="17"/>
    </row>
    <row r="205" spans="2:2">
      <c r="B205" s="17"/>
    </row>
    <row r="206" spans="2:2">
      <c r="B206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2" spans="2:2">
      <c r="B212" s="17"/>
    </row>
    <row r="213" spans="2:2">
      <c r="B213" s="17"/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23" spans="2:2">
      <c r="B223" s="17"/>
    </row>
    <row r="224" spans="2:2">
      <c r="B224" s="17"/>
    </row>
    <row r="225" spans="2:2">
      <c r="B225" s="17"/>
    </row>
    <row r="226" spans="2:2">
      <c r="B226" s="17"/>
    </row>
    <row r="227" spans="2:2">
      <c r="B227" s="17"/>
    </row>
    <row r="228" spans="2:2">
      <c r="B228" s="17"/>
    </row>
    <row r="229" spans="2:2">
      <c r="B229" s="17"/>
    </row>
    <row r="230" spans="2:2">
      <c r="B230" s="17"/>
    </row>
    <row r="231" spans="2:2">
      <c r="B231" s="17"/>
    </row>
    <row r="232" spans="2:2">
      <c r="B232" s="17"/>
    </row>
    <row r="233" spans="2:2">
      <c r="B233" s="17"/>
    </row>
    <row r="234" spans="2:2">
      <c r="B234" s="17"/>
    </row>
    <row r="235" spans="2:2">
      <c r="B235" s="17"/>
    </row>
    <row r="236" spans="2:2">
      <c r="B236" s="17"/>
    </row>
    <row r="237" spans="2:2">
      <c r="B237" s="17"/>
    </row>
    <row r="238" spans="2:2">
      <c r="B238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</sheetData>
  <mergeCells count="11">
    <mergeCell ref="C38:C40"/>
    <mergeCell ref="C41:C43"/>
    <mergeCell ref="C44:C46"/>
    <mergeCell ref="C47:C49"/>
    <mergeCell ref="C5:F5"/>
    <mergeCell ref="C25:F25"/>
    <mergeCell ref="C36:F36"/>
    <mergeCell ref="C7:C10"/>
    <mergeCell ref="C11:C21"/>
    <mergeCell ref="C27:C29"/>
    <mergeCell ref="C30:C32"/>
  </mergeCells>
  <phoneticPr fontId="62" type="noConversion"/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K439"/>
  <sheetViews>
    <sheetView showGridLines="0" showRowColHeaders="0" topLeftCell="B1" workbookViewId="0">
      <selection activeCell="B1" sqref="B1"/>
    </sheetView>
  </sheetViews>
  <sheetFormatPr baseColWidth="10" defaultRowHeight="12.75"/>
  <cols>
    <col min="1" max="1" width="0" hidden="1" customWidth="1"/>
    <col min="2" max="2" width="2.7109375" style="13" customWidth="1"/>
    <col min="3" max="3" width="22.7109375" customWidth="1"/>
  </cols>
  <sheetData>
    <row r="1" spans="2:8" s="13" customFormat="1" ht="21.75" customHeight="1">
      <c r="F1" s="14"/>
      <c r="H1" s="15" t="s">
        <v>86</v>
      </c>
    </row>
    <row r="2" spans="2:8" s="13" customFormat="1" ht="15" customHeight="1">
      <c r="F2" s="14"/>
      <c r="H2" s="362" t="s">
        <v>348</v>
      </c>
    </row>
    <row r="3" spans="2:8" s="13" customFormat="1" ht="19.899999999999999" customHeight="1">
      <c r="D3" s="16"/>
    </row>
    <row r="4" spans="2:8" ht="11.25" customHeight="1">
      <c r="B4" s="21"/>
      <c r="C4" s="241" t="s">
        <v>389</v>
      </c>
      <c r="D4" s="242"/>
      <c r="E4" s="242"/>
      <c r="F4" s="243"/>
    </row>
    <row r="5" spans="2:8" ht="11.25" customHeight="1">
      <c r="B5" s="21"/>
      <c r="C5" s="244"/>
      <c r="D5" s="244"/>
      <c r="E5" s="245" t="s">
        <v>159</v>
      </c>
      <c r="F5" s="245"/>
    </row>
    <row r="6" spans="2:8" ht="11.25" customHeight="1">
      <c r="B6" s="21"/>
      <c r="C6" s="246"/>
      <c r="D6" s="247" t="s">
        <v>159</v>
      </c>
      <c r="E6" s="247" t="s">
        <v>160</v>
      </c>
      <c r="F6" s="247"/>
    </row>
    <row r="7" spans="2:8" ht="11.25" customHeight="1">
      <c r="B7" s="21"/>
      <c r="C7" s="248"/>
      <c r="D7" s="249">
        <v>2020</v>
      </c>
      <c r="E7" s="250" t="s">
        <v>161</v>
      </c>
      <c r="F7" s="250"/>
    </row>
    <row r="8" spans="2:8" ht="11.25" customHeight="1">
      <c r="B8" s="21"/>
      <c r="C8" s="251">
        <v>43831</v>
      </c>
      <c r="D8" s="252">
        <v>184.31065313992656</v>
      </c>
      <c r="E8" s="252">
        <v>120.61015823780208</v>
      </c>
      <c r="F8" s="252">
        <f>IF($D8&gt;E8,E8,$D8)</f>
        <v>120.61015823780208</v>
      </c>
      <c r="G8" s="396"/>
      <c r="H8" s="361"/>
    </row>
    <row r="9" spans="2:8" ht="11.25" customHeight="1">
      <c r="B9" s="21"/>
      <c r="C9" s="251">
        <v>43832</v>
      </c>
      <c r="D9" s="252">
        <v>192.00076720592654</v>
      </c>
      <c r="E9" s="252">
        <v>120.61015823780208</v>
      </c>
      <c r="F9" s="252">
        <f t="shared" ref="F9:F72" si="0">IF($D9&gt;E9,E9,$D9)</f>
        <v>120.61015823780208</v>
      </c>
      <c r="G9" s="396"/>
    </row>
    <row r="10" spans="2:8" ht="11.25" customHeight="1">
      <c r="B10" s="21"/>
      <c r="C10" s="251">
        <v>43833</v>
      </c>
      <c r="D10" s="252">
        <v>184.82575559392654</v>
      </c>
      <c r="E10" s="252">
        <v>120.61015823780208</v>
      </c>
      <c r="F10" s="252">
        <f t="shared" si="0"/>
        <v>120.61015823780208</v>
      </c>
      <c r="G10" s="396"/>
    </row>
    <row r="11" spans="2:8" ht="11.25" customHeight="1">
      <c r="B11" s="21"/>
      <c r="C11" s="251">
        <v>43834</v>
      </c>
      <c r="D11" s="252">
        <v>172.7011760039247</v>
      </c>
      <c r="E11" s="252">
        <v>120.61015823780208</v>
      </c>
      <c r="F11" s="252">
        <f t="shared" si="0"/>
        <v>120.61015823780208</v>
      </c>
      <c r="G11" s="396"/>
    </row>
    <row r="12" spans="2:8" ht="11.25" customHeight="1">
      <c r="B12" s="21"/>
      <c r="C12" s="251">
        <v>43835</v>
      </c>
      <c r="D12" s="252">
        <v>159.62935820392653</v>
      </c>
      <c r="E12" s="252">
        <v>120.61015823780208</v>
      </c>
      <c r="F12" s="252">
        <f t="shared" si="0"/>
        <v>120.61015823780208</v>
      </c>
      <c r="G12" s="396"/>
    </row>
    <row r="13" spans="2:8" ht="11.25" customHeight="1">
      <c r="B13" s="21"/>
      <c r="C13" s="251">
        <v>43836</v>
      </c>
      <c r="D13" s="252">
        <v>163.17843949992655</v>
      </c>
      <c r="E13" s="252">
        <v>120.61015823780208</v>
      </c>
      <c r="F13" s="252">
        <f t="shared" si="0"/>
        <v>120.61015823780208</v>
      </c>
      <c r="G13" s="396"/>
    </row>
    <row r="14" spans="2:8" ht="11.25" customHeight="1">
      <c r="B14" s="21"/>
      <c r="C14" s="251">
        <v>43837</v>
      </c>
      <c r="D14" s="252">
        <v>178.44633406792653</v>
      </c>
      <c r="E14" s="252">
        <v>120.61015823780208</v>
      </c>
      <c r="F14" s="252">
        <f t="shared" si="0"/>
        <v>120.61015823780208</v>
      </c>
      <c r="G14" s="396"/>
    </row>
    <row r="15" spans="2:8" ht="11.25" customHeight="1">
      <c r="B15" s="21"/>
      <c r="C15" s="251">
        <v>43838</v>
      </c>
      <c r="D15" s="252">
        <v>184.37766332720474</v>
      </c>
      <c r="E15" s="252">
        <v>120.61015823780208</v>
      </c>
      <c r="F15" s="252">
        <f t="shared" si="0"/>
        <v>120.61015823780208</v>
      </c>
      <c r="G15" s="396"/>
    </row>
    <row r="16" spans="2:8" ht="11.25" customHeight="1">
      <c r="B16" s="21"/>
      <c r="C16" s="251">
        <v>43839</v>
      </c>
      <c r="D16" s="252">
        <v>167.81118605720474</v>
      </c>
      <c r="E16" s="252">
        <v>120.61015823780208</v>
      </c>
      <c r="F16" s="252">
        <f t="shared" si="0"/>
        <v>120.61015823780208</v>
      </c>
      <c r="G16" s="396"/>
    </row>
    <row r="17" spans="2:7" ht="11.25" customHeight="1">
      <c r="B17" s="21"/>
      <c r="C17" s="251">
        <v>43840</v>
      </c>
      <c r="D17" s="252">
        <v>172.55013010720475</v>
      </c>
      <c r="E17" s="252">
        <v>120.61015823780208</v>
      </c>
      <c r="F17" s="252">
        <f t="shared" si="0"/>
        <v>120.61015823780208</v>
      </c>
      <c r="G17" s="396"/>
    </row>
    <row r="18" spans="2:7" ht="11.25" customHeight="1">
      <c r="B18" s="21"/>
      <c r="C18" s="251">
        <v>43841</v>
      </c>
      <c r="D18" s="252">
        <v>146.47955262920476</v>
      </c>
      <c r="E18" s="252">
        <v>120.61015823780208</v>
      </c>
      <c r="F18" s="252">
        <f t="shared" si="0"/>
        <v>120.61015823780208</v>
      </c>
      <c r="G18" s="396"/>
    </row>
    <row r="19" spans="2:7" ht="11.25" customHeight="1">
      <c r="B19" s="21"/>
      <c r="C19" s="251">
        <v>43842</v>
      </c>
      <c r="D19" s="252">
        <v>143.21789412520474</v>
      </c>
      <c r="E19" s="252">
        <v>120.61015823780208</v>
      </c>
      <c r="F19" s="252">
        <f t="shared" si="0"/>
        <v>120.61015823780208</v>
      </c>
      <c r="G19" s="396"/>
    </row>
    <row r="20" spans="2:7" ht="11.25" customHeight="1">
      <c r="B20" s="21"/>
      <c r="C20" s="251">
        <v>43843</v>
      </c>
      <c r="D20" s="252">
        <v>168.05978188120474</v>
      </c>
      <c r="E20" s="252">
        <v>120.61015823780208</v>
      </c>
      <c r="F20" s="252">
        <f t="shared" si="0"/>
        <v>120.61015823780208</v>
      </c>
      <c r="G20" s="396"/>
    </row>
    <row r="21" spans="2:7" ht="11.25" customHeight="1">
      <c r="B21" s="21"/>
      <c r="C21" s="251">
        <v>43844</v>
      </c>
      <c r="D21" s="252">
        <v>162.00581978920474</v>
      </c>
      <c r="E21" s="252">
        <v>120.61015823780208</v>
      </c>
      <c r="F21" s="252">
        <f t="shared" si="0"/>
        <v>120.61015823780208</v>
      </c>
      <c r="G21" s="396"/>
    </row>
    <row r="22" spans="2:7" ht="11.25" customHeight="1">
      <c r="B22" s="21"/>
      <c r="C22" s="251">
        <v>43845</v>
      </c>
      <c r="D22" s="252">
        <v>109.51591220692852</v>
      </c>
      <c r="E22" s="252">
        <v>120.61015823780208</v>
      </c>
      <c r="F22" s="252">
        <f t="shared" si="0"/>
        <v>109.51591220692852</v>
      </c>
      <c r="G22" s="397">
        <f>E22</f>
        <v>120.61015823780208</v>
      </c>
    </row>
    <row r="23" spans="2:7" ht="11.25" customHeight="1">
      <c r="B23" s="21"/>
      <c r="C23" s="251">
        <v>43846</v>
      </c>
      <c r="D23" s="252">
        <v>102.83626179493038</v>
      </c>
      <c r="E23" s="252">
        <v>120.61015823780208</v>
      </c>
      <c r="F23" s="252">
        <f t="shared" si="0"/>
        <v>102.83626179493038</v>
      </c>
      <c r="G23" s="396"/>
    </row>
    <row r="24" spans="2:7" ht="11.25" customHeight="1">
      <c r="B24" s="21"/>
      <c r="C24" s="251">
        <v>43847</v>
      </c>
      <c r="D24" s="252">
        <v>95.593275680928514</v>
      </c>
      <c r="E24" s="252">
        <v>120.61015823780208</v>
      </c>
      <c r="F24" s="252">
        <f t="shared" si="0"/>
        <v>95.593275680928514</v>
      </c>
      <c r="G24" s="396"/>
    </row>
    <row r="25" spans="2:7" ht="11.25" customHeight="1">
      <c r="C25" s="251">
        <v>43848</v>
      </c>
      <c r="D25" s="252">
        <v>78.560293868930387</v>
      </c>
      <c r="E25" s="252">
        <v>120.61015823780208</v>
      </c>
      <c r="F25" s="252">
        <f t="shared" si="0"/>
        <v>78.560293868930387</v>
      </c>
      <c r="G25" s="396"/>
    </row>
    <row r="26" spans="2:7" ht="11.25" customHeight="1">
      <c r="C26" s="251">
        <v>43849</v>
      </c>
      <c r="D26" s="252">
        <v>81.28734691492852</v>
      </c>
      <c r="E26" s="252">
        <v>120.61015823780208</v>
      </c>
      <c r="F26" s="252">
        <f t="shared" si="0"/>
        <v>81.28734691492852</v>
      </c>
      <c r="G26" s="396"/>
    </row>
    <row r="27" spans="2:7" ht="11.25" customHeight="1">
      <c r="C27" s="251">
        <v>43850</v>
      </c>
      <c r="D27" s="252">
        <v>107.22600599893039</v>
      </c>
      <c r="E27" s="252">
        <v>120.61015823780208</v>
      </c>
      <c r="F27" s="252">
        <f t="shared" si="0"/>
        <v>107.22600599893039</v>
      </c>
      <c r="G27" s="396"/>
    </row>
    <row r="28" spans="2:7" ht="11.25" customHeight="1">
      <c r="C28" s="251">
        <v>43851</v>
      </c>
      <c r="D28" s="252">
        <v>110.01404580092853</v>
      </c>
      <c r="E28" s="252">
        <v>120.61015823780208</v>
      </c>
      <c r="F28" s="252">
        <f t="shared" si="0"/>
        <v>110.01404580092853</v>
      </c>
      <c r="G28" s="396"/>
    </row>
    <row r="29" spans="2:7" ht="11.25" customHeight="1">
      <c r="C29" s="251">
        <v>43852</v>
      </c>
      <c r="D29" s="252">
        <v>156.74939822485578</v>
      </c>
      <c r="E29" s="252">
        <v>120.61015823780208</v>
      </c>
      <c r="F29" s="252">
        <f t="shared" si="0"/>
        <v>120.61015823780208</v>
      </c>
      <c r="G29" s="396"/>
    </row>
    <row r="30" spans="2:7" ht="11.25" customHeight="1">
      <c r="C30" s="251">
        <v>43853</v>
      </c>
      <c r="D30" s="252">
        <v>153.75199542085761</v>
      </c>
      <c r="E30" s="252">
        <v>120.61015823780208</v>
      </c>
      <c r="F30" s="252">
        <f t="shared" si="0"/>
        <v>120.61015823780208</v>
      </c>
      <c r="G30" s="396"/>
    </row>
    <row r="31" spans="2:7" ht="11.25" customHeight="1">
      <c r="C31" s="251">
        <v>43854</v>
      </c>
      <c r="D31" s="252">
        <v>158.32645952485578</v>
      </c>
      <c r="E31" s="252">
        <v>120.61015823780208</v>
      </c>
      <c r="F31" s="252">
        <f t="shared" si="0"/>
        <v>120.61015823780208</v>
      </c>
      <c r="G31" s="396"/>
    </row>
    <row r="32" spans="2:7" ht="11.25" customHeight="1">
      <c r="C32" s="251">
        <v>43855</v>
      </c>
      <c r="D32" s="252">
        <v>142.17803514085577</v>
      </c>
      <c r="E32" s="252">
        <v>120.61015823780208</v>
      </c>
      <c r="F32" s="252">
        <f t="shared" si="0"/>
        <v>120.61015823780208</v>
      </c>
      <c r="G32" s="396"/>
    </row>
    <row r="33" spans="3:7" ht="11.25" customHeight="1">
      <c r="C33" s="251">
        <v>43856</v>
      </c>
      <c r="D33" s="252">
        <v>113.04152681685576</v>
      </c>
      <c r="E33" s="252">
        <v>120.61015823780208</v>
      </c>
      <c r="F33" s="252">
        <f t="shared" si="0"/>
        <v>113.04152681685576</v>
      </c>
      <c r="G33" s="396"/>
    </row>
    <row r="34" spans="3:7" ht="11.25" customHeight="1">
      <c r="C34" s="251">
        <v>43857</v>
      </c>
      <c r="D34" s="252">
        <v>106.39816320485762</v>
      </c>
      <c r="E34" s="252">
        <v>120.61015823780208</v>
      </c>
      <c r="F34" s="252">
        <f t="shared" si="0"/>
        <v>106.39816320485762</v>
      </c>
      <c r="G34" s="396"/>
    </row>
    <row r="35" spans="3:7" ht="11.25" customHeight="1">
      <c r="C35" s="251">
        <v>43858</v>
      </c>
      <c r="D35" s="252">
        <v>117.32437367885576</v>
      </c>
      <c r="E35" s="252">
        <v>120.61015823780208</v>
      </c>
      <c r="F35" s="252">
        <f t="shared" si="0"/>
        <v>117.32437367885576</v>
      </c>
      <c r="G35" s="396"/>
    </row>
    <row r="36" spans="3:7" ht="11.25" customHeight="1">
      <c r="C36" s="251">
        <v>43859</v>
      </c>
      <c r="D36" s="252">
        <v>163.13722659618944</v>
      </c>
      <c r="E36" s="252">
        <v>120.61015823780208</v>
      </c>
      <c r="F36" s="252">
        <f t="shared" si="0"/>
        <v>120.61015823780208</v>
      </c>
      <c r="G36" s="396"/>
    </row>
    <row r="37" spans="3:7" ht="11.25" customHeight="1">
      <c r="C37" s="251">
        <v>43860</v>
      </c>
      <c r="D37" s="252">
        <v>149.3451413461913</v>
      </c>
      <c r="E37" s="252">
        <v>120.61015823780208</v>
      </c>
      <c r="F37" s="252">
        <f t="shared" si="0"/>
        <v>120.61015823780208</v>
      </c>
      <c r="G37" s="396"/>
    </row>
    <row r="38" spans="3:7" ht="11.25" customHeight="1">
      <c r="C38" s="251">
        <v>43861</v>
      </c>
      <c r="D38" s="252">
        <v>156.07046554418571</v>
      </c>
      <c r="E38" s="252">
        <v>120.61015823780208</v>
      </c>
      <c r="F38" s="252">
        <f t="shared" si="0"/>
        <v>120.61015823780208</v>
      </c>
      <c r="G38" s="396"/>
    </row>
    <row r="39" spans="3:7" ht="11.25" customHeight="1">
      <c r="C39" s="251">
        <v>43862</v>
      </c>
      <c r="D39" s="252">
        <v>145.24361234219128</v>
      </c>
      <c r="E39" s="252">
        <v>123.04180331015149</v>
      </c>
      <c r="F39" s="252">
        <f t="shared" si="0"/>
        <v>123.04180331015149</v>
      </c>
      <c r="G39" s="396"/>
    </row>
    <row r="40" spans="3:7" ht="11.25" customHeight="1">
      <c r="C40" s="251">
        <v>43863</v>
      </c>
      <c r="D40" s="252">
        <v>144.9542028641913</v>
      </c>
      <c r="E40" s="252">
        <v>123.04180331015149</v>
      </c>
      <c r="F40" s="252">
        <f t="shared" si="0"/>
        <v>123.04180331015149</v>
      </c>
      <c r="G40" s="396"/>
    </row>
    <row r="41" spans="3:7" ht="11.25" customHeight="1">
      <c r="C41" s="251">
        <v>43864</v>
      </c>
      <c r="D41" s="252">
        <v>153.95653899618944</v>
      </c>
      <c r="E41" s="252">
        <v>123.04180331015149</v>
      </c>
      <c r="F41" s="252">
        <f t="shared" si="0"/>
        <v>123.04180331015149</v>
      </c>
      <c r="G41" s="396"/>
    </row>
    <row r="42" spans="3:7" ht="11.25" customHeight="1">
      <c r="C42" s="251">
        <v>43865</v>
      </c>
      <c r="D42" s="252">
        <v>147.45303419619316</v>
      </c>
      <c r="E42" s="252">
        <v>123.04180331015149</v>
      </c>
      <c r="F42" s="252">
        <f t="shared" si="0"/>
        <v>123.04180331015149</v>
      </c>
      <c r="G42" s="396"/>
    </row>
    <row r="43" spans="3:7" ht="11.25" customHeight="1">
      <c r="C43" s="251">
        <v>43866</v>
      </c>
      <c r="D43" s="252">
        <v>101.21494766068176</v>
      </c>
      <c r="E43" s="252">
        <v>123.04180331015149</v>
      </c>
      <c r="F43" s="252">
        <f t="shared" si="0"/>
        <v>101.21494766068176</v>
      </c>
      <c r="G43" s="396"/>
    </row>
    <row r="44" spans="3:7" ht="11.25" customHeight="1">
      <c r="C44" s="251">
        <v>43867</v>
      </c>
      <c r="D44" s="252">
        <v>119.89483406868176</v>
      </c>
      <c r="E44" s="252">
        <v>123.04180331015149</v>
      </c>
      <c r="F44" s="252">
        <f t="shared" si="0"/>
        <v>119.89483406868176</v>
      </c>
      <c r="G44" s="396"/>
    </row>
    <row r="45" spans="3:7" ht="11.25" customHeight="1">
      <c r="C45" s="251">
        <v>43868</v>
      </c>
      <c r="D45" s="252">
        <v>132.52511194868177</v>
      </c>
      <c r="E45" s="252">
        <v>123.04180331015149</v>
      </c>
      <c r="F45" s="252">
        <f t="shared" si="0"/>
        <v>123.04180331015149</v>
      </c>
      <c r="G45" s="396"/>
    </row>
    <row r="46" spans="3:7" ht="11.25" customHeight="1">
      <c r="C46" s="251">
        <v>43869</v>
      </c>
      <c r="D46" s="252">
        <v>111.28670961868175</v>
      </c>
      <c r="E46" s="252">
        <v>123.04180331015149</v>
      </c>
      <c r="F46" s="252">
        <f t="shared" si="0"/>
        <v>111.28670961868175</v>
      </c>
      <c r="G46" s="396"/>
    </row>
    <row r="47" spans="3:7" ht="11.25" customHeight="1">
      <c r="C47" s="251">
        <v>43870</v>
      </c>
      <c r="D47" s="252">
        <v>81.632432828679896</v>
      </c>
      <c r="E47" s="252">
        <v>123.04180331015149</v>
      </c>
      <c r="F47" s="252">
        <f t="shared" si="0"/>
        <v>81.632432828679896</v>
      </c>
      <c r="G47" s="396"/>
    </row>
    <row r="48" spans="3:7" ht="11.25" customHeight="1">
      <c r="C48" s="251">
        <v>43871</v>
      </c>
      <c r="D48" s="252">
        <v>93.540708556683612</v>
      </c>
      <c r="E48" s="252">
        <v>123.04180331015149</v>
      </c>
      <c r="F48" s="252">
        <f t="shared" si="0"/>
        <v>93.540708556683612</v>
      </c>
      <c r="G48" s="396"/>
    </row>
    <row r="49" spans="3:7" ht="11.25" customHeight="1">
      <c r="C49" s="251">
        <v>43872</v>
      </c>
      <c r="D49" s="252">
        <v>120.88465370868362</v>
      </c>
      <c r="E49" s="252">
        <v>123.04180331015149</v>
      </c>
      <c r="F49" s="252">
        <f t="shared" si="0"/>
        <v>120.88465370868362</v>
      </c>
      <c r="G49" s="396"/>
    </row>
    <row r="50" spans="3:7" ht="11.25" customHeight="1">
      <c r="C50" s="251">
        <v>43873</v>
      </c>
      <c r="D50" s="252">
        <v>138.6469504695182</v>
      </c>
      <c r="E50" s="252">
        <v>123.04180331015149</v>
      </c>
      <c r="F50" s="252">
        <f t="shared" si="0"/>
        <v>123.04180331015149</v>
      </c>
      <c r="G50" s="396"/>
    </row>
    <row r="51" spans="3:7" ht="11.25" customHeight="1">
      <c r="C51" s="251">
        <v>43874</v>
      </c>
      <c r="D51" s="252">
        <v>96.852409229518202</v>
      </c>
      <c r="E51" s="252">
        <v>123.04180331015149</v>
      </c>
      <c r="F51" s="252">
        <f t="shared" si="0"/>
        <v>96.852409229518202</v>
      </c>
      <c r="G51" s="396"/>
    </row>
    <row r="52" spans="3:7" ht="11.25" customHeight="1">
      <c r="C52" s="251">
        <v>43875</v>
      </c>
      <c r="D52" s="252">
        <v>124.79370678952006</v>
      </c>
      <c r="E52" s="252">
        <v>123.04180331015149</v>
      </c>
      <c r="F52" s="252">
        <f t="shared" si="0"/>
        <v>123.04180331015149</v>
      </c>
      <c r="G52" s="396"/>
    </row>
    <row r="53" spans="3:7" ht="11.25" customHeight="1">
      <c r="C53" s="251">
        <v>43876</v>
      </c>
      <c r="D53" s="252">
        <v>77.77838789951447</v>
      </c>
      <c r="E53" s="252">
        <v>123.04180331015149</v>
      </c>
      <c r="F53" s="252">
        <f t="shared" si="0"/>
        <v>77.77838789951447</v>
      </c>
      <c r="G53" s="397">
        <f>E53</f>
        <v>123.04180331015149</v>
      </c>
    </row>
    <row r="54" spans="3:7" ht="11.25" customHeight="1">
      <c r="C54" s="251">
        <v>43877</v>
      </c>
      <c r="D54" s="252">
        <v>60.043368629521922</v>
      </c>
      <c r="E54" s="252">
        <v>123.04180331015149</v>
      </c>
      <c r="F54" s="252">
        <f t="shared" si="0"/>
        <v>60.043368629521922</v>
      </c>
      <c r="G54" s="396"/>
    </row>
    <row r="55" spans="3:7" ht="11.25" customHeight="1">
      <c r="C55" s="251">
        <v>43878</v>
      </c>
      <c r="D55" s="252">
        <v>83.628993823518201</v>
      </c>
      <c r="E55" s="252">
        <v>123.04180331015149</v>
      </c>
      <c r="F55" s="252">
        <f t="shared" si="0"/>
        <v>83.628993823518201</v>
      </c>
      <c r="G55" s="396"/>
    </row>
    <row r="56" spans="3:7" ht="11.25" customHeight="1">
      <c r="C56" s="251">
        <v>43879</v>
      </c>
      <c r="D56" s="252">
        <v>108.06292742952006</v>
      </c>
      <c r="E56" s="252">
        <v>123.04180331015149</v>
      </c>
      <c r="F56" s="252">
        <f t="shared" si="0"/>
        <v>108.06292742952006</v>
      </c>
      <c r="G56" s="396"/>
    </row>
    <row r="57" spans="3:7" ht="11.25" customHeight="1">
      <c r="C57" s="251">
        <v>43880</v>
      </c>
      <c r="D57" s="252">
        <v>106.53119925888871</v>
      </c>
      <c r="E57" s="252">
        <v>123.04180331015149</v>
      </c>
      <c r="F57" s="252">
        <f t="shared" si="0"/>
        <v>106.53119925888871</v>
      </c>
      <c r="G57" s="396"/>
    </row>
    <row r="58" spans="3:7" ht="11.25" customHeight="1">
      <c r="C58" s="251">
        <v>43881</v>
      </c>
      <c r="D58" s="252">
        <v>108.25581243088871</v>
      </c>
      <c r="E58" s="252">
        <v>123.04180331015149</v>
      </c>
      <c r="F58" s="252">
        <f t="shared" si="0"/>
        <v>108.25581243088871</v>
      </c>
      <c r="G58" s="396"/>
    </row>
    <row r="59" spans="3:7" ht="11.25" customHeight="1">
      <c r="C59" s="251">
        <v>43882</v>
      </c>
      <c r="D59" s="252">
        <v>96.380460498890557</v>
      </c>
      <c r="E59" s="252">
        <v>123.04180331015149</v>
      </c>
      <c r="F59" s="252">
        <f t="shared" si="0"/>
        <v>96.380460498890557</v>
      </c>
      <c r="G59" s="396"/>
    </row>
    <row r="60" spans="3:7" ht="11.25" customHeight="1">
      <c r="C60" s="251">
        <v>43883</v>
      </c>
      <c r="D60" s="252">
        <v>87.246674430888703</v>
      </c>
      <c r="E60" s="252">
        <v>123.04180331015149</v>
      </c>
      <c r="F60" s="252">
        <f t="shared" si="0"/>
        <v>87.246674430888703</v>
      </c>
      <c r="G60" s="396"/>
    </row>
    <row r="61" spans="3:7" ht="11.25" customHeight="1">
      <c r="C61" s="251">
        <v>43884</v>
      </c>
      <c r="D61" s="252">
        <v>70.277641382890565</v>
      </c>
      <c r="E61" s="252">
        <v>123.04180331015149</v>
      </c>
      <c r="F61" s="252">
        <f t="shared" si="0"/>
        <v>70.277641382890565</v>
      </c>
      <c r="G61" s="396"/>
    </row>
    <row r="62" spans="3:7" ht="11.25" customHeight="1">
      <c r="C62" s="251">
        <v>43885</v>
      </c>
      <c r="D62" s="252">
        <v>100.43893846088871</v>
      </c>
      <c r="E62" s="252">
        <v>123.04180331015149</v>
      </c>
      <c r="F62" s="252">
        <f t="shared" si="0"/>
        <v>100.43893846088871</v>
      </c>
      <c r="G62" s="396"/>
    </row>
    <row r="63" spans="3:7" ht="11.25" customHeight="1">
      <c r="C63" s="251">
        <v>43886</v>
      </c>
      <c r="D63" s="252">
        <v>64.336191080890572</v>
      </c>
      <c r="E63" s="252">
        <v>123.04180331015149</v>
      </c>
      <c r="F63" s="252">
        <f t="shared" si="0"/>
        <v>64.336191080890572</v>
      </c>
      <c r="G63" s="396"/>
    </row>
    <row r="64" spans="3:7" ht="11.25" customHeight="1">
      <c r="C64" s="251">
        <v>43887</v>
      </c>
      <c r="D64" s="252">
        <v>73.978974691030174</v>
      </c>
      <c r="E64" s="252">
        <v>123.04180331015149</v>
      </c>
      <c r="F64" s="252">
        <f t="shared" si="0"/>
        <v>73.978974691030174</v>
      </c>
      <c r="G64" s="396"/>
    </row>
    <row r="65" spans="3:7" ht="11.25" customHeight="1">
      <c r="C65" s="251">
        <v>43888</v>
      </c>
      <c r="D65" s="252">
        <v>62.875328969033902</v>
      </c>
      <c r="E65" s="252">
        <v>123.04180331015149</v>
      </c>
      <c r="F65" s="252">
        <f t="shared" si="0"/>
        <v>62.875328969033902</v>
      </c>
      <c r="G65" s="396"/>
    </row>
    <row r="66" spans="3:7" ht="11.25" customHeight="1">
      <c r="C66" s="251">
        <v>43889</v>
      </c>
      <c r="D66" s="252">
        <v>77.942884185033904</v>
      </c>
      <c r="E66" s="252">
        <v>123.04180331015149</v>
      </c>
      <c r="F66" s="252">
        <f t="shared" si="0"/>
        <v>77.942884185033904</v>
      </c>
      <c r="G66" s="396"/>
    </row>
    <row r="67" spans="3:7" ht="11.25" customHeight="1">
      <c r="C67" s="251">
        <v>43890</v>
      </c>
      <c r="D67" s="252">
        <v>37.557855961032047</v>
      </c>
      <c r="E67" s="252">
        <v>123.04180331015149</v>
      </c>
      <c r="F67" s="252">
        <f t="shared" si="0"/>
        <v>37.557855961032047</v>
      </c>
      <c r="G67" s="396"/>
    </row>
    <row r="68" spans="3:7" ht="11.25" customHeight="1">
      <c r="C68" s="251">
        <v>43891</v>
      </c>
      <c r="D68" s="252">
        <v>43.078658777033908</v>
      </c>
      <c r="E68" s="252">
        <v>132.5377482022528</v>
      </c>
      <c r="F68" s="252">
        <f t="shared" si="0"/>
        <v>43.078658777033908</v>
      </c>
      <c r="G68" s="396"/>
    </row>
    <row r="69" spans="3:7" ht="11.25" customHeight="1">
      <c r="C69" s="251">
        <v>43892</v>
      </c>
      <c r="D69" s="252">
        <v>76.267380159032058</v>
      </c>
      <c r="E69" s="252">
        <v>132.5377482022528</v>
      </c>
      <c r="F69" s="252">
        <f t="shared" si="0"/>
        <v>76.267380159032058</v>
      </c>
      <c r="G69" s="396"/>
    </row>
    <row r="70" spans="3:7" ht="11.25" customHeight="1">
      <c r="C70" s="251">
        <v>43893</v>
      </c>
      <c r="D70" s="252">
        <v>77.871578835033915</v>
      </c>
      <c r="E70" s="252">
        <v>132.5377482022528</v>
      </c>
      <c r="F70" s="252">
        <f t="shared" si="0"/>
        <v>77.871578835033915</v>
      </c>
      <c r="G70" s="396"/>
    </row>
    <row r="71" spans="3:7" ht="11.25" customHeight="1">
      <c r="C71" s="251">
        <v>43894</v>
      </c>
      <c r="D71" s="252">
        <v>163.08135390284127</v>
      </c>
      <c r="E71" s="252">
        <v>132.5377482022528</v>
      </c>
      <c r="F71" s="252">
        <f t="shared" si="0"/>
        <v>132.5377482022528</v>
      </c>
      <c r="G71" s="396"/>
    </row>
    <row r="72" spans="3:7" ht="11.25" customHeight="1">
      <c r="C72" s="251">
        <v>43895</v>
      </c>
      <c r="D72" s="252">
        <v>152.79092482284318</v>
      </c>
      <c r="E72" s="252">
        <v>132.5377482022528</v>
      </c>
      <c r="F72" s="252">
        <f t="shared" si="0"/>
        <v>132.5377482022528</v>
      </c>
      <c r="G72" s="396"/>
    </row>
    <row r="73" spans="3:7" ht="11.25" customHeight="1">
      <c r="C73" s="251">
        <v>43896</v>
      </c>
      <c r="D73" s="252">
        <v>160.08122700883942</v>
      </c>
      <c r="E73" s="252">
        <v>132.5377482022528</v>
      </c>
      <c r="F73" s="252">
        <f t="shared" ref="F73:F136" si="1">IF($D73&gt;E73,E73,$D73)</f>
        <v>132.5377482022528</v>
      </c>
      <c r="G73" s="396"/>
    </row>
    <row r="74" spans="3:7" ht="11.25" customHeight="1">
      <c r="C74" s="251">
        <v>43897</v>
      </c>
      <c r="D74" s="252">
        <v>163.19273124284314</v>
      </c>
      <c r="E74" s="252">
        <v>132.5377482022528</v>
      </c>
      <c r="F74" s="252">
        <f t="shared" si="1"/>
        <v>132.5377482022528</v>
      </c>
      <c r="G74" s="396"/>
    </row>
    <row r="75" spans="3:7" ht="11.25" customHeight="1">
      <c r="C75" s="251">
        <v>43898</v>
      </c>
      <c r="D75" s="252">
        <v>160.10030146084125</v>
      </c>
      <c r="E75" s="252">
        <v>132.5377482022528</v>
      </c>
      <c r="F75" s="252">
        <f t="shared" si="1"/>
        <v>132.5377482022528</v>
      </c>
      <c r="G75" s="396"/>
    </row>
    <row r="76" spans="3:7" ht="11.25" customHeight="1">
      <c r="C76" s="251">
        <v>43899</v>
      </c>
      <c r="D76" s="252">
        <v>178.97098321883942</v>
      </c>
      <c r="E76" s="252">
        <v>132.5377482022528</v>
      </c>
      <c r="F76" s="252">
        <f t="shared" si="1"/>
        <v>132.5377482022528</v>
      </c>
      <c r="G76" s="396"/>
    </row>
    <row r="77" spans="3:7" ht="11.25" customHeight="1">
      <c r="C77" s="251">
        <v>43900</v>
      </c>
      <c r="D77" s="252">
        <v>190.54630400084315</v>
      </c>
      <c r="E77" s="252">
        <v>132.5377482022528</v>
      </c>
      <c r="F77" s="252">
        <f t="shared" si="1"/>
        <v>132.5377482022528</v>
      </c>
      <c r="G77" s="396"/>
    </row>
    <row r="78" spans="3:7" ht="11.25" customHeight="1">
      <c r="C78" s="251">
        <v>43901</v>
      </c>
      <c r="D78" s="252">
        <v>136.73496081660988</v>
      </c>
      <c r="E78" s="252">
        <v>132.5377482022528</v>
      </c>
      <c r="F78" s="252">
        <f t="shared" si="1"/>
        <v>132.5377482022528</v>
      </c>
      <c r="G78" s="396"/>
    </row>
    <row r="79" spans="3:7" ht="11.25" customHeight="1">
      <c r="C79" s="251">
        <v>43902</v>
      </c>
      <c r="D79" s="252">
        <v>137.07149328860987</v>
      </c>
      <c r="E79" s="252">
        <v>132.5377482022528</v>
      </c>
      <c r="F79" s="252">
        <f t="shared" si="1"/>
        <v>132.5377482022528</v>
      </c>
      <c r="G79" s="396"/>
    </row>
    <row r="80" spans="3:7" ht="11.25" customHeight="1">
      <c r="C80" s="251">
        <v>43903</v>
      </c>
      <c r="D80" s="252">
        <v>118.60194963660987</v>
      </c>
      <c r="E80" s="252">
        <v>132.5377482022528</v>
      </c>
      <c r="F80" s="252">
        <f t="shared" si="1"/>
        <v>118.60194963660987</v>
      </c>
      <c r="G80" s="396"/>
    </row>
    <row r="81" spans="2:7" ht="11.25" customHeight="1">
      <c r="C81" s="251">
        <v>43904</v>
      </c>
      <c r="D81" s="252">
        <v>117.30391945660801</v>
      </c>
      <c r="E81" s="252">
        <v>132.5377482022528</v>
      </c>
      <c r="F81" s="252">
        <f t="shared" si="1"/>
        <v>117.30391945660801</v>
      </c>
      <c r="G81" s="397">
        <f>E81</f>
        <v>132.5377482022528</v>
      </c>
    </row>
    <row r="82" spans="2:7" ht="11.25" customHeight="1">
      <c r="B82" s="145"/>
      <c r="C82" s="251">
        <v>43905</v>
      </c>
      <c r="D82" s="252">
        <v>86.369496016609872</v>
      </c>
      <c r="E82" s="252">
        <v>132.5377482022528</v>
      </c>
      <c r="F82" s="252">
        <f t="shared" si="1"/>
        <v>86.369496016609872</v>
      </c>
      <c r="G82" s="396"/>
    </row>
    <row r="83" spans="2:7" ht="11.25" customHeight="1">
      <c r="B83" s="145"/>
      <c r="C83" s="251">
        <v>43906</v>
      </c>
      <c r="D83" s="252">
        <v>108.84544928660988</v>
      </c>
      <c r="E83" s="252">
        <v>132.5377482022528</v>
      </c>
      <c r="F83" s="252">
        <f t="shared" si="1"/>
        <v>108.84544928660988</v>
      </c>
      <c r="G83" s="396"/>
    </row>
    <row r="84" spans="2:7" ht="11.25" customHeight="1">
      <c r="B84" s="145"/>
      <c r="C84" s="251">
        <v>43907</v>
      </c>
      <c r="D84" s="252">
        <v>108.86737097060801</v>
      </c>
      <c r="E84" s="252">
        <v>132.5377482022528</v>
      </c>
      <c r="F84" s="252">
        <f t="shared" si="1"/>
        <v>108.86737097060801</v>
      </c>
      <c r="G84" s="396"/>
    </row>
    <row r="85" spans="2:7" ht="11.25" customHeight="1">
      <c r="B85" s="145"/>
      <c r="C85" s="251">
        <v>43908</v>
      </c>
      <c r="D85" s="252">
        <v>170.37845299034407</v>
      </c>
      <c r="E85" s="252">
        <v>132.5377482022528</v>
      </c>
      <c r="F85" s="252">
        <f t="shared" si="1"/>
        <v>132.5377482022528</v>
      </c>
      <c r="G85" s="396"/>
    </row>
    <row r="86" spans="2:7" ht="11.25" customHeight="1">
      <c r="B86" s="145"/>
      <c r="C86" s="251">
        <v>43909</v>
      </c>
      <c r="D86" s="252">
        <v>160.06521092434593</v>
      </c>
      <c r="E86" s="252">
        <v>132.5377482022528</v>
      </c>
      <c r="F86" s="252">
        <f t="shared" si="1"/>
        <v>132.5377482022528</v>
      </c>
      <c r="G86" s="396"/>
    </row>
    <row r="87" spans="2:7" ht="11.25" customHeight="1">
      <c r="B87" s="145"/>
      <c r="C87" s="251">
        <v>43910</v>
      </c>
      <c r="D87" s="252">
        <v>155.51933536034224</v>
      </c>
      <c r="E87" s="252">
        <v>132.5377482022528</v>
      </c>
      <c r="F87" s="252">
        <f t="shared" si="1"/>
        <v>132.5377482022528</v>
      </c>
      <c r="G87" s="396"/>
    </row>
    <row r="88" spans="2:7" ht="11.25" customHeight="1">
      <c r="B88" s="145"/>
      <c r="C88" s="251">
        <v>43911</v>
      </c>
      <c r="D88" s="252">
        <v>145.0455159303441</v>
      </c>
      <c r="E88" s="252">
        <v>132.5377482022528</v>
      </c>
      <c r="F88" s="252">
        <f t="shared" si="1"/>
        <v>132.5377482022528</v>
      </c>
      <c r="G88" s="396"/>
    </row>
    <row r="89" spans="2:7" ht="11.25" customHeight="1">
      <c r="B89" s="145"/>
      <c r="C89" s="251">
        <v>43912</v>
      </c>
      <c r="D89" s="252">
        <v>137.97678955034408</v>
      </c>
      <c r="E89" s="252">
        <v>132.5377482022528</v>
      </c>
      <c r="F89" s="252">
        <f t="shared" si="1"/>
        <v>132.5377482022528</v>
      </c>
      <c r="G89" s="396"/>
    </row>
    <row r="90" spans="2:7" ht="11.25" customHeight="1">
      <c r="B90" s="145"/>
      <c r="C90" s="251">
        <v>43913</v>
      </c>
      <c r="D90" s="252">
        <v>145.83512461034593</v>
      </c>
      <c r="E90" s="252">
        <v>132.5377482022528</v>
      </c>
      <c r="F90" s="252">
        <f t="shared" si="1"/>
        <v>132.5377482022528</v>
      </c>
      <c r="G90" s="396"/>
    </row>
    <row r="91" spans="2:7" ht="11.25" customHeight="1">
      <c r="B91" s="145"/>
      <c r="C91" s="251">
        <v>43914</v>
      </c>
      <c r="D91" s="252">
        <v>140.25814747034224</v>
      </c>
      <c r="E91" s="252">
        <v>132.5377482022528</v>
      </c>
      <c r="F91" s="252">
        <f t="shared" si="1"/>
        <v>132.5377482022528</v>
      </c>
      <c r="G91" s="396"/>
    </row>
    <row r="92" spans="2:7" ht="11.25" customHeight="1">
      <c r="B92" s="145"/>
      <c r="C92" s="251">
        <v>43915</v>
      </c>
      <c r="D92" s="252">
        <v>113.15580332969643</v>
      </c>
      <c r="E92" s="252">
        <v>132.5377482022528</v>
      </c>
      <c r="F92" s="252">
        <f t="shared" si="1"/>
        <v>113.15580332969643</v>
      </c>
      <c r="G92" s="396"/>
    </row>
    <row r="93" spans="2:7" ht="11.25" customHeight="1">
      <c r="B93" s="145"/>
      <c r="C93" s="251">
        <v>43916</v>
      </c>
      <c r="D93" s="252">
        <v>71.520610169694564</v>
      </c>
      <c r="E93" s="252">
        <v>132.5377482022528</v>
      </c>
      <c r="F93" s="252">
        <f t="shared" si="1"/>
        <v>71.520610169694564</v>
      </c>
      <c r="G93" s="396"/>
    </row>
    <row r="94" spans="2:7" ht="11.25" customHeight="1">
      <c r="B94" s="145"/>
      <c r="C94" s="251">
        <v>43917</v>
      </c>
      <c r="D94" s="252">
        <v>92.584242263694577</v>
      </c>
      <c r="E94" s="252">
        <v>132.5377482022528</v>
      </c>
      <c r="F94" s="252">
        <f t="shared" si="1"/>
        <v>92.584242263694577</v>
      </c>
      <c r="G94" s="396"/>
    </row>
    <row r="95" spans="2:7" ht="11.25" customHeight="1">
      <c r="B95" s="145"/>
      <c r="C95" s="251">
        <v>43918</v>
      </c>
      <c r="D95" s="252">
        <v>92.001519359692693</v>
      </c>
      <c r="E95" s="252">
        <v>132.5377482022528</v>
      </c>
      <c r="F95" s="252">
        <f t="shared" si="1"/>
        <v>92.001519359692693</v>
      </c>
      <c r="G95" s="396"/>
    </row>
    <row r="96" spans="2:7" ht="11.25" customHeight="1">
      <c r="B96" s="145"/>
      <c r="C96" s="251">
        <v>43919</v>
      </c>
      <c r="D96" s="252">
        <v>39.350676359696429</v>
      </c>
      <c r="E96" s="252">
        <v>132.5377482022528</v>
      </c>
      <c r="F96" s="252">
        <f t="shared" si="1"/>
        <v>39.350676359696429</v>
      </c>
      <c r="G96" s="396"/>
    </row>
    <row r="97" spans="2:7" ht="11.25" customHeight="1">
      <c r="B97" s="145"/>
      <c r="C97" s="251">
        <v>43920</v>
      </c>
      <c r="D97" s="252">
        <v>46.330532759694563</v>
      </c>
      <c r="E97" s="252">
        <v>132.5377482022528</v>
      </c>
      <c r="F97" s="252">
        <f t="shared" si="1"/>
        <v>46.330532759694563</v>
      </c>
      <c r="G97" s="396"/>
    </row>
    <row r="98" spans="2:7" ht="11.25" customHeight="1">
      <c r="B98" s="145"/>
      <c r="C98" s="251">
        <v>43921</v>
      </c>
      <c r="D98" s="252">
        <v>51.606697719692704</v>
      </c>
      <c r="E98" s="252">
        <v>132.5377482022528</v>
      </c>
      <c r="F98" s="252">
        <f t="shared" si="1"/>
        <v>51.606697719692704</v>
      </c>
      <c r="G98" s="396"/>
    </row>
    <row r="99" spans="2:7" ht="11.25" customHeight="1">
      <c r="B99" s="145"/>
      <c r="C99" s="251">
        <v>43922</v>
      </c>
      <c r="D99" s="252">
        <v>134.40808979593538</v>
      </c>
      <c r="E99" s="252">
        <v>129.30997561700028</v>
      </c>
      <c r="F99" s="252">
        <f t="shared" si="1"/>
        <v>129.30997561700028</v>
      </c>
      <c r="G99" s="396"/>
    </row>
    <row r="100" spans="2:7" ht="11.25" customHeight="1">
      <c r="B100" s="145"/>
      <c r="C100" s="251">
        <v>43923</v>
      </c>
      <c r="D100" s="252">
        <v>122.0266781599335</v>
      </c>
      <c r="E100" s="252">
        <v>129.30997561700028</v>
      </c>
      <c r="F100" s="252">
        <f t="shared" si="1"/>
        <v>122.0266781599335</v>
      </c>
      <c r="G100" s="396"/>
    </row>
    <row r="101" spans="2:7" ht="11.25" customHeight="1">
      <c r="B101" s="17"/>
      <c r="C101" s="251">
        <v>43924</v>
      </c>
      <c r="D101" s="252">
        <v>126.28000615593163</v>
      </c>
      <c r="E101" s="252">
        <v>129.30997561700028</v>
      </c>
      <c r="F101" s="252">
        <f t="shared" si="1"/>
        <v>126.28000615593163</v>
      </c>
      <c r="G101" s="396"/>
    </row>
    <row r="102" spans="2:7" ht="11.25" customHeight="1">
      <c r="B102" s="17"/>
      <c r="C102" s="251">
        <v>43925</v>
      </c>
      <c r="D102" s="252">
        <v>94.510438413935361</v>
      </c>
      <c r="E102" s="252">
        <v>129.30997561700028</v>
      </c>
      <c r="F102" s="252">
        <f t="shared" si="1"/>
        <v>94.510438413935361</v>
      </c>
      <c r="G102" s="396"/>
    </row>
    <row r="103" spans="2:7" ht="11.25" customHeight="1">
      <c r="B103" s="17"/>
      <c r="C103" s="251">
        <v>43926</v>
      </c>
      <c r="D103" s="252">
        <v>96.545817115933488</v>
      </c>
      <c r="E103" s="252">
        <v>129.30997561700028</v>
      </c>
      <c r="F103" s="252">
        <f t="shared" si="1"/>
        <v>96.545817115933488</v>
      </c>
      <c r="G103" s="396"/>
    </row>
    <row r="104" spans="2:7" ht="11.25" customHeight="1">
      <c r="C104" s="251">
        <v>43927</v>
      </c>
      <c r="D104" s="252">
        <v>126.34743885393536</v>
      </c>
      <c r="E104" s="252">
        <v>129.30997561700028</v>
      </c>
      <c r="F104" s="252">
        <f t="shared" si="1"/>
        <v>126.34743885393536</v>
      </c>
      <c r="G104" s="396"/>
    </row>
    <row r="105" spans="2:7" ht="11.25" customHeight="1">
      <c r="B105" s="17"/>
      <c r="C105" s="251">
        <v>43928</v>
      </c>
      <c r="D105" s="252">
        <v>128.90391283592976</v>
      </c>
      <c r="E105" s="252">
        <v>129.30997561700028</v>
      </c>
      <c r="F105" s="252">
        <f t="shared" si="1"/>
        <v>128.90391283592976</v>
      </c>
      <c r="G105" s="396"/>
    </row>
    <row r="106" spans="2:7" ht="11.25" customHeight="1">
      <c r="B106" s="17"/>
      <c r="C106" s="251">
        <v>43929</v>
      </c>
      <c r="D106" s="252">
        <v>113.33443736710225</v>
      </c>
      <c r="E106" s="252">
        <v>129.30997561700028</v>
      </c>
      <c r="F106" s="252">
        <f t="shared" si="1"/>
        <v>113.33443736710225</v>
      </c>
      <c r="G106" s="396"/>
    </row>
    <row r="107" spans="2:7" ht="11.25" customHeight="1">
      <c r="B107" s="17"/>
      <c r="C107" s="251">
        <v>43930</v>
      </c>
      <c r="D107" s="252">
        <v>102.36321143509852</v>
      </c>
      <c r="E107" s="252">
        <v>129.30997561700028</v>
      </c>
      <c r="F107" s="252">
        <f t="shared" si="1"/>
        <v>102.36321143509852</v>
      </c>
      <c r="G107" s="396"/>
    </row>
    <row r="108" spans="2:7" ht="11.25" customHeight="1">
      <c r="B108" s="17"/>
      <c r="C108" s="251">
        <v>43931</v>
      </c>
      <c r="D108" s="252">
        <v>100.0204638651004</v>
      </c>
      <c r="E108" s="252">
        <v>129.30997561700028</v>
      </c>
      <c r="F108" s="252">
        <f t="shared" si="1"/>
        <v>100.0204638651004</v>
      </c>
      <c r="G108" s="396"/>
    </row>
    <row r="109" spans="2:7" ht="11.25" customHeight="1">
      <c r="B109" s="17"/>
      <c r="C109" s="251">
        <v>43932</v>
      </c>
      <c r="D109" s="252">
        <v>104.58355007910039</v>
      </c>
      <c r="E109" s="252">
        <v>129.30997561700028</v>
      </c>
      <c r="F109" s="252">
        <f t="shared" si="1"/>
        <v>104.58355007910039</v>
      </c>
      <c r="G109" s="396"/>
    </row>
    <row r="110" spans="2:7" ht="11.25" customHeight="1">
      <c r="B110" s="17"/>
      <c r="C110" s="251">
        <v>43933</v>
      </c>
      <c r="D110" s="252">
        <v>94.167497721100389</v>
      </c>
      <c r="E110" s="252">
        <v>129.30997561700028</v>
      </c>
      <c r="F110" s="252">
        <f t="shared" si="1"/>
        <v>94.167497721100389</v>
      </c>
      <c r="G110" s="396"/>
    </row>
    <row r="111" spans="2:7" ht="11.25" customHeight="1">
      <c r="B111" s="17"/>
      <c r="C111" s="251">
        <v>43934</v>
      </c>
      <c r="D111" s="252">
        <v>102.59805064509852</v>
      </c>
      <c r="E111" s="252">
        <v>129.30997561700028</v>
      </c>
      <c r="F111" s="252">
        <f t="shared" si="1"/>
        <v>102.59805064509852</v>
      </c>
      <c r="G111" s="396"/>
    </row>
    <row r="112" spans="2:7" ht="11.25" customHeight="1">
      <c r="B112" s="17"/>
      <c r="C112" s="251">
        <v>43935</v>
      </c>
      <c r="D112" s="252">
        <v>114.42597703509853</v>
      </c>
      <c r="E112" s="252">
        <v>129.30997561700028</v>
      </c>
      <c r="F112" s="252">
        <f t="shared" si="1"/>
        <v>114.42597703509853</v>
      </c>
      <c r="G112" s="397">
        <f>E112</f>
        <v>129.30997561700028</v>
      </c>
    </row>
    <row r="113" spans="2:7" ht="11.25" customHeight="1">
      <c r="B113" s="17"/>
      <c r="C113" s="251">
        <v>43936</v>
      </c>
      <c r="D113" s="252">
        <v>158.3178893619199</v>
      </c>
      <c r="E113" s="252">
        <v>129.30997561700028</v>
      </c>
      <c r="F113" s="252">
        <f t="shared" si="1"/>
        <v>129.30997561700028</v>
      </c>
      <c r="G113" s="396"/>
    </row>
    <row r="114" spans="2:7" ht="11.25" customHeight="1">
      <c r="B114" s="17"/>
      <c r="C114" s="251">
        <v>43937</v>
      </c>
      <c r="D114" s="252">
        <v>162.37719778391244</v>
      </c>
      <c r="E114" s="252">
        <v>129.30997561700028</v>
      </c>
      <c r="F114" s="252">
        <f t="shared" si="1"/>
        <v>129.30997561700028</v>
      </c>
      <c r="G114" s="396"/>
    </row>
    <row r="115" spans="2:7" ht="11.25" customHeight="1">
      <c r="B115" s="17"/>
      <c r="C115" s="251">
        <v>43938</v>
      </c>
      <c r="D115" s="252">
        <v>181.26503702191431</v>
      </c>
      <c r="E115" s="252">
        <v>129.30997561700028</v>
      </c>
      <c r="F115" s="252">
        <f t="shared" si="1"/>
        <v>129.30997561700028</v>
      </c>
      <c r="G115" s="396"/>
    </row>
    <row r="116" spans="2:7" ht="11.25" customHeight="1">
      <c r="B116" s="17"/>
      <c r="C116" s="251">
        <v>43939</v>
      </c>
      <c r="D116" s="252">
        <v>189.8745257699143</v>
      </c>
      <c r="E116" s="252">
        <v>129.30997561700028</v>
      </c>
      <c r="F116" s="252">
        <f t="shared" si="1"/>
        <v>129.30997561700028</v>
      </c>
      <c r="G116" s="396"/>
    </row>
    <row r="117" spans="2:7" ht="11.25" customHeight="1">
      <c r="B117" s="17"/>
      <c r="C117" s="251">
        <v>43940</v>
      </c>
      <c r="D117" s="252">
        <v>186.62405300191614</v>
      </c>
      <c r="E117" s="252">
        <v>129.30997561700028</v>
      </c>
      <c r="F117" s="252">
        <f t="shared" si="1"/>
        <v>129.30997561700028</v>
      </c>
      <c r="G117" s="396"/>
    </row>
    <row r="118" spans="2:7" ht="11.25" customHeight="1">
      <c r="B118" s="17"/>
      <c r="C118" s="251">
        <v>43941</v>
      </c>
      <c r="D118" s="252">
        <v>187.62283834591432</v>
      </c>
      <c r="E118" s="252">
        <v>129.30997561700028</v>
      </c>
      <c r="F118" s="252">
        <f t="shared" si="1"/>
        <v>129.30997561700028</v>
      </c>
      <c r="G118" s="396"/>
    </row>
    <row r="119" spans="2:7" ht="11.25" customHeight="1">
      <c r="B119" s="17"/>
      <c r="C119" s="251">
        <v>43942</v>
      </c>
      <c r="D119" s="252">
        <v>201.54731488591429</v>
      </c>
      <c r="E119" s="252">
        <v>129.30997561700028</v>
      </c>
      <c r="F119" s="252">
        <f t="shared" si="1"/>
        <v>129.30997561700028</v>
      </c>
      <c r="G119" s="396"/>
    </row>
    <row r="120" spans="2:7" ht="11.25" customHeight="1">
      <c r="B120" s="17"/>
      <c r="C120" s="251">
        <v>43943</v>
      </c>
      <c r="D120" s="252">
        <v>163.18859721840064</v>
      </c>
      <c r="E120" s="252">
        <v>129.30997561700028</v>
      </c>
      <c r="F120" s="252">
        <f t="shared" si="1"/>
        <v>129.30997561700028</v>
      </c>
      <c r="G120" s="396"/>
    </row>
    <row r="121" spans="2:7" ht="11.25" customHeight="1">
      <c r="B121" s="17"/>
      <c r="C121" s="251">
        <v>43944</v>
      </c>
      <c r="D121" s="252">
        <v>191.04259504440438</v>
      </c>
      <c r="E121" s="252">
        <v>129.30997561700028</v>
      </c>
      <c r="F121" s="252">
        <f t="shared" si="1"/>
        <v>129.30997561700028</v>
      </c>
      <c r="G121" s="396"/>
    </row>
    <row r="122" spans="2:7" ht="11.25" customHeight="1">
      <c r="B122" s="17"/>
      <c r="C122" s="251">
        <v>43945</v>
      </c>
      <c r="D122" s="252">
        <v>187.50562819040252</v>
      </c>
      <c r="E122" s="252">
        <v>129.30997561700028</v>
      </c>
      <c r="F122" s="252">
        <f t="shared" si="1"/>
        <v>129.30997561700028</v>
      </c>
      <c r="G122" s="396"/>
    </row>
    <row r="123" spans="2:7" ht="11.25" customHeight="1">
      <c r="B123" s="17"/>
      <c r="C123" s="251">
        <v>43946</v>
      </c>
      <c r="D123" s="252">
        <v>176.55595270840254</v>
      </c>
      <c r="E123" s="252">
        <v>129.30997561700028</v>
      </c>
      <c r="F123" s="252">
        <f t="shared" si="1"/>
        <v>129.30997561700028</v>
      </c>
      <c r="G123" s="396"/>
    </row>
    <row r="124" spans="2:7" ht="11.25" customHeight="1">
      <c r="B124" s="17"/>
      <c r="C124" s="251">
        <v>43947</v>
      </c>
      <c r="D124" s="252">
        <v>173.57133231640253</v>
      </c>
      <c r="E124" s="252">
        <v>129.30997561700028</v>
      </c>
      <c r="F124" s="252">
        <f t="shared" si="1"/>
        <v>129.30997561700028</v>
      </c>
      <c r="G124" s="396"/>
    </row>
    <row r="125" spans="2:7" ht="11.25" customHeight="1">
      <c r="B125" s="17"/>
      <c r="C125" s="251">
        <v>43948</v>
      </c>
      <c r="D125" s="252">
        <v>187.61720935040438</v>
      </c>
      <c r="E125" s="252">
        <v>129.30997561700028</v>
      </c>
      <c r="F125" s="252">
        <f t="shared" si="1"/>
        <v>129.30997561700028</v>
      </c>
      <c r="G125" s="396"/>
    </row>
    <row r="126" spans="2:7" ht="11.25" customHeight="1">
      <c r="B126" s="17"/>
      <c r="C126" s="251">
        <v>43949</v>
      </c>
      <c r="D126" s="252">
        <v>175.37430642040252</v>
      </c>
      <c r="E126" s="252">
        <v>129.30997561700028</v>
      </c>
      <c r="F126" s="252">
        <f t="shared" si="1"/>
        <v>129.30997561700028</v>
      </c>
      <c r="G126" s="396"/>
    </row>
    <row r="127" spans="2:7" ht="11.25" customHeight="1">
      <c r="B127" s="17"/>
      <c r="C127" s="251">
        <v>43950</v>
      </c>
      <c r="D127" s="252">
        <v>179.69924872770665</v>
      </c>
      <c r="E127" s="252">
        <v>129.30997561700028</v>
      </c>
      <c r="F127" s="252">
        <f t="shared" si="1"/>
        <v>129.30997561700028</v>
      </c>
      <c r="G127" s="396"/>
    </row>
    <row r="128" spans="2:7" ht="11.25" customHeight="1">
      <c r="B128" s="17"/>
      <c r="C128" s="251">
        <v>43951</v>
      </c>
      <c r="D128" s="252">
        <v>159.47947281571035</v>
      </c>
      <c r="E128" s="252">
        <v>129.30997561700028</v>
      </c>
      <c r="F128" s="252">
        <f t="shared" si="1"/>
        <v>129.30997561700028</v>
      </c>
      <c r="G128" s="396"/>
    </row>
    <row r="129" spans="2:7" ht="11.25" customHeight="1">
      <c r="C129" s="251">
        <v>43952</v>
      </c>
      <c r="D129" s="252">
        <v>141.94414499370853</v>
      </c>
      <c r="E129" s="252">
        <v>104.0249711788601</v>
      </c>
      <c r="F129" s="252">
        <f t="shared" si="1"/>
        <v>104.0249711788601</v>
      </c>
      <c r="G129" s="396"/>
    </row>
    <row r="130" spans="2:7" ht="11.25" customHeight="1">
      <c r="B130" s="17"/>
      <c r="C130" s="251">
        <v>43953</v>
      </c>
      <c r="D130" s="252">
        <v>162.45974410770478</v>
      </c>
      <c r="E130" s="252">
        <v>104.0249711788601</v>
      </c>
      <c r="F130" s="252">
        <f t="shared" si="1"/>
        <v>104.0249711788601</v>
      </c>
      <c r="G130" s="396"/>
    </row>
    <row r="131" spans="2:7" ht="11.25" customHeight="1">
      <c r="B131" s="17"/>
      <c r="C131" s="251">
        <v>43954</v>
      </c>
      <c r="D131" s="252">
        <v>156.23072511371038</v>
      </c>
      <c r="E131" s="252">
        <v>104.0249711788601</v>
      </c>
      <c r="F131" s="252">
        <f t="shared" si="1"/>
        <v>104.0249711788601</v>
      </c>
      <c r="G131" s="396"/>
    </row>
    <row r="132" spans="2:7" ht="11.25" customHeight="1">
      <c r="B132" s="17"/>
      <c r="C132" s="251">
        <v>43955</v>
      </c>
      <c r="D132" s="252">
        <v>150.44456839170664</v>
      </c>
      <c r="E132" s="252">
        <v>104.0249711788601</v>
      </c>
      <c r="F132" s="252">
        <f t="shared" si="1"/>
        <v>104.0249711788601</v>
      </c>
      <c r="G132" s="396"/>
    </row>
    <row r="133" spans="2:7" ht="11.25" customHeight="1">
      <c r="B133" s="17"/>
      <c r="C133" s="251">
        <v>43956</v>
      </c>
      <c r="D133" s="252">
        <v>195.05858633570665</v>
      </c>
      <c r="E133" s="252">
        <v>104.0249711788601</v>
      </c>
      <c r="F133" s="252">
        <f t="shared" si="1"/>
        <v>104.0249711788601</v>
      </c>
      <c r="G133" s="396"/>
    </row>
    <row r="134" spans="2:7" ht="11.25" customHeight="1">
      <c r="B134" s="17"/>
      <c r="C134" s="251">
        <v>43957</v>
      </c>
      <c r="D134" s="252">
        <v>136.13137381453498</v>
      </c>
      <c r="E134" s="252">
        <v>104.0249711788601</v>
      </c>
      <c r="F134" s="252">
        <f t="shared" si="1"/>
        <v>104.0249711788601</v>
      </c>
      <c r="G134" s="396"/>
    </row>
    <row r="135" spans="2:7" ht="11.25" customHeight="1">
      <c r="B135" s="17"/>
      <c r="C135" s="251">
        <v>43958</v>
      </c>
      <c r="D135" s="252">
        <v>121.63500891053312</v>
      </c>
      <c r="E135" s="252">
        <v>104.0249711788601</v>
      </c>
      <c r="F135" s="252">
        <f t="shared" si="1"/>
        <v>104.0249711788601</v>
      </c>
      <c r="G135" s="396"/>
    </row>
    <row r="136" spans="2:7" ht="11.25" customHeight="1">
      <c r="B136" s="17"/>
      <c r="C136" s="251">
        <v>43959</v>
      </c>
      <c r="D136" s="252">
        <v>112.50417519453124</v>
      </c>
      <c r="E136" s="252">
        <v>104.0249711788601</v>
      </c>
      <c r="F136" s="252">
        <f t="shared" si="1"/>
        <v>104.0249711788601</v>
      </c>
      <c r="G136" s="396"/>
    </row>
    <row r="137" spans="2:7" ht="11.25" customHeight="1">
      <c r="B137" s="17"/>
      <c r="C137" s="251">
        <v>43960</v>
      </c>
      <c r="D137" s="252">
        <v>99.36255984853311</v>
      </c>
      <c r="E137" s="252">
        <v>104.0249711788601</v>
      </c>
      <c r="F137" s="252">
        <f t="shared" ref="F137:F200" si="2">IF($D137&gt;E137,E137,$D137)</f>
        <v>99.36255984853311</v>
      </c>
      <c r="G137" s="396"/>
    </row>
    <row r="138" spans="2:7" ht="11.25" customHeight="1">
      <c r="B138" s="17"/>
      <c r="C138" s="251">
        <v>43961</v>
      </c>
      <c r="D138" s="252">
        <v>88.671768668533119</v>
      </c>
      <c r="E138" s="252">
        <v>104.0249711788601</v>
      </c>
      <c r="F138" s="252">
        <f t="shared" si="2"/>
        <v>88.671768668533119</v>
      </c>
      <c r="G138" s="396"/>
    </row>
    <row r="139" spans="2:7" ht="11.25" customHeight="1">
      <c r="B139" s="17"/>
      <c r="C139" s="251">
        <v>43962</v>
      </c>
      <c r="D139" s="252">
        <v>98.18951377453125</v>
      </c>
      <c r="E139" s="252">
        <v>104.0249711788601</v>
      </c>
      <c r="F139" s="252">
        <f t="shared" si="2"/>
        <v>98.18951377453125</v>
      </c>
      <c r="G139" s="396"/>
    </row>
    <row r="140" spans="2:7" ht="11.25" customHeight="1">
      <c r="B140" s="17"/>
      <c r="C140" s="251">
        <v>43963</v>
      </c>
      <c r="D140" s="252">
        <v>143.84994323853496</v>
      </c>
      <c r="E140" s="252">
        <v>104.0249711788601</v>
      </c>
      <c r="F140" s="252">
        <f t="shared" si="2"/>
        <v>104.0249711788601</v>
      </c>
      <c r="G140" s="396"/>
    </row>
    <row r="141" spans="2:7" ht="11.25" customHeight="1">
      <c r="B141" s="17"/>
      <c r="C141" s="251">
        <v>43964</v>
      </c>
      <c r="D141" s="252">
        <v>150.44660786795313</v>
      </c>
      <c r="E141" s="252">
        <v>104.0249711788601</v>
      </c>
      <c r="F141" s="252">
        <f t="shared" si="2"/>
        <v>104.0249711788601</v>
      </c>
      <c r="G141" s="396"/>
    </row>
    <row r="142" spans="2:7" ht="11.25" customHeight="1">
      <c r="B142" s="17"/>
      <c r="C142" s="251">
        <v>43965</v>
      </c>
      <c r="D142" s="252">
        <v>121.31246643595499</v>
      </c>
      <c r="E142" s="252">
        <v>104.0249711788601</v>
      </c>
      <c r="F142" s="252">
        <f t="shared" si="2"/>
        <v>104.0249711788601</v>
      </c>
      <c r="G142" s="397">
        <f>E142</f>
        <v>104.0249711788601</v>
      </c>
    </row>
    <row r="143" spans="2:7" ht="11.25" customHeight="1">
      <c r="B143" s="17"/>
      <c r="C143" s="251">
        <v>43966</v>
      </c>
      <c r="D143" s="252">
        <v>119.90559118595498</v>
      </c>
      <c r="E143" s="252">
        <v>104.0249711788601</v>
      </c>
      <c r="F143" s="252">
        <f t="shared" si="2"/>
        <v>104.0249711788601</v>
      </c>
      <c r="G143" s="396"/>
    </row>
    <row r="144" spans="2:7" ht="11.25" customHeight="1">
      <c r="B144" s="17"/>
      <c r="C144" s="251">
        <v>43967</v>
      </c>
      <c r="D144" s="252">
        <v>107.13682710395871</v>
      </c>
      <c r="E144" s="252">
        <v>104.0249711788601</v>
      </c>
      <c r="F144" s="252">
        <f t="shared" si="2"/>
        <v>104.0249711788601</v>
      </c>
      <c r="G144" s="396"/>
    </row>
    <row r="145" spans="2:7" ht="11.25" customHeight="1">
      <c r="B145" s="17"/>
      <c r="C145" s="251">
        <v>43968</v>
      </c>
      <c r="D145" s="252">
        <v>98.115648367951266</v>
      </c>
      <c r="E145" s="252">
        <v>104.0249711788601</v>
      </c>
      <c r="F145" s="252">
        <f t="shared" si="2"/>
        <v>98.115648367951266</v>
      </c>
      <c r="G145" s="396"/>
    </row>
    <row r="146" spans="2:7" ht="11.25" customHeight="1">
      <c r="B146" s="17"/>
      <c r="C146" s="251">
        <v>43969</v>
      </c>
      <c r="D146" s="252">
        <v>106.98279906795685</v>
      </c>
      <c r="E146" s="252">
        <v>104.0249711788601</v>
      </c>
      <c r="F146" s="252">
        <f t="shared" si="2"/>
        <v>104.0249711788601</v>
      </c>
      <c r="G146" s="396"/>
    </row>
    <row r="147" spans="2:7" ht="11.25" customHeight="1">
      <c r="B147" s="17"/>
      <c r="C147" s="251">
        <v>43970</v>
      </c>
      <c r="D147" s="252">
        <v>96.214231315954976</v>
      </c>
      <c r="E147" s="252">
        <v>104.0249711788601</v>
      </c>
      <c r="F147" s="252">
        <f t="shared" si="2"/>
        <v>96.214231315954976</v>
      </c>
      <c r="G147" s="396"/>
    </row>
    <row r="148" spans="2:7" ht="11.25" customHeight="1">
      <c r="B148" s="17"/>
      <c r="C148" s="251">
        <v>43971</v>
      </c>
      <c r="D148" s="252">
        <v>88.68268179228059</v>
      </c>
      <c r="E148" s="252">
        <v>104.0249711788601</v>
      </c>
      <c r="F148" s="252">
        <f t="shared" si="2"/>
        <v>88.68268179228059</v>
      </c>
      <c r="G148" s="396"/>
    </row>
    <row r="149" spans="2:7" ht="11.25" customHeight="1">
      <c r="B149" s="17"/>
      <c r="C149" s="251">
        <v>43972</v>
      </c>
      <c r="D149" s="252">
        <v>99.657174528282454</v>
      </c>
      <c r="E149" s="252">
        <v>104.0249711788601</v>
      </c>
      <c r="F149" s="252">
        <f t="shared" si="2"/>
        <v>99.657174528282454</v>
      </c>
      <c r="G149" s="396"/>
    </row>
    <row r="150" spans="2:7" ht="11.25" customHeight="1">
      <c r="B150" s="17"/>
      <c r="C150" s="251">
        <v>43973</v>
      </c>
      <c r="D150" s="252">
        <v>110.99425862428431</v>
      </c>
      <c r="E150" s="252">
        <v>104.0249711788601</v>
      </c>
      <c r="F150" s="252">
        <f t="shared" si="2"/>
        <v>104.0249711788601</v>
      </c>
      <c r="G150" s="396"/>
    </row>
    <row r="151" spans="2:7" ht="11.25" customHeight="1">
      <c r="B151" s="17"/>
      <c r="C151" s="251">
        <v>43974</v>
      </c>
      <c r="D151" s="252">
        <v>75.843606652276861</v>
      </c>
      <c r="E151" s="252">
        <v>104.0249711788601</v>
      </c>
      <c r="F151" s="252">
        <f t="shared" si="2"/>
        <v>75.843606652276861</v>
      </c>
      <c r="G151" s="396"/>
    </row>
    <row r="152" spans="2:7" ht="11.25" customHeight="1">
      <c r="B152" s="17"/>
      <c r="C152" s="251">
        <v>43975</v>
      </c>
      <c r="D152" s="252">
        <v>73.442466940284319</v>
      </c>
      <c r="E152" s="252">
        <v>104.0249711788601</v>
      </c>
      <c r="F152" s="252">
        <f t="shared" si="2"/>
        <v>73.442466940284319</v>
      </c>
      <c r="G152" s="396"/>
    </row>
    <row r="153" spans="2:7" ht="11.25" customHeight="1">
      <c r="B153" s="17"/>
      <c r="C153" s="251">
        <v>43976</v>
      </c>
      <c r="D153" s="252">
        <v>79.647915048282442</v>
      </c>
      <c r="E153" s="252">
        <v>104.0249711788601</v>
      </c>
      <c r="F153" s="252">
        <f t="shared" si="2"/>
        <v>79.647915048282442</v>
      </c>
      <c r="G153" s="396"/>
    </row>
    <row r="154" spans="2:7" ht="11.25" customHeight="1">
      <c r="B154" s="17"/>
      <c r="C154" s="251">
        <v>43977</v>
      </c>
      <c r="D154" s="252">
        <v>71.41425592827872</v>
      </c>
      <c r="E154" s="252">
        <v>104.0249711788601</v>
      </c>
      <c r="F154" s="252">
        <f t="shared" si="2"/>
        <v>71.41425592827872</v>
      </c>
      <c r="G154" s="396"/>
    </row>
    <row r="155" spans="2:7" ht="11.25" customHeight="1">
      <c r="B155" s="17"/>
      <c r="C155" s="251">
        <v>43978</v>
      </c>
      <c r="D155" s="252">
        <v>56.840975135005515</v>
      </c>
      <c r="E155" s="252">
        <v>104.0249711788601</v>
      </c>
      <c r="F155" s="252">
        <f t="shared" si="2"/>
        <v>56.840975135005515</v>
      </c>
      <c r="G155" s="396"/>
    </row>
    <row r="156" spans="2:7" ht="11.25" customHeight="1">
      <c r="B156" s="17"/>
      <c r="C156" s="251">
        <v>43979</v>
      </c>
      <c r="D156" s="252">
        <v>68.149165055005525</v>
      </c>
      <c r="E156" s="252">
        <v>104.0249711788601</v>
      </c>
      <c r="F156" s="252">
        <f t="shared" si="2"/>
        <v>68.149165055005525</v>
      </c>
      <c r="G156" s="396"/>
    </row>
    <row r="157" spans="2:7" ht="11.25" customHeight="1">
      <c r="B157" s="17"/>
      <c r="C157" s="251">
        <v>43980</v>
      </c>
      <c r="D157" s="252">
        <v>87.454870175001787</v>
      </c>
      <c r="E157" s="252">
        <v>104.0249711788601</v>
      </c>
      <c r="F157" s="252">
        <f t="shared" si="2"/>
        <v>87.454870175001787</v>
      </c>
      <c r="G157" s="396"/>
    </row>
    <row r="158" spans="2:7" ht="11.25" customHeight="1">
      <c r="B158" s="17"/>
      <c r="C158" s="251">
        <v>43981</v>
      </c>
      <c r="D158" s="252">
        <v>65.99014155500366</v>
      </c>
      <c r="E158" s="252">
        <v>104.0249711788601</v>
      </c>
      <c r="F158" s="252">
        <f t="shared" si="2"/>
        <v>65.99014155500366</v>
      </c>
      <c r="G158" s="396"/>
    </row>
    <row r="159" spans="2:7" ht="11.25" customHeight="1">
      <c r="B159" s="17"/>
      <c r="C159" s="251">
        <v>43982</v>
      </c>
      <c r="D159" s="252">
        <v>60.008951887001793</v>
      </c>
      <c r="E159" s="252">
        <v>104.0249711788601</v>
      </c>
      <c r="F159" s="252">
        <f t="shared" si="2"/>
        <v>60.008951887001793</v>
      </c>
      <c r="G159" s="396"/>
    </row>
    <row r="160" spans="2:7" ht="11.25" customHeight="1">
      <c r="B160" s="17"/>
      <c r="C160" s="251">
        <v>43983</v>
      </c>
      <c r="D160" s="252">
        <v>92.190732975007379</v>
      </c>
      <c r="E160" s="252">
        <v>64.512028542813908</v>
      </c>
      <c r="F160" s="252">
        <f t="shared" si="2"/>
        <v>64.512028542813908</v>
      </c>
      <c r="G160" s="396"/>
    </row>
    <row r="161" spans="2:7" ht="11.25" customHeight="1">
      <c r="B161" s="17"/>
      <c r="C161" s="251">
        <v>43984</v>
      </c>
      <c r="D161" s="252">
        <v>98.26059483900552</v>
      </c>
      <c r="E161" s="252">
        <v>64.512028542813908</v>
      </c>
      <c r="F161" s="252">
        <f t="shared" si="2"/>
        <v>64.512028542813908</v>
      </c>
      <c r="G161" s="396"/>
    </row>
    <row r="162" spans="2:7" ht="11.25" customHeight="1">
      <c r="B162" s="17"/>
      <c r="C162" s="251">
        <v>43985</v>
      </c>
      <c r="D162" s="252">
        <v>61.905332875254736</v>
      </c>
      <c r="E162" s="252">
        <v>64.512028542813908</v>
      </c>
      <c r="F162" s="252">
        <f t="shared" si="2"/>
        <v>61.905332875254736</v>
      </c>
      <c r="G162" s="396"/>
    </row>
    <row r="163" spans="2:7" ht="11.25" customHeight="1">
      <c r="B163" s="17"/>
      <c r="C163" s="251">
        <v>43986</v>
      </c>
      <c r="D163" s="252">
        <v>55.473621055258469</v>
      </c>
      <c r="E163" s="252">
        <v>64.512028542813908</v>
      </c>
      <c r="F163" s="252">
        <f t="shared" si="2"/>
        <v>55.473621055258469</v>
      </c>
      <c r="G163" s="396"/>
    </row>
    <row r="164" spans="2:7" ht="11.25" customHeight="1">
      <c r="B164" s="17"/>
      <c r="C164" s="251">
        <v>43987</v>
      </c>
      <c r="D164" s="252">
        <v>55.856005679258466</v>
      </c>
      <c r="E164" s="252">
        <v>64.512028542813908</v>
      </c>
      <c r="F164" s="252">
        <f t="shared" si="2"/>
        <v>55.856005679258466</v>
      </c>
      <c r="G164" s="396"/>
    </row>
    <row r="165" spans="2:7" ht="11.25" customHeight="1">
      <c r="B165" s="17"/>
      <c r="C165" s="251">
        <v>43988</v>
      </c>
      <c r="D165" s="252">
        <v>38.132653167256606</v>
      </c>
      <c r="E165" s="252">
        <v>64.512028542813908</v>
      </c>
      <c r="F165" s="252">
        <f t="shared" si="2"/>
        <v>38.132653167256606</v>
      </c>
      <c r="G165" s="396"/>
    </row>
    <row r="166" spans="2:7" ht="11.25" customHeight="1">
      <c r="B166" s="17"/>
      <c r="C166" s="251">
        <v>43989</v>
      </c>
      <c r="D166" s="252">
        <v>32.878003795254742</v>
      </c>
      <c r="E166" s="252">
        <v>64.512028542813908</v>
      </c>
      <c r="F166" s="252">
        <f t="shared" si="2"/>
        <v>32.878003795254742</v>
      </c>
      <c r="G166" s="396"/>
    </row>
    <row r="167" spans="2:7" ht="11.25" customHeight="1">
      <c r="B167" s="17"/>
      <c r="C167" s="251">
        <v>43990</v>
      </c>
      <c r="D167" s="252">
        <v>34.727825193256606</v>
      </c>
      <c r="E167" s="252">
        <v>64.512028542813908</v>
      </c>
      <c r="F167" s="252">
        <f t="shared" si="2"/>
        <v>34.727825193256606</v>
      </c>
      <c r="G167" s="396"/>
    </row>
    <row r="168" spans="2:7" ht="11.25" customHeight="1">
      <c r="B168" s="17"/>
      <c r="C168" s="251">
        <v>43991</v>
      </c>
      <c r="D168" s="252">
        <v>44.663990163258468</v>
      </c>
      <c r="E168" s="252">
        <v>64.512028542813908</v>
      </c>
      <c r="F168" s="252">
        <f t="shared" si="2"/>
        <v>44.663990163258468</v>
      </c>
      <c r="G168" s="396"/>
    </row>
    <row r="169" spans="2:7" ht="11.25" customHeight="1">
      <c r="B169" s="17"/>
      <c r="C169" s="251">
        <v>43992</v>
      </c>
      <c r="D169" s="252">
        <v>71.323236093906786</v>
      </c>
      <c r="E169" s="252">
        <v>64.512028542813908</v>
      </c>
      <c r="F169" s="252">
        <f t="shared" si="2"/>
        <v>64.512028542813908</v>
      </c>
      <c r="G169" s="396"/>
    </row>
    <row r="170" spans="2:7" ht="11.25" customHeight="1">
      <c r="C170" s="251">
        <v>43993</v>
      </c>
      <c r="D170" s="252">
        <v>55.397297491908645</v>
      </c>
      <c r="E170" s="252">
        <v>64.512028542813908</v>
      </c>
      <c r="F170" s="252">
        <f t="shared" si="2"/>
        <v>55.397297491908645</v>
      </c>
      <c r="G170" s="396"/>
    </row>
    <row r="171" spans="2:7" ht="11.25" customHeight="1">
      <c r="C171" s="251">
        <v>43994</v>
      </c>
      <c r="D171" s="252">
        <v>61.927497781908649</v>
      </c>
      <c r="E171" s="252">
        <v>64.512028542813908</v>
      </c>
      <c r="F171" s="252">
        <f t="shared" si="2"/>
        <v>61.927497781908649</v>
      </c>
      <c r="G171" s="396"/>
    </row>
    <row r="172" spans="2:7" ht="11.25" customHeight="1">
      <c r="C172" s="251">
        <v>43995</v>
      </c>
      <c r="D172" s="252">
        <v>56.816090815908645</v>
      </c>
      <c r="E172" s="252">
        <v>64.512028542813908</v>
      </c>
      <c r="F172" s="252">
        <f t="shared" si="2"/>
        <v>56.816090815908645</v>
      </c>
      <c r="G172" s="396"/>
    </row>
    <row r="173" spans="2:7" ht="11.25" customHeight="1">
      <c r="C173" s="251">
        <v>43996</v>
      </c>
      <c r="D173" s="252">
        <v>53.090480763908644</v>
      </c>
      <c r="E173" s="252">
        <v>64.512028542813908</v>
      </c>
      <c r="F173" s="252">
        <f t="shared" si="2"/>
        <v>53.090480763908644</v>
      </c>
      <c r="G173" s="397">
        <f>E173</f>
        <v>64.512028542813908</v>
      </c>
    </row>
    <row r="174" spans="2:7" ht="11.25" customHeight="1">
      <c r="C174" s="251">
        <v>43997</v>
      </c>
      <c r="D174" s="252">
        <v>65.941056883908644</v>
      </c>
      <c r="E174" s="252">
        <v>64.512028542813908</v>
      </c>
      <c r="F174" s="252">
        <f t="shared" si="2"/>
        <v>64.512028542813908</v>
      </c>
      <c r="G174" s="396"/>
    </row>
    <row r="175" spans="2:7" ht="11.25" customHeight="1">
      <c r="B175" s="17"/>
      <c r="C175" s="251">
        <v>43998</v>
      </c>
      <c r="D175" s="252">
        <v>68.063334799908645</v>
      </c>
      <c r="E175" s="252">
        <v>64.512028542813908</v>
      </c>
      <c r="F175" s="252">
        <f t="shared" si="2"/>
        <v>64.512028542813908</v>
      </c>
      <c r="G175" s="396"/>
    </row>
    <row r="176" spans="2:7" ht="11.25" customHeight="1">
      <c r="B176" s="17"/>
      <c r="C176" s="251">
        <v>43999</v>
      </c>
      <c r="D176" s="252">
        <v>57.908698474405043</v>
      </c>
      <c r="E176" s="252">
        <v>64.512028542813908</v>
      </c>
      <c r="F176" s="252">
        <f t="shared" si="2"/>
        <v>57.908698474405043</v>
      </c>
      <c r="G176" s="396"/>
    </row>
    <row r="177" spans="2:7" ht="11.25" customHeight="1">
      <c r="B177" s="17"/>
      <c r="C177" s="251">
        <v>44000</v>
      </c>
      <c r="D177" s="252">
        <v>51.140389274410644</v>
      </c>
      <c r="E177" s="252">
        <v>64.512028542813908</v>
      </c>
      <c r="F177" s="252">
        <f t="shared" si="2"/>
        <v>51.140389274410644</v>
      </c>
      <c r="G177" s="396"/>
    </row>
    <row r="178" spans="2:7" ht="11.25" customHeight="1">
      <c r="B178" s="17"/>
      <c r="C178" s="251">
        <v>44001</v>
      </c>
      <c r="D178" s="252">
        <v>48.942402670403183</v>
      </c>
      <c r="E178" s="252">
        <v>64.512028542813908</v>
      </c>
      <c r="F178" s="252">
        <f t="shared" si="2"/>
        <v>48.942402670403183</v>
      </c>
      <c r="G178" s="396"/>
    </row>
    <row r="179" spans="2:7" ht="11.25" customHeight="1">
      <c r="B179" s="17"/>
      <c r="C179" s="251">
        <v>44002</v>
      </c>
      <c r="D179" s="252">
        <v>32.105291590408768</v>
      </c>
      <c r="E179" s="252">
        <v>64.512028542813908</v>
      </c>
      <c r="F179" s="252">
        <f t="shared" si="2"/>
        <v>32.105291590408768</v>
      </c>
      <c r="G179" s="396"/>
    </row>
    <row r="180" spans="2:7" ht="11.25" customHeight="1">
      <c r="B180" s="17"/>
      <c r="C180" s="251">
        <v>44003</v>
      </c>
      <c r="D180" s="252">
        <v>26.65248139040877</v>
      </c>
      <c r="E180" s="252">
        <v>64.512028542813908</v>
      </c>
      <c r="F180" s="252">
        <f t="shared" si="2"/>
        <v>26.65248139040877</v>
      </c>
      <c r="G180" s="396"/>
    </row>
    <row r="181" spans="2:7" ht="11.25" customHeight="1">
      <c r="C181" s="251">
        <v>44004</v>
      </c>
      <c r="D181" s="252">
        <v>45.374734656406915</v>
      </c>
      <c r="E181" s="252">
        <v>64.512028542813908</v>
      </c>
      <c r="F181" s="252">
        <f t="shared" si="2"/>
        <v>45.374734656406915</v>
      </c>
      <c r="G181" s="396"/>
    </row>
    <row r="182" spans="2:7" ht="11.25" customHeight="1">
      <c r="C182" s="251">
        <v>44005</v>
      </c>
      <c r="D182" s="252">
        <v>63.074573162406914</v>
      </c>
      <c r="E182" s="252">
        <v>64.512028542813908</v>
      </c>
      <c r="F182" s="252">
        <f t="shared" si="2"/>
        <v>63.074573162406914</v>
      </c>
      <c r="G182" s="396"/>
    </row>
    <row r="183" spans="2:7" ht="11.25" customHeight="1">
      <c r="C183" s="251">
        <v>44006</v>
      </c>
      <c r="D183" s="252">
        <v>38.71103894258237</v>
      </c>
      <c r="E183" s="252">
        <v>64.512028542813908</v>
      </c>
      <c r="F183" s="252">
        <f t="shared" si="2"/>
        <v>38.71103894258237</v>
      </c>
      <c r="G183" s="396"/>
    </row>
    <row r="184" spans="2:7" ht="11.25" customHeight="1">
      <c r="C184" s="251">
        <v>44007</v>
      </c>
      <c r="D184" s="252">
        <v>49.306956966587954</v>
      </c>
      <c r="E184" s="252">
        <v>64.512028542813908</v>
      </c>
      <c r="F184" s="252">
        <f t="shared" si="2"/>
        <v>49.306956966587954</v>
      </c>
      <c r="G184" s="396"/>
    </row>
    <row r="185" spans="2:7" ht="11.25" customHeight="1">
      <c r="C185" s="251">
        <v>44008</v>
      </c>
      <c r="D185" s="252">
        <v>49.329973556584228</v>
      </c>
      <c r="E185" s="252">
        <v>64.512028542813908</v>
      </c>
      <c r="F185" s="252">
        <f t="shared" si="2"/>
        <v>49.329973556584228</v>
      </c>
      <c r="G185" s="396"/>
    </row>
    <row r="186" spans="2:7" ht="11.25" customHeight="1">
      <c r="C186" s="251">
        <v>44009</v>
      </c>
      <c r="D186" s="252">
        <v>34.30528931058236</v>
      </c>
      <c r="E186" s="252">
        <v>64.512028542813908</v>
      </c>
      <c r="F186" s="252">
        <f t="shared" si="2"/>
        <v>34.30528931058236</v>
      </c>
      <c r="G186" s="396"/>
    </row>
    <row r="187" spans="2:7" ht="11.25" customHeight="1">
      <c r="C187" s="251">
        <v>44010</v>
      </c>
      <c r="D187" s="252">
        <v>30.354757186584227</v>
      </c>
      <c r="E187" s="252">
        <v>64.512028542813908</v>
      </c>
      <c r="F187" s="252">
        <f t="shared" si="2"/>
        <v>30.354757186584227</v>
      </c>
      <c r="G187" s="396"/>
    </row>
    <row r="188" spans="2:7" ht="11.25" customHeight="1">
      <c r="C188" s="251">
        <v>44011</v>
      </c>
      <c r="D188" s="252">
        <v>45.563970554586078</v>
      </c>
      <c r="E188" s="252">
        <v>64.512028542813908</v>
      </c>
      <c r="F188" s="252">
        <f t="shared" si="2"/>
        <v>45.563970554586078</v>
      </c>
      <c r="G188" s="396"/>
    </row>
    <row r="189" spans="2:7" ht="11.25" customHeight="1">
      <c r="C189" s="251">
        <v>44012</v>
      </c>
      <c r="D189" s="252">
        <v>58.461366558580501</v>
      </c>
      <c r="E189" s="252">
        <v>64.512028542813908</v>
      </c>
      <c r="F189" s="252">
        <f t="shared" si="2"/>
        <v>58.461366558580501</v>
      </c>
      <c r="G189" s="396"/>
    </row>
    <row r="190" spans="2:7" ht="11.25" customHeight="1">
      <c r="C190" s="251">
        <v>44013</v>
      </c>
      <c r="D190" s="252">
        <v>51.952425749485336</v>
      </c>
      <c r="E190" s="252">
        <v>28.410222830287367</v>
      </c>
      <c r="F190" s="252">
        <f t="shared" si="2"/>
        <v>28.410222830287367</v>
      </c>
      <c r="G190" s="396"/>
    </row>
    <row r="191" spans="2:7" ht="11.25" customHeight="1">
      <c r="C191" s="251">
        <v>44014</v>
      </c>
      <c r="D191" s="252">
        <v>37.132825257485337</v>
      </c>
      <c r="E191" s="252">
        <v>28.410222830287367</v>
      </c>
      <c r="F191" s="252">
        <f t="shared" si="2"/>
        <v>28.410222830287367</v>
      </c>
      <c r="G191" s="396"/>
    </row>
    <row r="192" spans="2:7" ht="11.25" customHeight="1">
      <c r="C192" s="251">
        <v>44015</v>
      </c>
      <c r="D192" s="252">
        <v>14.066865667485342</v>
      </c>
      <c r="E192" s="252">
        <v>28.410222830287367</v>
      </c>
      <c r="F192" s="252">
        <f t="shared" si="2"/>
        <v>14.066865667485342</v>
      </c>
      <c r="G192" s="396"/>
    </row>
    <row r="193" spans="2:7" ht="11.25" customHeight="1">
      <c r="C193" s="251">
        <v>44016</v>
      </c>
      <c r="D193" s="252">
        <v>8.3983418134853416</v>
      </c>
      <c r="E193" s="252">
        <v>28.410222830287367</v>
      </c>
      <c r="F193" s="252">
        <f t="shared" si="2"/>
        <v>8.3983418134853416</v>
      </c>
      <c r="G193" s="396"/>
    </row>
    <row r="194" spans="2:7" ht="11.25" customHeight="1">
      <c r="C194" s="251">
        <v>44017</v>
      </c>
      <c r="D194" s="252">
        <v>8.0012366394834817</v>
      </c>
      <c r="E194" s="252">
        <v>28.410222830287367</v>
      </c>
      <c r="F194" s="252">
        <f t="shared" si="2"/>
        <v>8.0012366394834817</v>
      </c>
      <c r="G194" s="396"/>
    </row>
    <row r="195" spans="2:7" ht="11.25" customHeight="1">
      <c r="C195" s="251">
        <v>44018</v>
      </c>
      <c r="D195" s="252">
        <v>17.791377753485342</v>
      </c>
      <c r="E195" s="252">
        <v>28.410222830287367</v>
      </c>
      <c r="F195" s="252">
        <f t="shared" si="2"/>
        <v>17.791377753485342</v>
      </c>
      <c r="G195" s="396"/>
    </row>
    <row r="196" spans="2:7" ht="11.25" customHeight="1">
      <c r="C196" s="251">
        <v>44019</v>
      </c>
      <c r="D196" s="252">
        <v>25.094945113481618</v>
      </c>
      <c r="E196" s="252">
        <v>28.410222830287367</v>
      </c>
      <c r="F196" s="252">
        <f t="shared" si="2"/>
        <v>25.094945113481618</v>
      </c>
      <c r="G196" s="396"/>
    </row>
    <row r="197" spans="2:7" ht="11.25" customHeight="1">
      <c r="B197" s="17"/>
      <c r="C197" s="251">
        <v>44020</v>
      </c>
      <c r="D197" s="252">
        <v>31.86504861602679</v>
      </c>
      <c r="E197" s="252">
        <v>28.410222830287367</v>
      </c>
      <c r="F197" s="252">
        <f t="shared" si="2"/>
        <v>28.410222830287367</v>
      </c>
      <c r="G197" s="396"/>
    </row>
    <row r="198" spans="2:7" ht="11.25" customHeight="1">
      <c r="B198" s="17"/>
      <c r="C198" s="251">
        <v>44021</v>
      </c>
      <c r="D198" s="252">
        <v>27.082195738023067</v>
      </c>
      <c r="E198" s="252">
        <v>28.410222830287367</v>
      </c>
      <c r="F198" s="252">
        <f t="shared" si="2"/>
        <v>27.082195738023067</v>
      </c>
      <c r="G198" s="396"/>
    </row>
    <row r="199" spans="2:7" ht="11.25" customHeight="1">
      <c r="B199" s="17"/>
      <c r="C199" s="251">
        <v>44022</v>
      </c>
      <c r="D199" s="252">
        <v>21.241728378026789</v>
      </c>
      <c r="E199" s="252">
        <v>28.410222830287367</v>
      </c>
      <c r="F199" s="252">
        <f t="shared" si="2"/>
        <v>21.241728378026789</v>
      </c>
      <c r="G199" s="396"/>
    </row>
    <row r="200" spans="2:7" ht="11.25" customHeight="1">
      <c r="B200" s="17"/>
      <c r="C200" s="251">
        <v>44023</v>
      </c>
      <c r="D200" s="252">
        <v>17.792687728021207</v>
      </c>
      <c r="E200" s="252">
        <v>28.410222830287367</v>
      </c>
      <c r="F200" s="252">
        <f t="shared" si="2"/>
        <v>17.792687728021207</v>
      </c>
      <c r="G200" s="396"/>
    </row>
    <row r="201" spans="2:7" ht="11.25" customHeight="1">
      <c r="B201" s="17"/>
      <c r="C201" s="251">
        <v>44024</v>
      </c>
      <c r="D201" s="252">
        <v>8.9562365980249314</v>
      </c>
      <c r="E201" s="252">
        <v>28.410222830287367</v>
      </c>
      <c r="F201" s="252">
        <f t="shared" ref="F201:F264" si="3">IF($D201&gt;E201,E201,$D201)</f>
        <v>8.9562365980249314</v>
      </c>
      <c r="G201" s="396"/>
    </row>
    <row r="202" spans="2:7" ht="11.25" customHeight="1">
      <c r="B202" s="17"/>
      <c r="C202" s="251">
        <v>44025</v>
      </c>
      <c r="D202" s="252">
        <v>23.025830096023064</v>
      </c>
      <c r="E202" s="252">
        <v>28.410222830287367</v>
      </c>
      <c r="F202" s="252">
        <f t="shared" si="3"/>
        <v>23.025830096023064</v>
      </c>
      <c r="G202" s="396"/>
    </row>
    <row r="203" spans="2:7" ht="11.25" customHeight="1">
      <c r="B203" s="17"/>
      <c r="C203" s="251">
        <v>44026</v>
      </c>
      <c r="D203" s="252">
        <v>22.195257064024933</v>
      </c>
      <c r="E203" s="252">
        <v>28.410222830287367</v>
      </c>
      <c r="F203" s="252">
        <f t="shared" si="3"/>
        <v>22.195257064024933</v>
      </c>
      <c r="G203" s="397">
        <f>E203</f>
        <v>28.410222830287367</v>
      </c>
    </row>
    <row r="204" spans="2:7" ht="11.25" customHeight="1">
      <c r="B204" s="17"/>
      <c r="C204" s="251">
        <v>44027</v>
      </c>
      <c r="D204" s="252">
        <v>21.587210229732058</v>
      </c>
      <c r="E204" s="252">
        <v>28.410222830287367</v>
      </c>
      <c r="F204" s="252">
        <f t="shared" si="3"/>
        <v>21.587210229732058</v>
      </c>
      <c r="G204" s="396"/>
    </row>
    <row r="205" spans="2:7" ht="11.25" customHeight="1">
      <c r="B205" s="17"/>
      <c r="C205" s="251">
        <v>44028</v>
      </c>
      <c r="D205" s="252">
        <v>22.256527679732063</v>
      </c>
      <c r="E205" s="252">
        <v>28.410222830287367</v>
      </c>
      <c r="F205" s="252">
        <f t="shared" si="3"/>
        <v>22.256527679732063</v>
      </c>
      <c r="G205" s="396"/>
    </row>
    <row r="206" spans="2:7" ht="11.25" customHeight="1">
      <c r="B206" s="17"/>
      <c r="C206" s="251">
        <v>44029</v>
      </c>
      <c r="D206" s="252">
        <v>24.386599185732063</v>
      </c>
      <c r="E206" s="252">
        <v>28.410222830287367</v>
      </c>
      <c r="F206" s="252">
        <f t="shared" si="3"/>
        <v>24.386599185732063</v>
      </c>
      <c r="G206" s="396"/>
    </row>
    <row r="207" spans="2:7" ht="11.25" customHeight="1">
      <c r="C207" s="251">
        <v>44030</v>
      </c>
      <c r="D207" s="252">
        <v>19.524965393733925</v>
      </c>
      <c r="E207" s="252">
        <v>28.410222830287367</v>
      </c>
      <c r="F207" s="252">
        <f t="shared" si="3"/>
        <v>19.524965393733925</v>
      </c>
      <c r="G207" s="396"/>
    </row>
    <row r="208" spans="2:7" ht="11.25" customHeight="1">
      <c r="B208" s="17"/>
      <c r="C208" s="251">
        <v>44031</v>
      </c>
      <c r="D208" s="252">
        <v>12.476329775733925</v>
      </c>
      <c r="E208" s="252">
        <v>28.410222830287367</v>
      </c>
      <c r="F208" s="252">
        <f t="shared" si="3"/>
        <v>12.476329775733925</v>
      </c>
      <c r="G208" s="396"/>
    </row>
    <row r="209" spans="2:7" ht="11.25" customHeight="1">
      <c r="B209" s="17"/>
      <c r="C209" s="251">
        <v>44032</v>
      </c>
      <c r="D209" s="252">
        <v>27.0448287037302</v>
      </c>
      <c r="E209" s="252">
        <v>28.410222830287367</v>
      </c>
      <c r="F209" s="252">
        <f t="shared" si="3"/>
        <v>27.0448287037302</v>
      </c>
      <c r="G209" s="396"/>
    </row>
    <row r="210" spans="2:7" ht="11.25" customHeight="1">
      <c r="B210" s="17"/>
      <c r="C210" s="251">
        <v>44033</v>
      </c>
      <c r="D210" s="252">
        <v>19.316497099733919</v>
      </c>
      <c r="E210" s="252">
        <v>28.410222830287367</v>
      </c>
      <c r="F210" s="252">
        <f t="shared" si="3"/>
        <v>19.316497099733919</v>
      </c>
      <c r="G210" s="396"/>
    </row>
    <row r="211" spans="2:7" ht="11.25" customHeight="1">
      <c r="B211" s="17"/>
      <c r="C211" s="251">
        <v>44034</v>
      </c>
      <c r="D211" s="252">
        <v>13.504739751972309</v>
      </c>
      <c r="E211" s="252">
        <v>28.410222830287367</v>
      </c>
      <c r="F211" s="252">
        <f t="shared" si="3"/>
        <v>13.504739751972309</v>
      </c>
      <c r="G211" s="396"/>
    </row>
    <row r="212" spans="2:7" ht="11.25" customHeight="1">
      <c r="B212" s="17"/>
      <c r="C212" s="251">
        <v>44035</v>
      </c>
      <c r="D212" s="252">
        <v>17.08586853997231</v>
      </c>
      <c r="E212" s="252">
        <v>28.410222830287367</v>
      </c>
      <c r="F212" s="252">
        <f t="shared" si="3"/>
        <v>17.08586853997231</v>
      </c>
      <c r="G212" s="396"/>
    </row>
    <row r="213" spans="2:7" ht="11.25" customHeight="1">
      <c r="B213" s="17"/>
      <c r="C213" s="251">
        <v>44036</v>
      </c>
      <c r="D213" s="252">
        <v>13.806570359974176</v>
      </c>
      <c r="E213" s="252">
        <v>28.410222830287367</v>
      </c>
      <c r="F213" s="252">
        <f t="shared" si="3"/>
        <v>13.806570359974176</v>
      </c>
      <c r="G213" s="396"/>
    </row>
    <row r="214" spans="2:7" ht="11.25" customHeight="1">
      <c r="B214" s="17"/>
      <c r="C214" s="251">
        <v>44037</v>
      </c>
      <c r="D214" s="252">
        <v>5.5892363519723078</v>
      </c>
      <c r="E214" s="252">
        <v>28.410222830287367</v>
      </c>
      <c r="F214" s="252">
        <f t="shared" si="3"/>
        <v>5.5892363519723078</v>
      </c>
      <c r="G214" s="396"/>
    </row>
    <row r="215" spans="2:7" ht="11.25" customHeight="1">
      <c r="B215" s="17"/>
      <c r="C215" s="251">
        <v>44038</v>
      </c>
      <c r="D215" s="252">
        <v>4.0950785359760342</v>
      </c>
      <c r="E215" s="252">
        <v>28.410222830287367</v>
      </c>
      <c r="F215" s="252">
        <f t="shared" si="3"/>
        <v>4.0950785359760342</v>
      </c>
      <c r="G215" s="396"/>
    </row>
    <row r="216" spans="2:7" ht="11.25" customHeight="1">
      <c r="B216" s="17"/>
      <c r="C216" s="251">
        <v>44039</v>
      </c>
      <c r="D216" s="252">
        <v>27.265467839974168</v>
      </c>
      <c r="E216" s="252">
        <v>28.410222830287367</v>
      </c>
      <c r="F216" s="252">
        <f t="shared" si="3"/>
        <v>27.265467839974168</v>
      </c>
      <c r="G216" s="396"/>
    </row>
    <row r="217" spans="2:7" ht="11.25" customHeight="1">
      <c r="B217" s="17"/>
      <c r="C217" s="251">
        <v>44040</v>
      </c>
      <c r="D217" s="252">
        <v>30.29173466397231</v>
      </c>
      <c r="E217" s="252">
        <v>28.410222830287367</v>
      </c>
      <c r="F217" s="252">
        <f t="shared" si="3"/>
        <v>28.410222830287367</v>
      </c>
      <c r="G217" s="396"/>
    </row>
    <row r="218" spans="2:7" ht="11.25" customHeight="1">
      <c r="B218" s="17"/>
      <c r="C218" s="251">
        <v>44041</v>
      </c>
      <c r="D218" s="252">
        <v>14.44973433717055</v>
      </c>
      <c r="E218" s="252">
        <v>28.410222830287367</v>
      </c>
      <c r="F218" s="252">
        <f t="shared" si="3"/>
        <v>14.44973433717055</v>
      </c>
      <c r="G218" s="396"/>
    </row>
    <row r="219" spans="2:7" ht="11.25" customHeight="1">
      <c r="B219" s="17"/>
      <c r="C219" s="251">
        <v>44042</v>
      </c>
      <c r="D219" s="252">
        <v>11.960392885170542</v>
      </c>
      <c r="E219" s="252">
        <v>28.410222830287367</v>
      </c>
      <c r="F219" s="252">
        <f t="shared" si="3"/>
        <v>11.960392885170542</v>
      </c>
      <c r="G219" s="396"/>
    </row>
    <row r="220" spans="2:7" ht="11.25" customHeight="1">
      <c r="B220" s="17"/>
      <c r="C220" s="251">
        <v>44043</v>
      </c>
      <c r="D220" s="252">
        <v>31.587455229164959</v>
      </c>
      <c r="E220" s="252">
        <v>28.410222830287367</v>
      </c>
      <c r="F220" s="252">
        <f t="shared" si="3"/>
        <v>28.410222830287367</v>
      </c>
      <c r="G220" s="396"/>
    </row>
    <row r="221" spans="2:7" ht="11.25" customHeight="1">
      <c r="B221" s="17"/>
      <c r="C221" s="251">
        <v>44044</v>
      </c>
      <c r="D221" s="252">
        <v>1.1842854931686888</v>
      </c>
      <c r="E221" s="252">
        <v>17.313341416272394</v>
      </c>
      <c r="F221" s="252">
        <f t="shared" si="3"/>
        <v>1.1842854931686888</v>
      </c>
      <c r="G221" s="396"/>
    </row>
    <row r="222" spans="2:7" ht="11.25" customHeight="1">
      <c r="B222" s="17"/>
      <c r="C222" s="251">
        <v>44045</v>
      </c>
      <c r="D222" s="252">
        <v>1.2291496491705476</v>
      </c>
      <c r="E222" s="252">
        <v>17.313341416272394</v>
      </c>
      <c r="F222" s="252">
        <f t="shared" si="3"/>
        <v>1.2291496491705476</v>
      </c>
      <c r="G222" s="396"/>
    </row>
    <row r="223" spans="2:7" ht="11.25" customHeight="1">
      <c r="B223" s="17"/>
      <c r="C223" s="251">
        <v>44046</v>
      </c>
      <c r="D223" s="252">
        <v>2.2662959891686913</v>
      </c>
      <c r="E223" s="252">
        <v>17.313341416272394</v>
      </c>
      <c r="F223" s="252">
        <f t="shared" si="3"/>
        <v>2.2662959891686913</v>
      </c>
      <c r="G223" s="396"/>
    </row>
    <row r="224" spans="2:7" ht="11.25" customHeight="1">
      <c r="B224" s="17"/>
      <c r="C224" s="251">
        <v>44047</v>
      </c>
      <c r="D224" s="252">
        <v>1.0242204831686832</v>
      </c>
      <c r="E224" s="252">
        <v>17.313341416272394</v>
      </c>
      <c r="F224" s="252">
        <f t="shared" si="3"/>
        <v>1.0242204831686832</v>
      </c>
      <c r="G224" s="396"/>
    </row>
    <row r="225" spans="2:7" ht="11.25" customHeight="1">
      <c r="B225" s="17"/>
      <c r="C225" s="251">
        <v>44048</v>
      </c>
      <c r="D225" s="252">
        <v>1.280619305211061</v>
      </c>
      <c r="E225" s="252">
        <v>17.313341416272394</v>
      </c>
      <c r="F225" s="252">
        <f t="shared" si="3"/>
        <v>1.280619305211061</v>
      </c>
      <c r="G225" s="396"/>
    </row>
    <row r="226" spans="2:7" ht="11.25" customHeight="1">
      <c r="B226" s="17"/>
      <c r="C226" s="251">
        <v>44049</v>
      </c>
      <c r="D226" s="252">
        <v>5.0690575292054714</v>
      </c>
      <c r="E226" s="252">
        <v>17.313341416272394</v>
      </c>
      <c r="F226" s="252">
        <f t="shared" si="3"/>
        <v>5.0690575292054714</v>
      </c>
      <c r="G226" s="396"/>
    </row>
    <row r="227" spans="2:7" ht="11.25" customHeight="1">
      <c r="B227" s="17"/>
      <c r="C227" s="251">
        <v>44050</v>
      </c>
      <c r="D227" s="252">
        <v>9.7617761772054656</v>
      </c>
      <c r="E227" s="252">
        <v>17.313341416272394</v>
      </c>
      <c r="F227" s="252">
        <f t="shared" si="3"/>
        <v>9.7617761772054656</v>
      </c>
      <c r="G227" s="396"/>
    </row>
    <row r="228" spans="2:7" ht="11.25" customHeight="1">
      <c r="B228" s="17"/>
      <c r="C228" s="251">
        <v>44051</v>
      </c>
      <c r="D228" s="252">
        <v>1.2596635252110573</v>
      </c>
      <c r="E228" s="252">
        <v>17.313341416272394</v>
      </c>
      <c r="F228" s="252">
        <f t="shared" si="3"/>
        <v>1.2596635252110573</v>
      </c>
      <c r="G228" s="396"/>
    </row>
    <row r="229" spans="2:7" ht="11.25" customHeight="1">
      <c r="B229" s="17"/>
      <c r="C229" s="251">
        <v>44052</v>
      </c>
      <c r="D229" s="252">
        <v>1.431573849207336</v>
      </c>
      <c r="E229" s="252">
        <v>17.313341416272394</v>
      </c>
      <c r="F229" s="252">
        <f t="shared" si="3"/>
        <v>1.431573849207336</v>
      </c>
      <c r="G229" s="396"/>
    </row>
    <row r="230" spans="2:7" ht="11.25" customHeight="1">
      <c r="B230" s="17"/>
      <c r="C230" s="251">
        <v>44053</v>
      </c>
      <c r="D230" s="252">
        <v>2.0885627332091974</v>
      </c>
      <c r="E230" s="252">
        <v>17.313341416272394</v>
      </c>
      <c r="F230" s="252">
        <f t="shared" si="3"/>
        <v>2.0885627332091974</v>
      </c>
      <c r="G230" s="396"/>
    </row>
    <row r="231" spans="2:7" ht="11.25" customHeight="1">
      <c r="B231" s="17"/>
      <c r="C231" s="251">
        <v>44054</v>
      </c>
      <c r="D231" s="252">
        <v>10.206986065207333</v>
      </c>
      <c r="E231" s="252">
        <v>17.313341416272394</v>
      </c>
      <c r="F231" s="252">
        <f t="shared" si="3"/>
        <v>10.206986065207333</v>
      </c>
      <c r="G231" s="396"/>
    </row>
    <row r="232" spans="2:7" ht="11.25" customHeight="1">
      <c r="B232" s="17"/>
      <c r="C232" s="251">
        <v>44055</v>
      </c>
      <c r="D232" s="252">
        <v>26.553954889262879</v>
      </c>
      <c r="E232" s="252">
        <v>17.313341416272394</v>
      </c>
      <c r="F232" s="252">
        <f t="shared" si="3"/>
        <v>17.313341416272394</v>
      </c>
      <c r="G232" s="396"/>
    </row>
    <row r="233" spans="2:7" ht="11.25" customHeight="1">
      <c r="B233" s="17"/>
      <c r="C233" s="251">
        <v>44056</v>
      </c>
      <c r="D233" s="252">
        <v>36.692520845261022</v>
      </c>
      <c r="E233" s="252">
        <v>17.313341416272394</v>
      </c>
      <c r="F233" s="252">
        <f t="shared" si="3"/>
        <v>17.313341416272394</v>
      </c>
      <c r="G233" s="396"/>
    </row>
    <row r="234" spans="2:7" ht="11.25" customHeight="1">
      <c r="B234" s="17"/>
      <c r="C234" s="251">
        <v>44057</v>
      </c>
      <c r="D234" s="252">
        <v>25.846505137262881</v>
      </c>
      <c r="E234" s="252">
        <v>17.313341416272394</v>
      </c>
      <c r="F234" s="252">
        <f t="shared" si="3"/>
        <v>17.313341416272394</v>
      </c>
      <c r="G234" s="397">
        <f>E234</f>
        <v>17.313341416272394</v>
      </c>
    </row>
    <row r="235" spans="2:7" ht="11.25" customHeight="1">
      <c r="B235" s="17"/>
      <c r="C235" s="251">
        <v>44058</v>
      </c>
      <c r="D235" s="252">
        <v>1.4367211132628872</v>
      </c>
      <c r="E235" s="252">
        <v>17.313341416272394</v>
      </c>
      <c r="F235" s="252">
        <f t="shared" si="3"/>
        <v>1.4367211132628872</v>
      </c>
      <c r="G235" s="396"/>
    </row>
    <row r="236" spans="2:7" ht="11.25" customHeight="1">
      <c r="B236" s="17"/>
      <c r="C236" s="251">
        <v>44059</v>
      </c>
      <c r="D236" s="252">
        <v>1.36805154325916</v>
      </c>
      <c r="E236" s="252">
        <v>17.313341416272394</v>
      </c>
      <c r="F236" s="252">
        <f t="shared" si="3"/>
        <v>1.36805154325916</v>
      </c>
      <c r="G236" s="396"/>
    </row>
    <row r="237" spans="2:7" ht="11.25" customHeight="1">
      <c r="B237" s="17"/>
      <c r="C237" s="251">
        <v>44060</v>
      </c>
      <c r="D237" s="252">
        <v>19.104476621262883</v>
      </c>
      <c r="E237" s="252">
        <v>17.313341416272394</v>
      </c>
      <c r="F237" s="252">
        <f t="shared" si="3"/>
        <v>17.313341416272394</v>
      </c>
      <c r="G237" s="396"/>
    </row>
    <row r="238" spans="2:7" ht="11.25" customHeight="1">
      <c r="B238" s="17"/>
      <c r="C238" s="251">
        <v>44061</v>
      </c>
      <c r="D238" s="252">
        <v>31.164098121262882</v>
      </c>
      <c r="E238" s="252">
        <v>17.313341416272394</v>
      </c>
      <c r="F238" s="252">
        <f t="shared" si="3"/>
        <v>17.313341416272394</v>
      </c>
      <c r="G238" s="396"/>
    </row>
    <row r="239" spans="2:7" ht="11.25" customHeight="1">
      <c r="B239" s="17"/>
      <c r="C239" s="251">
        <v>44062</v>
      </c>
      <c r="D239" s="252">
        <v>6.7076170905173056</v>
      </c>
      <c r="E239" s="252">
        <v>17.313341416272394</v>
      </c>
      <c r="F239" s="252">
        <f t="shared" si="3"/>
        <v>6.7076170905173056</v>
      </c>
      <c r="G239" s="396"/>
    </row>
    <row r="240" spans="2:7" ht="11.25" customHeight="1">
      <c r="B240" s="17"/>
      <c r="C240" s="251">
        <v>44063</v>
      </c>
      <c r="D240" s="252">
        <v>5.7604087785191735</v>
      </c>
      <c r="E240" s="252">
        <v>17.313341416272394</v>
      </c>
      <c r="F240" s="252">
        <f t="shared" si="3"/>
        <v>5.7604087785191735</v>
      </c>
      <c r="G240" s="396"/>
    </row>
    <row r="241" spans="2:7" ht="11.25" customHeight="1">
      <c r="B241" s="17"/>
      <c r="C241" s="251">
        <v>44064</v>
      </c>
      <c r="D241" s="252">
        <v>15.528971570519177</v>
      </c>
      <c r="E241" s="252">
        <v>17.313341416272394</v>
      </c>
      <c r="F241" s="252">
        <f t="shared" si="3"/>
        <v>15.528971570519177</v>
      </c>
      <c r="G241" s="396"/>
    </row>
    <row r="242" spans="2:7" ht="11.25" customHeight="1">
      <c r="B242" s="17"/>
      <c r="C242" s="251">
        <v>44065</v>
      </c>
      <c r="D242" s="252">
        <v>4.7741597785173076</v>
      </c>
      <c r="E242" s="252">
        <v>17.313341416272394</v>
      </c>
      <c r="F242" s="252">
        <f t="shared" si="3"/>
        <v>4.7741597785173076</v>
      </c>
      <c r="G242" s="396"/>
    </row>
    <row r="243" spans="2:7" ht="11.25" customHeight="1">
      <c r="B243" s="17"/>
      <c r="C243" s="251">
        <v>44066</v>
      </c>
      <c r="D243" s="252">
        <v>0.57842827851731271</v>
      </c>
      <c r="E243" s="252">
        <v>17.313341416272394</v>
      </c>
      <c r="F243" s="252">
        <f t="shared" si="3"/>
        <v>0.57842827851731271</v>
      </c>
      <c r="G243" s="396"/>
    </row>
    <row r="244" spans="2:7" ht="11.25" customHeight="1">
      <c r="B244" s="17"/>
      <c r="C244" s="251">
        <v>44067</v>
      </c>
      <c r="D244" s="252">
        <v>7.5759309585191659</v>
      </c>
      <c r="E244" s="252">
        <v>17.313341416272394</v>
      </c>
      <c r="F244" s="252">
        <f t="shared" si="3"/>
        <v>7.5759309585191659</v>
      </c>
      <c r="G244" s="396"/>
    </row>
    <row r="245" spans="2:7" ht="11.25" customHeight="1">
      <c r="B245" s="17"/>
      <c r="C245" s="251">
        <v>44068</v>
      </c>
      <c r="D245" s="252">
        <v>25.154752218519178</v>
      </c>
      <c r="E245" s="252">
        <v>17.313341416272394</v>
      </c>
      <c r="F245" s="252">
        <f t="shared" si="3"/>
        <v>17.313341416272394</v>
      </c>
      <c r="G245" s="396"/>
    </row>
    <row r="246" spans="2:7" ht="11.25" customHeight="1">
      <c r="B246" s="17"/>
      <c r="C246" s="251">
        <v>44069</v>
      </c>
      <c r="D246" s="252">
        <v>31.963963995378261</v>
      </c>
      <c r="E246" s="252">
        <v>17.313341416272394</v>
      </c>
      <c r="F246" s="252">
        <f t="shared" si="3"/>
        <v>17.313341416272394</v>
      </c>
      <c r="G246" s="396"/>
    </row>
    <row r="247" spans="2:7" ht="11.25" customHeight="1">
      <c r="B247" s="17"/>
      <c r="C247" s="251">
        <v>44070</v>
      </c>
      <c r="D247" s="252">
        <v>13.108033395380131</v>
      </c>
      <c r="E247" s="252">
        <v>17.313341416272394</v>
      </c>
      <c r="F247" s="252">
        <f t="shared" si="3"/>
        <v>13.108033395380131</v>
      </c>
      <c r="G247" s="396"/>
    </row>
    <row r="248" spans="2:7" ht="11.25" customHeight="1">
      <c r="C248" s="251">
        <v>44071</v>
      </c>
      <c r="D248" s="252">
        <v>7.3366255233819899</v>
      </c>
      <c r="E248" s="252">
        <v>17.313341416272394</v>
      </c>
      <c r="F248" s="252">
        <f t="shared" si="3"/>
        <v>7.3366255233819899</v>
      </c>
      <c r="G248" s="396"/>
    </row>
    <row r="249" spans="2:7" ht="11.25" customHeight="1">
      <c r="C249" s="251">
        <v>44072</v>
      </c>
      <c r="D249" s="252">
        <v>0.57914879137639941</v>
      </c>
      <c r="E249" s="252">
        <v>17.313341416272394</v>
      </c>
      <c r="F249" s="252">
        <f t="shared" si="3"/>
        <v>0.57914879137639941</v>
      </c>
      <c r="G249" s="396"/>
    </row>
    <row r="250" spans="2:7" ht="11.25" customHeight="1">
      <c r="C250" s="251">
        <v>44073</v>
      </c>
      <c r="D250" s="252">
        <v>0.59493596938385596</v>
      </c>
      <c r="E250" s="252">
        <v>17.313341416272394</v>
      </c>
      <c r="F250" s="252">
        <f t="shared" si="3"/>
        <v>0.59493596938385596</v>
      </c>
      <c r="G250" s="396"/>
    </row>
    <row r="251" spans="2:7" ht="11.25" customHeight="1">
      <c r="C251" s="251">
        <v>44074</v>
      </c>
      <c r="D251" s="252">
        <v>2.5399333773782637</v>
      </c>
      <c r="E251" s="252">
        <v>17.313341416272394</v>
      </c>
      <c r="F251" s="252">
        <f t="shared" si="3"/>
        <v>2.5399333773782637</v>
      </c>
      <c r="G251" s="396"/>
    </row>
    <row r="252" spans="2:7" ht="11.25" customHeight="1">
      <c r="C252" s="251">
        <v>44075</v>
      </c>
      <c r="D252" s="252">
        <v>9.9157058673782661</v>
      </c>
      <c r="E252" s="252">
        <v>20.95959048014743</v>
      </c>
      <c r="F252" s="252">
        <f t="shared" si="3"/>
        <v>9.9157058673782661</v>
      </c>
      <c r="G252" s="396"/>
    </row>
    <row r="253" spans="2:7" ht="11.25" customHeight="1">
      <c r="B253" s="17"/>
      <c r="C253" s="251">
        <v>44076</v>
      </c>
      <c r="D253" s="252">
        <v>20.153271213409287</v>
      </c>
      <c r="E253" s="252">
        <v>20.95959048014743</v>
      </c>
      <c r="F253" s="252">
        <f t="shared" si="3"/>
        <v>20.153271213409287</v>
      </c>
      <c r="G253" s="396"/>
    </row>
    <row r="254" spans="2:7" ht="11.25" customHeight="1">
      <c r="B254" s="17"/>
      <c r="C254" s="251">
        <v>44077</v>
      </c>
      <c r="D254" s="252">
        <v>24.629811097405561</v>
      </c>
      <c r="E254" s="252">
        <v>20.95959048014743</v>
      </c>
      <c r="F254" s="252">
        <f t="shared" si="3"/>
        <v>20.95959048014743</v>
      </c>
      <c r="G254" s="396"/>
    </row>
    <row r="255" spans="2:7" ht="11.25" customHeight="1">
      <c r="B255" s="17"/>
      <c r="C255" s="251">
        <v>44078</v>
      </c>
      <c r="D255" s="252">
        <v>19.219243357407425</v>
      </c>
      <c r="E255" s="252">
        <v>20.95959048014743</v>
      </c>
      <c r="F255" s="252">
        <f t="shared" si="3"/>
        <v>19.219243357407425</v>
      </c>
      <c r="G255" s="396"/>
    </row>
    <row r="256" spans="2:7" ht="11.25" customHeight="1">
      <c r="B256" s="17"/>
      <c r="C256" s="251">
        <v>44079</v>
      </c>
      <c r="D256" s="252">
        <v>2.4857805174055612</v>
      </c>
      <c r="E256" s="252">
        <v>20.95959048014743</v>
      </c>
      <c r="F256" s="252">
        <f t="shared" si="3"/>
        <v>2.4857805174055612</v>
      </c>
      <c r="G256" s="396"/>
    </row>
    <row r="257" spans="2:7" ht="11.25" customHeight="1">
      <c r="B257" s="17"/>
      <c r="C257" s="251">
        <v>44080</v>
      </c>
      <c r="D257" s="252">
        <v>1.1927802294074208</v>
      </c>
      <c r="E257" s="252">
        <v>20.95959048014743</v>
      </c>
      <c r="F257" s="252">
        <f t="shared" si="3"/>
        <v>1.1927802294074208</v>
      </c>
      <c r="G257" s="396"/>
    </row>
    <row r="258" spans="2:7" ht="11.25" customHeight="1">
      <c r="B258" s="17"/>
      <c r="C258" s="251">
        <v>44081</v>
      </c>
      <c r="D258" s="252">
        <v>1.9528572214055602</v>
      </c>
      <c r="E258" s="252">
        <v>20.95959048014743</v>
      </c>
      <c r="F258" s="252">
        <f t="shared" si="3"/>
        <v>1.9528572214055602</v>
      </c>
      <c r="G258" s="396"/>
    </row>
    <row r="259" spans="2:7" ht="11.25" customHeight="1">
      <c r="B259" s="17"/>
      <c r="C259" s="251">
        <v>44082</v>
      </c>
      <c r="D259" s="252">
        <v>10.516595965407426</v>
      </c>
      <c r="E259" s="252">
        <v>20.95959048014743</v>
      </c>
      <c r="F259" s="252">
        <f t="shared" si="3"/>
        <v>10.516595965407426</v>
      </c>
      <c r="G259" s="396"/>
    </row>
    <row r="260" spans="2:7" ht="11.25" customHeight="1">
      <c r="C260" s="251">
        <v>44083</v>
      </c>
      <c r="D260" s="252">
        <v>23.06971625332412</v>
      </c>
      <c r="E260" s="252">
        <v>20.95959048014743</v>
      </c>
      <c r="F260" s="252">
        <f t="shared" si="3"/>
        <v>20.95959048014743</v>
      </c>
      <c r="G260" s="396"/>
    </row>
    <row r="261" spans="2:7" ht="11.25" customHeight="1">
      <c r="C261" s="251">
        <v>44084</v>
      </c>
      <c r="D261" s="252">
        <v>17.835714077325989</v>
      </c>
      <c r="E261" s="252">
        <v>20.95959048014743</v>
      </c>
      <c r="F261" s="252">
        <f t="shared" si="3"/>
        <v>17.835714077325989</v>
      </c>
      <c r="G261" s="396"/>
    </row>
    <row r="262" spans="2:7" ht="11.25" customHeight="1">
      <c r="C262" s="251">
        <v>44085</v>
      </c>
      <c r="D262" s="252">
        <v>15.430868341322261</v>
      </c>
      <c r="E262" s="252">
        <v>20.95959048014743</v>
      </c>
      <c r="F262" s="252">
        <f t="shared" si="3"/>
        <v>15.430868341322261</v>
      </c>
      <c r="G262" s="396"/>
    </row>
    <row r="263" spans="2:7" ht="11.25" customHeight="1">
      <c r="C263" s="251">
        <v>44086</v>
      </c>
      <c r="D263" s="252">
        <v>1.5664787813259899</v>
      </c>
      <c r="E263" s="252">
        <v>20.95959048014743</v>
      </c>
      <c r="F263" s="252">
        <f t="shared" si="3"/>
        <v>1.5664787813259899</v>
      </c>
      <c r="G263" s="396"/>
    </row>
    <row r="264" spans="2:7" ht="11.25" customHeight="1">
      <c r="C264" s="251">
        <v>44087</v>
      </c>
      <c r="D264" s="252">
        <v>1.4851167173222639</v>
      </c>
      <c r="E264" s="252">
        <v>20.95959048014743</v>
      </c>
      <c r="F264" s="252">
        <f t="shared" si="3"/>
        <v>1.4851167173222639</v>
      </c>
      <c r="G264" s="396"/>
    </row>
    <row r="265" spans="2:7" ht="11.25" customHeight="1">
      <c r="C265" s="251">
        <v>44088</v>
      </c>
      <c r="D265" s="252">
        <v>22.501489901325986</v>
      </c>
      <c r="E265" s="252">
        <v>20.95959048014743</v>
      </c>
      <c r="F265" s="252">
        <f t="shared" ref="F265:F328" si="4">IF($D265&gt;E265,E265,$D265)</f>
        <v>20.95959048014743</v>
      </c>
      <c r="G265" s="397">
        <f>E265</f>
        <v>20.95959048014743</v>
      </c>
    </row>
    <row r="266" spans="2:7" ht="11.25" customHeight="1">
      <c r="C266" s="251">
        <v>44089</v>
      </c>
      <c r="D266" s="252">
        <v>36.529274045324129</v>
      </c>
      <c r="E266" s="252">
        <v>20.95959048014743</v>
      </c>
      <c r="F266" s="252">
        <f t="shared" si="4"/>
        <v>20.95959048014743</v>
      </c>
      <c r="G266" s="396"/>
    </row>
    <row r="267" spans="2:7" ht="11.25" customHeight="1">
      <c r="C267" s="251">
        <v>44090</v>
      </c>
      <c r="D267" s="252">
        <v>49.211002997035102</v>
      </c>
      <c r="E267" s="252">
        <v>20.95959048014743</v>
      </c>
      <c r="F267" s="252">
        <f t="shared" si="4"/>
        <v>20.95959048014743</v>
      </c>
      <c r="G267" s="396"/>
    </row>
    <row r="268" spans="2:7" ht="11.25" customHeight="1">
      <c r="C268" s="251">
        <v>44091</v>
      </c>
      <c r="D268" s="252">
        <v>23.439750845033238</v>
      </c>
      <c r="E268" s="252">
        <v>20.95959048014743</v>
      </c>
      <c r="F268" s="252">
        <f t="shared" si="4"/>
        <v>20.95959048014743</v>
      </c>
      <c r="G268" s="396"/>
    </row>
    <row r="269" spans="2:7" ht="11.25" customHeight="1">
      <c r="C269" s="251">
        <v>44092</v>
      </c>
      <c r="D269" s="252">
        <v>17.305753081036965</v>
      </c>
      <c r="E269" s="252">
        <v>20.95959048014743</v>
      </c>
      <c r="F269" s="252">
        <f t="shared" si="4"/>
        <v>17.305753081036965</v>
      </c>
      <c r="G269" s="396"/>
    </row>
    <row r="270" spans="2:7" ht="11.25" customHeight="1">
      <c r="C270" s="251">
        <v>44093</v>
      </c>
      <c r="D270" s="252">
        <v>7.5177133050350964</v>
      </c>
      <c r="E270" s="252">
        <v>20.95959048014743</v>
      </c>
      <c r="F270" s="252">
        <f t="shared" si="4"/>
        <v>7.5177133050350964</v>
      </c>
      <c r="G270" s="396"/>
    </row>
    <row r="271" spans="2:7" ht="11.25" customHeight="1">
      <c r="C271" s="251">
        <v>44094</v>
      </c>
      <c r="D271" s="252">
        <v>6.3890751850351011</v>
      </c>
      <c r="E271" s="252">
        <v>20.95959048014743</v>
      </c>
      <c r="F271" s="252">
        <f t="shared" si="4"/>
        <v>6.3890751850351011</v>
      </c>
      <c r="G271" s="396"/>
    </row>
    <row r="272" spans="2:7" ht="11.25" customHeight="1">
      <c r="C272" s="251">
        <v>44095</v>
      </c>
      <c r="D272" s="252">
        <v>29.609922117035094</v>
      </c>
      <c r="E272" s="252">
        <v>20.95959048014743</v>
      </c>
      <c r="F272" s="252">
        <f t="shared" si="4"/>
        <v>20.95959048014743</v>
      </c>
      <c r="G272" s="396"/>
    </row>
    <row r="273" spans="3:7" ht="11.25" customHeight="1">
      <c r="C273" s="251">
        <v>44096</v>
      </c>
      <c r="D273" s="252">
        <v>41.249954653035104</v>
      </c>
      <c r="E273" s="252">
        <v>20.95959048014743</v>
      </c>
      <c r="F273" s="252">
        <f t="shared" si="4"/>
        <v>20.95959048014743</v>
      </c>
      <c r="G273" s="396"/>
    </row>
    <row r="274" spans="3:7" ht="11.25" customHeight="1">
      <c r="C274" s="251">
        <v>44097</v>
      </c>
      <c r="D274" s="252">
        <v>47.738555841733351</v>
      </c>
      <c r="E274" s="252">
        <v>20.95959048014743</v>
      </c>
      <c r="F274" s="252">
        <f t="shared" si="4"/>
        <v>20.95959048014743</v>
      </c>
      <c r="G274" s="396"/>
    </row>
    <row r="275" spans="3:7" ht="11.25" customHeight="1">
      <c r="C275" s="251">
        <v>44098</v>
      </c>
      <c r="D275" s="252">
        <v>28.364571265733343</v>
      </c>
      <c r="E275" s="252">
        <v>20.95959048014743</v>
      </c>
      <c r="F275" s="252">
        <f t="shared" si="4"/>
        <v>20.95959048014743</v>
      </c>
      <c r="G275" s="396"/>
    </row>
    <row r="276" spans="3:7" ht="11.25" customHeight="1">
      <c r="C276" s="251">
        <v>44099</v>
      </c>
      <c r="D276" s="252">
        <v>14.38581081373521</v>
      </c>
      <c r="E276" s="252">
        <v>20.95959048014743</v>
      </c>
      <c r="F276" s="252">
        <f t="shared" si="4"/>
        <v>14.38581081373521</v>
      </c>
      <c r="G276" s="396"/>
    </row>
    <row r="277" spans="3:7" ht="11.25" customHeight="1">
      <c r="C277" s="251">
        <v>44100</v>
      </c>
      <c r="D277" s="252">
        <v>9.8621068577314794</v>
      </c>
      <c r="E277" s="252">
        <v>20.95959048014743</v>
      </c>
      <c r="F277" s="252">
        <f t="shared" si="4"/>
        <v>9.8621068577314794</v>
      </c>
      <c r="G277" s="396"/>
    </row>
    <row r="278" spans="3:7" ht="11.25" customHeight="1">
      <c r="C278" s="251">
        <v>44101</v>
      </c>
      <c r="D278" s="252">
        <v>13.26400406973521</v>
      </c>
      <c r="E278" s="252">
        <v>20.95959048014743</v>
      </c>
      <c r="F278" s="252">
        <f t="shared" si="4"/>
        <v>13.26400406973521</v>
      </c>
      <c r="G278" s="396"/>
    </row>
    <row r="279" spans="3:7" ht="11.25" customHeight="1">
      <c r="C279" s="251">
        <v>44102</v>
      </c>
      <c r="D279" s="252">
        <v>20.942873981735211</v>
      </c>
      <c r="E279" s="252">
        <v>20.95959048014743</v>
      </c>
      <c r="F279" s="252">
        <f t="shared" si="4"/>
        <v>20.942873981735211</v>
      </c>
      <c r="G279" s="396"/>
    </row>
    <row r="280" spans="3:7" ht="11.25" customHeight="1">
      <c r="C280" s="251">
        <v>44103</v>
      </c>
      <c r="D280" s="252">
        <v>31.611556617735207</v>
      </c>
      <c r="E280" s="252">
        <v>20.95959048014743</v>
      </c>
      <c r="F280" s="252">
        <f t="shared" si="4"/>
        <v>20.95959048014743</v>
      </c>
      <c r="G280" s="396"/>
    </row>
    <row r="281" spans="3:7" ht="11.25" customHeight="1">
      <c r="C281" s="251">
        <v>44104</v>
      </c>
      <c r="D281" s="252">
        <v>49.582627884398121</v>
      </c>
      <c r="E281" s="252">
        <v>20.95959048014743</v>
      </c>
      <c r="F281" s="252">
        <f t="shared" si="4"/>
        <v>20.95959048014743</v>
      </c>
      <c r="G281" s="396"/>
    </row>
    <row r="282" spans="3:7" ht="11.25" customHeight="1">
      <c r="C282" s="251">
        <v>44105</v>
      </c>
      <c r="D282" s="252">
        <v>34.484269008399984</v>
      </c>
      <c r="E282" s="252">
        <v>41.360965957335978</v>
      </c>
      <c r="F282" s="252">
        <f t="shared" si="4"/>
        <v>34.484269008399984</v>
      </c>
      <c r="G282" s="396"/>
    </row>
    <row r="283" spans="3:7" ht="11.25" customHeight="1">
      <c r="C283" s="251">
        <v>44106</v>
      </c>
      <c r="D283" s="252">
        <v>33.251194404401843</v>
      </c>
      <c r="E283" s="252">
        <v>41.360965957335978</v>
      </c>
      <c r="F283" s="252">
        <f t="shared" si="4"/>
        <v>33.251194404401843</v>
      </c>
      <c r="G283" s="396"/>
    </row>
    <row r="284" spans="3:7" ht="11.25" customHeight="1">
      <c r="C284" s="251">
        <v>44107</v>
      </c>
      <c r="D284" s="252">
        <v>31.903827480398125</v>
      </c>
      <c r="E284" s="252">
        <v>41.360965957335978</v>
      </c>
      <c r="F284" s="252">
        <f t="shared" si="4"/>
        <v>31.903827480398125</v>
      </c>
      <c r="G284" s="396"/>
    </row>
    <row r="285" spans="3:7" ht="11.25" customHeight="1">
      <c r="C285" s="251">
        <v>44108</v>
      </c>
      <c r="D285" s="252">
        <v>32.307551376400916</v>
      </c>
      <c r="E285" s="252">
        <v>41.360965957335978</v>
      </c>
      <c r="F285" s="252">
        <f t="shared" si="4"/>
        <v>32.307551376400916</v>
      </c>
      <c r="G285" s="396"/>
    </row>
    <row r="286" spans="3:7" ht="11.25" customHeight="1">
      <c r="C286" s="251">
        <v>44109</v>
      </c>
      <c r="D286" s="252">
        <v>36.51101262840092</v>
      </c>
      <c r="E286" s="252">
        <v>41.360965957335978</v>
      </c>
      <c r="F286" s="252">
        <f t="shared" si="4"/>
        <v>36.51101262840092</v>
      </c>
      <c r="G286" s="396"/>
    </row>
    <row r="287" spans="3:7" ht="11.25" customHeight="1">
      <c r="C287" s="251">
        <v>44110</v>
      </c>
      <c r="D287" s="252">
        <v>44.142058320401844</v>
      </c>
      <c r="E287" s="252">
        <v>41.360965957335978</v>
      </c>
      <c r="F287" s="252">
        <f t="shared" si="4"/>
        <v>41.360965957335978</v>
      </c>
      <c r="G287" s="396"/>
    </row>
    <row r="288" spans="3:7" ht="11.25" customHeight="1">
      <c r="C288" s="251">
        <v>44111</v>
      </c>
      <c r="D288" s="252">
        <v>51.267928335480406</v>
      </c>
      <c r="E288" s="252">
        <v>41.360965957335978</v>
      </c>
      <c r="F288" s="252">
        <f t="shared" si="4"/>
        <v>41.360965957335978</v>
      </c>
      <c r="G288" s="396"/>
    </row>
    <row r="289" spans="3:7" ht="11.25" customHeight="1">
      <c r="C289" s="251">
        <v>44112</v>
      </c>
      <c r="D289" s="252">
        <v>57.779140555484133</v>
      </c>
      <c r="E289" s="252">
        <v>41.360965957335978</v>
      </c>
      <c r="F289" s="252">
        <f t="shared" si="4"/>
        <v>41.360965957335978</v>
      </c>
      <c r="G289" s="396"/>
    </row>
    <row r="290" spans="3:7" ht="11.25" customHeight="1">
      <c r="C290" s="251">
        <v>44113</v>
      </c>
      <c r="D290" s="252">
        <v>58.880303935482267</v>
      </c>
      <c r="E290" s="252">
        <v>41.360965957335978</v>
      </c>
      <c r="F290" s="252">
        <f t="shared" si="4"/>
        <v>41.360965957335978</v>
      </c>
      <c r="G290" s="396"/>
    </row>
    <row r="291" spans="3:7" ht="11.25" customHeight="1">
      <c r="C291" s="251">
        <v>44114</v>
      </c>
      <c r="D291" s="252">
        <v>31.932171363482272</v>
      </c>
      <c r="E291" s="252">
        <v>41.360965957335978</v>
      </c>
      <c r="F291" s="252">
        <f t="shared" si="4"/>
        <v>31.932171363482272</v>
      </c>
      <c r="G291" s="396"/>
    </row>
    <row r="292" spans="3:7" ht="11.25" customHeight="1">
      <c r="C292" s="251">
        <v>44115</v>
      </c>
      <c r="D292" s="252">
        <v>27.284127463484133</v>
      </c>
      <c r="E292" s="252">
        <v>41.360965957335978</v>
      </c>
      <c r="F292" s="252">
        <f t="shared" si="4"/>
        <v>27.284127463484133</v>
      </c>
      <c r="G292" s="396"/>
    </row>
    <row r="293" spans="3:7" ht="11.25" customHeight="1">
      <c r="C293" s="251">
        <v>44116</v>
      </c>
      <c r="D293" s="252">
        <v>33.38150365548227</v>
      </c>
      <c r="E293" s="252">
        <v>41.360965957335978</v>
      </c>
      <c r="F293" s="252">
        <f t="shared" si="4"/>
        <v>33.38150365548227</v>
      </c>
      <c r="G293" s="396"/>
    </row>
    <row r="294" spans="3:7" ht="11.25" customHeight="1">
      <c r="C294" s="251">
        <v>44117</v>
      </c>
      <c r="D294" s="252">
        <v>56.992809845482277</v>
      </c>
      <c r="E294" s="252">
        <v>41.360965957335978</v>
      </c>
      <c r="F294" s="252">
        <f t="shared" si="4"/>
        <v>41.360965957335978</v>
      </c>
      <c r="G294" s="396"/>
    </row>
    <row r="295" spans="3:7" ht="11.25" customHeight="1">
      <c r="C295" s="251">
        <v>44118</v>
      </c>
      <c r="D295" s="252">
        <v>40.406727836433134</v>
      </c>
      <c r="E295" s="252">
        <v>41.360965957335978</v>
      </c>
      <c r="F295" s="252">
        <f t="shared" si="4"/>
        <v>40.406727836433134</v>
      </c>
      <c r="G295" s="397">
        <f>E295</f>
        <v>41.360965957335978</v>
      </c>
    </row>
    <row r="296" spans="3:7" ht="11.25" customHeight="1">
      <c r="C296" s="251">
        <v>44119</v>
      </c>
      <c r="D296" s="252">
        <v>49.30989098043127</v>
      </c>
      <c r="E296" s="252">
        <v>41.360965957335978</v>
      </c>
      <c r="F296" s="252">
        <f t="shared" si="4"/>
        <v>41.360965957335978</v>
      </c>
      <c r="G296" s="396"/>
    </row>
    <row r="297" spans="3:7" ht="11.25" customHeight="1">
      <c r="C297" s="251">
        <v>44120</v>
      </c>
      <c r="D297" s="252">
        <v>55.494502726433126</v>
      </c>
      <c r="E297" s="252">
        <v>41.360965957335978</v>
      </c>
      <c r="F297" s="252">
        <f t="shared" si="4"/>
        <v>41.360965957335978</v>
      </c>
      <c r="G297" s="396"/>
    </row>
    <row r="298" spans="3:7" ht="11.25" customHeight="1">
      <c r="C298" s="251">
        <v>44121</v>
      </c>
      <c r="D298" s="252">
        <v>60.255922256433131</v>
      </c>
      <c r="E298" s="252">
        <v>41.360965957335978</v>
      </c>
      <c r="F298" s="252">
        <f t="shared" si="4"/>
        <v>41.360965957335978</v>
      </c>
      <c r="G298" s="396"/>
    </row>
    <row r="299" spans="3:7" ht="11.25" customHeight="1">
      <c r="C299" s="251">
        <v>44122</v>
      </c>
      <c r="D299" s="252">
        <v>50.562724656433126</v>
      </c>
      <c r="E299" s="252">
        <v>41.360965957335978</v>
      </c>
      <c r="F299" s="252">
        <f t="shared" si="4"/>
        <v>41.360965957335978</v>
      </c>
      <c r="G299" s="396"/>
    </row>
    <row r="300" spans="3:7" ht="11.25" customHeight="1">
      <c r="C300" s="251">
        <v>44123</v>
      </c>
      <c r="D300" s="252">
        <v>17.77103218643127</v>
      </c>
      <c r="E300" s="252">
        <v>41.360965957335978</v>
      </c>
      <c r="F300" s="252">
        <f t="shared" si="4"/>
        <v>17.77103218643127</v>
      </c>
      <c r="G300" s="396"/>
    </row>
    <row r="301" spans="3:7" ht="11.25" customHeight="1">
      <c r="C301" s="251">
        <v>44124</v>
      </c>
      <c r="D301" s="252">
        <v>33.208155356433132</v>
      </c>
      <c r="E301" s="252">
        <v>41.360965957335978</v>
      </c>
      <c r="F301" s="252">
        <f t="shared" si="4"/>
        <v>33.208155356433132</v>
      </c>
      <c r="G301" s="396"/>
    </row>
    <row r="302" spans="3:7" ht="11.25" customHeight="1">
      <c r="C302" s="251">
        <v>44125</v>
      </c>
      <c r="D302" s="252">
        <v>97.291059926170803</v>
      </c>
      <c r="E302" s="252">
        <v>41.360965957335978</v>
      </c>
      <c r="F302" s="252">
        <f t="shared" si="4"/>
        <v>41.360965957335978</v>
      </c>
      <c r="G302" s="396"/>
    </row>
    <row r="303" spans="3:7" ht="11.25" customHeight="1">
      <c r="C303" s="251">
        <v>44126</v>
      </c>
      <c r="D303" s="252">
        <v>126.02930844817081</v>
      </c>
      <c r="E303" s="252">
        <v>41.360965957335978</v>
      </c>
      <c r="F303" s="252">
        <f t="shared" si="4"/>
        <v>41.360965957335978</v>
      </c>
      <c r="G303" s="396"/>
    </row>
    <row r="304" spans="3:7" ht="11.25" customHeight="1">
      <c r="C304" s="251">
        <v>44127</v>
      </c>
      <c r="D304" s="252">
        <v>115.91941670617173</v>
      </c>
      <c r="E304" s="252">
        <v>41.360965957335978</v>
      </c>
      <c r="F304" s="252">
        <f t="shared" si="4"/>
        <v>41.360965957335978</v>
      </c>
      <c r="G304" s="396"/>
    </row>
    <row r="305" spans="3:7" ht="11.25" customHeight="1">
      <c r="C305" s="251">
        <v>44128</v>
      </c>
      <c r="D305" s="252">
        <v>92.789863808169869</v>
      </c>
      <c r="E305" s="252">
        <v>41.360965957335978</v>
      </c>
      <c r="F305" s="252">
        <f t="shared" si="4"/>
        <v>41.360965957335978</v>
      </c>
      <c r="G305" s="396"/>
    </row>
    <row r="306" spans="3:7" ht="11.25" customHeight="1">
      <c r="C306" s="251">
        <v>44129</v>
      </c>
      <c r="D306" s="252">
        <v>89.756588088171725</v>
      </c>
      <c r="E306" s="252">
        <v>41.360965957335978</v>
      </c>
      <c r="F306" s="252">
        <f t="shared" si="4"/>
        <v>41.360965957335978</v>
      </c>
      <c r="G306" s="396"/>
    </row>
    <row r="307" spans="3:7" ht="11.25" customHeight="1">
      <c r="C307" s="251">
        <v>44130</v>
      </c>
      <c r="D307" s="252">
        <v>109.11181016617081</v>
      </c>
      <c r="E307" s="252">
        <v>41.360965957335978</v>
      </c>
      <c r="F307" s="252">
        <f t="shared" si="4"/>
        <v>41.360965957335978</v>
      </c>
      <c r="G307" s="396"/>
    </row>
    <row r="308" spans="3:7" ht="11.25" customHeight="1">
      <c r="C308" s="251">
        <v>44131</v>
      </c>
      <c r="D308" s="252">
        <v>109.85636180616987</v>
      </c>
      <c r="E308" s="252">
        <v>41.360965957335978</v>
      </c>
      <c r="F308" s="252">
        <f t="shared" si="4"/>
        <v>41.360965957335978</v>
      </c>
      <c r="G308" s="396"/>
    </row>
    <row r="309" spans="3:7" ht="11.25" customHeight="1">
      <c r="C309" s="251">
        <v>44132</v>
      </c>
      <c r="D309" s="252">
        <v>97.513283922563275</v>
      </c>
      <c r="E309" s="252">
        <v>41.360965957335978</v>
      </c>
      <c r="F309" s="252">
        <f t="shared" si="4"/>
        <v>41.360965957335978</v>
      </c>
      <c r="G309" s="396"/>
    </row>
    <row r="310" spans="3:7" ht="11.25" customHeight="1">
      <c r="C310" s="251">
        <v>44133</v>
      </c>
      <c r="D310" s="252">
        <v>100.72625251856142</v>
      </c>
      <c r="E310" s="252">
        <v>41.360965957335978</v>
      </c>
      <c r="F310" s="252">
        <f t="shared" si="4"/>
        <v>41.360965957335978</v>
      </c>
      <c r="G310" s="396"/>
    </row>
    <row r="311" spans="3:7" ht="11.25" customHeight="1">
      <c r="C311" s="251">
        <v>44134</v>
      </c>
      <c r="D311" s="252">
        <v>94.830684810563284</v>
      </c>
      <c r="E311" s="252">
        <v>41.360965957335978</v>
      </c>
      <c r="F311" s="252">
        <f t="shared" si="4"/>
        <v>41.360965957335978</v>
      </c>
      <c r="G311" s="396"/>
    </row>
    <row r="312" spans="3:7" ht="11.25" customHeight="1">
      <c r="C312" s="251">
        <v>44135</v>
      </c>
      <c r="D312" s="252">
        <v>73.145933778563275</v>
      </c>
      <c r="E312" s="252">
        <v>41.360965957335978</v>
      </c>
      <c r="F312" s="252">
        <f t="shared" si="4"/>
        <v>41.360965957335978</v>
      </c>
      <c r="G312" s="396"/>
    </row>
    <row r="313" spans="3:7" ht="11.25" customHeight="1">
      <c r="C313" s="251">
        <v>44136</v>
      </c>
      <c r="D313" s="252">
        <v>67.439131476561428</v>
      </c>
      <c r="E313" s="252">
        <v>85.678144231829236</v>
      </c>
      <c r="F313" s="252">
        <f t="shared" si="4"/>
        <v>67.439131476561428</v>
      </c>
      <c r="G313" s="396"/>
    </row>
    <row r="314" spans="3:7" ht="11.25" customHeight="1">
      <c r="C314" s="251">
        <v>44137</v>
      </c>
      <c r="D314" s="252">
        <v>90.526146578563271</v>
      </c>
      <c r="E314" s="252">
        <v>85.678144231829236</v>
      </c>
      <c r="F314" s="252">
        <f t="shared" si="4"/>
        <v>85.678144231829236</v>
      </c>
      <c r="G314" s="396"/>
    </row>
    <row r="315" spans="3:7" ht="11.25" customHeight="1">
      <c r="C315" s="251">
        <v>44138</v>
      </c>
      <c r="D315" s="252">
        <v>84.876946158563285</v>
      </c>
      <c r="E315" s="252">
        <v>85.678144231829236</v>
      </c>
      <c r="F315" s="252">
        <f t="shared" si="4"/>
        <v>84.876946158563285</v>
      </c>
      <c r="G315" s="396"/>
    </row>
    <row r="316" spans="3:7" ht="11.25" customHeight="1">
      <c r="C316" s="251">
        <v>44139</v>
      </c>
      <c r="D316" s="252">
        <v>92.022454163520209</v>
      </c>
      <c r="E316" s="252">
        <v>85.678144231829236</v>
      </c>
      <c r="F316" s="252">
        <f t="shared" si="4"/>
        <v>85.678144231829236</v>
      </c>
      <c r="G316" s="396"/>
    </row>
    <row r="317" spans="3:7" ht="11.25" customHeight="1">
      <c r="C317" s="251">
        <v>44140</v>
      </c>
      <c r="D317" s="252">
        <v>84.994874821518337</v>
      </c>
      <c r="E317" s="252">
        <v>85.678144231829236</v>
      </c>
      <c r="F317" s="252">
        <f t="shared" si="4"/>
        <v>84.994874821518337</v>
      </c>
      <c r="G317" s="396"/>
    </row>
    <row r="318" spans="3:7" ht="11.25" customHeight="1">
      <c r="C318" s="251">
        <v>44141</v>
      </c>
      <c r="D318" s="252">
        <v>82.460786099520206</v>
      </c>
      <c r="E318" s="252">
        <v>85.678144231829236</v>
      </c>
      <c r="F318" s="252">
        <f t="shared" si="4"/>
        <v>82.460786099520206</v>
      </c>
      <c r="G318" s="396"/>
    </row>
    <row r="319" spans="3:7" ht="11.25" customHeight="1">
      <c r="C319" s="251">
        <v>44142</v>
      </c>
      <c r="D319" s="252">
        <v>85.111399417518342</v>
      </c>
      <c r="E319" s="252">
        <v>85.678144231829236</v>
      </c>
      <c r="F319" s="252">
        <f t="shared" si="4"/>
        <v>85.111399417518342</v>
      </c>
      <c r="G319" s="396"/>
    </row>
    <row r="320" spans="3:7" ht="11.25" customHeight="1">
      <c r="C320" s="251">
        <v>44143</v>
      </c>
      <c r="D320" s="252">
        <v>88.269803449518349</v>
      </c>
      <c r="E320" s="252">
        <v>85.678144231829236</v>
      </c>
      <c r="F320" s="252">
        <f t="shared" si="4"/>
        <v>85.678144231829236</v>
      </c>
      <c r="G320" s="396"/>
    </row>
    <row r="321" spans="3:7" ht="11.25" customHeight="1">
      <c r="C321" s="251">
        <v>44144</v>
      </c>
      <c r="D321" s="252">
        <v>122.10789563552021</v>
      </c>
      <c r="E321" s="252">
        <v>85.678144231829236</v>
      </c>
      <c r="F321" s="252">
        <f t="shared" si="4"/>
        <v>85.678144231829236</v>
      </c>
      <c r="G321" s="396"/>
    </row>
    <row r="322" spans="3:7" ht="11.25" customHeight="1">
      <c r="C322" s="251">
        <v>44145</v>
      </c>
      <c r="D322" s="252">
        <v>133.2040394595202</v>
      </c>
      <c r="E322" s="252">
        <v>85.678144231829236</v>
      </c>
      <c r="F322" s="252">
        <f t="shared" si="4"/>
        <v>85.678144231829236</v>
      </c>
      <c r="G322" s="396"/>
    </row>
    <row r="323" spans="3:7" ht="11.25" customHeight="1">
      <c r="C323" s="251">
        <v>44146</v>
      </c>
      <c r="D323" s="252">
        <v>92.28660158872016</v>
      </c>
      <c r="E323" s="252">
        <v>85.678144231829236</v>
      </c>
      <c r="F323" s="252">
        <f t="shared" si="4"/>
        <v>85.678144231829236</v>
      </c>
      <c r="G323" s="396"/>
    </row>
    <row r="324" spans="3:7" ht="11.25" customHeight="1">
      <c r="C324" s="251">
        <v>44147</v>
      </c>
      <c r="D324" s="252">
        <v>96.551122752722037</v>
      </c>
      <c r="E324" s="252">
        <v>85.678144231829236</v>
      </c>
      <c r="F324" s="252">
        <f t="shared" si="4"/>
        <v>85.678144231829236</v>
      </c>
      <c r="G324" s="396"/>
    </row>
    <row r="325" spans="3:7" ht="11.25" customHeight="1">
      <c r="C325" s="251">
        <v>44148</v>
      </c>
      <c r="D325" s="252">
        <v>92.831027220722021</v>
      </c>
      <c r="E325" s="252">
        <v>85.678144231829236</v>
      </c>
      <c r="F325" s="252">
        <f t="shared" si="4"/>
        <v>85.678144231829236</v>
      </c>
      <c r="G325" s="396"/>
    </row>
    <row r="326" spans="3:7" ht="11.25" customHeight="1">
      <c r="C326" s="251">
        <v>44149</v>
      </c>
      <c r="D326" s="252">
        <v>68.749278420722021</v>
      </c>
      <c r="E326" s="252">
        <v>85.678144231829236</v>
      </c>
      <c r="F326" s="252">
        <f t="shared" si="4"/>
        <v>68.749278420722021</v>
      </c>
      <c r="G326" s="397">
        <f>E326</f>
        <v>85.678144231829236</v>
      </c>
    </row>
    <row r="327" spans="3:7" ht="11.25" customHeight="1">
      <c r="C327" s="251">
        <v>44150</v>
      </c>
      <c r="D327" s="252">
        <v>46.994863764720165</v>
      </c>
      <c r="E327" s="252">
        <v>85.678144231829236</v>
      </c>
      <c r="F327" s="252">
        <f t="shared" si="4"/>
        <v>46.994863764720165</v>
      </c>
      <c r="G327" s="396"/>
    </row>
    <row r="328" spans="3:7" ht="11.25" customHeight="1">
      <c r="C328" s="251">
        <v>44151</v>
      </c>
      <c r="D328" s="252">
        <v>84.323376144723895</v>
      </c>
      <c r="E328" s="252">
        <v>85.678144231829236</v>
      </c>
      <c r="F328" s="252">
        <f t="shared" si="4"/>
        <v>84.323376144723895</v>
      </c>
      <c r="G328" s="396"/>
    </row>
    <row r="329" spans="3:7" ht="11.25" customHeight="1">
      <c r="C329" s="251">
        <v>44152</v>
      </c>
      <c r="D329" s="252">
        <v>89.897927160720172</v>
      </c>
      <c r="E329" s="252">
        <v>85.678144231829236</v>
      </c>
      <c r="F329" s="252">
        <f t="shared" ref="F329:F372" si="5">IF($D329&gt;E329,E329,$D329)</f>
        <v>85.678144231829236</v>
      </c>
      <c r="G329" s="396"/>
    </row>
    <row r="330" spans="3:7" ht="11.25" customHeight="1">
      <c r="C330" s="251">
        <v>44153</v>
      </c>
      <c r="D330" s="252">
        <v>67.968658425442811</v>
      </c>
      <c r="E330" s="252">
        <v>85.678144231829236</v>
      </c>
      <c r="F330" s="252">
        <f t="shared" si="5"/>
        <v>67.968658425442811</v>
      </c>
      <c r="G330" s="396"/>
    </row>
    <row r="331" spans="3:7" ht="11.25" customHeight="1">
      <c r="C331" s="251">
        <v>44154</v>
      </c>
      <c r="D331" s="252">
        <v>61.253144337444667</v>
      </c>
      <c r="E331" s="252">
        <v>85.678144231829236</v>
      </c>
      <c r="F331" s="252">
        <f t="shared" si="5"/>
        <v>61.253144337444667</v>
      </c>
      <c r="G331" s="396"/>
    </row>
    <row r="332" spans="3:7" ht="11.25" customHeight="1">
      <c r="C332" s="251">
        <v>44155</v>
      </c>
      <c r="D332" s="252">
        <v>54.597239157440946</v>
      </c>
      <c r="E332" s="252">
        <v>85.678144231829236</v>
      </c>
      <c r="F332" s="252">
        <f t="shared" si="5"/>
        <v>54.597239157440946</v>
      </c>
      <c r="G332" s="396"/>
    </row>
    <row r="333" spans="3:7" ht="11.25" customHeight="1">
      <c r="C333" s="251">
        <v>44156</v>
      </c>
      <c r="D333" s="252">
        <v>51.938485237442805</v>
      </c>
      <c r="E333" s="252">
        <v>85.678144231829236</v>
      </c>
      <c r="F333" s="252">
        <f t="shared" si="5"/>
        <v>51.938485237442805</v>
      </c>
      <c r="G333" s="396"/>
    </row>
    <row r="334" spans="3:7" ht="11.25" customHeight="1">
      <c r="C334" s="251">
        <v>44157</v>
      </c>
      <c r="D334" s="252">
        <v>44.799852517442815</v>
      </c>
      <c r="E334" s="252">
        <v>85.678144231829236</v>
      </c>
      <c r="F334" s="252">
        <f t="shared" si="5"/>
        <v>44.799852517442815</v>
      </c>
      <c r="G334" s="396"/>
    </row>
    <row r="335" spans="3:7" ht="11.25" customHeight="1">
      <c r="C335" s="251">
        <v>44158</v>
      </c>
      <c r="D335" s="252">
        <v>82.423770433442812</v>
      </c>
      <c r="E335" s="252">
        <v>85.678144231829236</v>
      </c>
      <c r="F335" s="252">
        <f t="shared" si="5"/>
        <v>82.423770433442812</v>
      </c>
      <c r="G335" s="396"/>
    </row>
    <row r="336" spans="3:7" ht="11.25" customHeight="1">
      <c r="C336" s="251">
        <v>44159</v>
      </c>
      <c r="D336" s="252">
        <v>85.234718897440956</v>
      </c>
      <c r="E336" s="252">
        <v>85.678144231829236</v>
      </c>
      <c r="F336" s="252">
        <f t="shared" si="5"/>
        <v>85.234718897440956</v>
      </c>
      <c r="G336" s="396"/>
    </row>
    <row r="337" spans="3:7" ht="11.25" customHeight="1">
      <c r="C337" s="251">
        <v>44160</v>
      </c>
      <c r="D337" s="252">
        <v>66.728341300664411</v>
      </c>
      <c r="E337" s="252">
        <v>85.678144231829236</v>
      </c>
      <c r="F337" s="252">
        <f t="shared" si="5"/>
        <v>66.728341300664411</v>
      </c>
      <c r="G337" s="396"/>
    </row>
    <row r="338" spans="3:7" ht="11.25" customHeight="1">
      <c r="C338" s="251">
        <v>44161</v>
      </c>
      <c r="D338" s="252">
        <v>62.85127694066442</v>
      </c>
      <c r="E338" s="252">
        <v>85.678144231829236</v>
      </c>
      <c r="F338" s="252">
        <f t="shared" si="5"/>
        <v>62.85127694066442</v>
      </c>
      <c r="G338" s="396"/>
    </row>
    <row r="339" spans="3:7" ht="11.25" customHeight="1">
      <c r="C339" s="251">
        <v>44162</v>
      </c>
      <c r="D339" s="252">
        <v>77.113845596664419</v>
      </c>
      <c r="E339" s="252">
        <v>85.678144231829236</v>
      </c>
      <c r="F339" s="252">
        <f t="shared" si="5"/>
        <v>77.113845596664419</v>
      </c>
      <c r="G339" s="396"/>
    </row>
    <row r="340" spans="3:7" ht="11.25" customHeight="1">
      <c r="C340" s="251">
        <v>44163</v>
      </c>
      <c r="D340" s="252">
        <v>60.699643756666276</v>
      </c>
      <c r="E340" s="252">
        <v>85.678144231829236</v>
      </c>
      <c r="F340" s="252">
        <f t="shared" si="5"/>
        <v>60.699643756666276</v>
      </c>
      <c r="G340" s="396"/>
    </row>
    <row r="341" spans="3:7" ht="11.25" customHeight="1">
      <c r="C341" s="251">
        <v>44164</v>
      </c>
      <c r="D341" s="252">
        <v>56.366979740662558</v>
      </c>
      <c r="E341" s="252">
        <v>85.678144231829236</v>
      </c>
      <c r="F341" s="252">
        <f t="shared" si="5"/>
        <v>56.366979740662558</v>
      </c>
      <c r="G341" s="396"/>
    </row>
    <row r="342" spans="3:7" ht="11.25" customHeight="1">
      <c r="C342" s="251">
        <v>44165</v>
      </c>
      <c r="D342" s="252">
        <v>75.470445708664428</v>
      </c>
      <c r="E342" s="252">
        <v>85.678144231829236</v>
      </c>
      <c r="F342" s="252">
        <f t="shared" si="5"/>
        <v>75.470445708664428</v>
      </c>
      <c r="G342" s="396"/>
    </row>
    <row r="343" spans="3:7" ht="11.25" customHeight="1">
      <c r="C343" s="251">
        <v>44166</v>
      </c>
      <c r="D343" s="252">
        <v>60.124714868663489</v>
      </c>
      <c r="E343" s="252">
        <v>109.27964473765024</v>
      </c>
      <c r="F343" s="252">
        <f t="shared" si="5"/>
        <v>60.124714868663489</v>
      </c>
      <c r="G343" s="396"/>
    </row>
    <row r="344" spans="3:7" ht="11.25" customHeight="1">
      <c r="C344" s="251">
        <v>44167</v>
      </c>
      <c r="D344" s="252">
        <v>70.373460138760265</v>
      </c>
      <c r="E344" s="252">
        <v>109.27964473765024</v>
      </c>
      <c r="F344" s="252">
        <f t="shared" si="5"/>
        <v>70.373460138760265</v>
      </c>
      <c r="G344" s="396"/>
    </row>
    <row r="345" spans="3:7" ht="11.25" customHeight="1">
      <c r="C345" s="251">
        <v>44168</v>
      </c>
      <c r="D345" s="252">
        <v>82.599717910759324</v>
      </c>
      <c r="E345" s="252">
        <v>109.27964473765024</v>
      </c>
      <c r="F345" s="252">
        <f t="shared" si="5"/>
        <v>82.599717910759324</v>
      </c>
      <c r="G345" s="396"/>
    </row>
    <row r="346" spans="3:7" ht="11.25" customHeight="1">
      <c r="C346" s="251">
        <v>44169</v>
      </c>
      <c r="D346" s="252">
        <v>78.032862996759334</v>
      </c>
      <c r="E346" s="252">
        <v>109.27964473765024</v>
      </c>
      <c r="F346" s="252">
        <f t="shared" si="5"/>
        <v>78.032862996759334</v>
      </c>
      <c r="G346" s="396"/>
    </row>
    <row r="347" spans="3:7" ht="11.25" customHeight="1">
      <c r="C347" s="251">
        <v>44170</v>
      </c>
      <c r="D347" s="252">
        <v>61.522234550759329</v>
      </c>
      <c r="E347" s="252">
        <v>109.27964473765024</v>
      </c>
      <c r="F347" s="252">
        <f t="shared" si="5"/>
        <v>61.522234550759329</v>
      </c>
      <c r="G347" s="396"/>
    </row>
    <row r="348" spans="3:7" ht="11.25" customHeight="1">
      <c r="C348" s="251">
        <v>44171</v>
      </c>
      <c r="D348" s="252">
        <v>45.103965910761197</v>
      </c>
      <c r="E348" s="252">
        <v>109.27964473765024</v>
      </c>
      <c r="F348" s="252">
        <f t="shared" si="5"/>
        <v>45.103965910761197</v>
      </c>
      <c r="G348" s="396"/>
    </row>
    <row r="349" spans="3:7" ht="11.25" customHeight="1">
      <c r="C349" s="251">
        <v>44172</v>
      </c>
      <c r="D349" s="252">
        <v>40.65508330075933</v>
      </c>
      <c r="E349" s="252">
        <v>109.27964473765024</v>
      </c>
      <c r="F349" s="252">
        <f t="shared" si="5"/>
        <v>40.65508330075933</v>
      </c>
      <c r="G349" s="396"/>
    </row>
    <row r="350" spans="3:7" ht="11.25" customHeight="1">
      <c r="C350" s="251">
        <v>44173</v>
      </c>
      <c r="D350" s="252">
        <v>61.980312170759326</v>
      </c>
      <c r="E350" s="252">
        <v>109.27964473765024</v>
      </c>
      <c r="F350" s="252">
        <f t="shared" si="5"/>
        <v>61.980312170759326</v>
      </c>
      <c r="G350" s="396"/>
    </row>
    <row r="351" spans="3:7" ht="11.25" customHeight="1">
      <c r="C351" s="251">
        <v>44174</v>
      </c>
      <c r="D351" s="252">
        <v>180.63661107717815</v>
      </c>
      <c r="E351" s="252">
        <v>109.27964473765024</v>
      </c>
      <c r="F351" s="252">
        <f t="shared" si="5"/>
        <v>109.27964473765024</v>
      </c>
      <c r="G351" s="396"/>
    </row>
    <row r="352" spans="3:7" ht="11.25" customHeight="1">
      <c r="C352" s="251">
        <v>44175</v>
      </c>
      <c r="D352" s="252">
        <v>177.15751080117724</v>
      </c>
      <c r="E352" s="252">
        <v>109.27964473765024</v>
      </c>
      <c r="F352" s="252">
        <f t="shared" si="5"/>
        <v>109.27964473765024</v>
      </c>
      <c r="G352" s="396"/>
    </row>
    <row r="353" spans="3:7" ht="11.25" customHeight="1">
      <c r="C353" s="251">
        <v>44176</v>
      </c>
      <c r="D353" s="252">
        <v>170.34157254117724</v>
      </c>
      <c r="E353" s="252">
        <v>109.27964473765024</v>
      </c>
      <c r="F353" s="252">
        <f t="shared" si="5"/>
        <v>109.27964473765024</v>
      </c>
      <c r="G353" s="396"/>
    </row>
    <row r="354" spans="3:7" ht="11.25" customHeight="1">
      <c r="C354" s="251">
        <v>44177</v>
      </c>
      <c r="D354" s="252">
        <v>167.70590361117723</v>
      </c>
      <c r="E354" s="252">
        <v>109.27964473765024</v>
      </c>
      <c r="F354" s="252">
        <f t="shared" si="5"/>
        <v>109.27964473765024</v>
      </c>
      <c r="G354" s="396"/>
    </row>
    <row r="355" spans="3:7" ht="11.25" customHeight="1">
      <c r="C355" s="251">
        <v>44178</v>
      </c>
      <c r="D355" s="252">
        <v>178.32048240117723</v>
      </c>
      <c r="E355" s="252">
        <v>109.27964473765024</v>
      </c>
      <c r="F355" s="252">
        <f t="shared" si="5"/>
        <v>109.27964473765024</v>
      </c>
      <c r="G355" s="396"/>
    </row>
    <row r="356" spans="3:7" ht="11.25" customHeight="1">
      <c r="C356" s="251">
        <v>44179</v>
      </c>
      <c r="D356" s="252">
        <v>192.91351718717723</v>
      </c>
      <c r="E356" s="252">
        <v>109.27964473765024</v>
      </c>
      <c r="F356" s="252">
        <f t="shared" si="5"/>
        <v>109.27964473765024</v>
      </c>
      <c r="G356" s="397">
        <f>E356</f>
        <v>109.27964473765024</v>
      </c>
    </row>
    <row r="357" spans="3:7" ht="11.25" customHeight="1">
      <c r="C357" s="251">
        <v>44180</v>
      </c>
      <c r="D357" s="252">
        <v>196.95392510117725</v>
      </c>
      <c r="E357" s="252">
        <v>109.27964473765024</v>
      </c>
      <c r="F357" s="252">
        <f t="shared" si="5"/>
        <v>109.27964473765024</v>
      </c>
      <c r="G357" s="396"/>
    </row>
    <row r="358" spans="3:7" ht="11.25" customHeight="1">
      <c r="C358" s="251">
        <v>44181</v>
      </c>
      <c r="D358" s="252">
        <v>188.66367669500451</v>
      </c>
      <c r="E358" s="252">
        <v>109.27964473765024</v>
      </c>
      <c r="F358" s="252">
        <f t="shared" si="5"/>
        <v>109.27964473765024</v>
      </c>
      <c r="G358" s="396"/>
    </row>
    <row r="359" spans="3:7" ht="11.25" customHeight="1">
      <c r="C359" s="251">
        <v>44182</v>
      </c>
      <c r="D359" s="252">
        <v>208.93297607300079</v>
      </c>
      <c r="E359" s="252">
        <v>109.27964473765024</v>
      </c>
      <c r="F359" s="252">
        <f t="shared" si="5"/>
        <v>109.27964473765024</v>
      </c>
      <c r="G359" s="396"/>
    </row>
    <row r="360" spans="3:7" ht="11.25" customHeight="1">
      <c r="C360" s="251">
        <v>44183</v>
      </c>
      <c r="D360" s="252">
        <v>188.50654624900267</v>
      </c>
      <c r="E360" s="252">
        <v>109.27964473765024</v>
      </c>
      <c r="F360" s="252">
        <f t="shared" si="5"/>
        <v>109.27964473765024</v>
      </c>
      <c r="G360" s="396"/>
    </row>
    <row r="361" spans="3:7" ht="11.25" customHeight="1">
      <c r="C361" s="251">
        <v>44184</v>
      </c>
      <c r="D361" s="252">
        <v>170.03133692900079</v>
      </c>
      <c r="E361" s="252">
        <v>109.27964473765024</v>
      </c>
      <c r="F361" s="252">
        <f t="shared" si="5"/>
        <v>109.27964473765024</v>
      </c>
      <c r="G361" s="396"/>
    </row>
    <row r="362" spans="3:7" ht="11.25" customHeight="1">
      <c r="C362" s="251">
        <v>44185</v>
      </c>
      <c r="D362" s="252">
        <v>171.09849403300265</v>
      </c>
      <c r="E362" s="252">
        <v>109.27964473765024</v>
      </c>
      <c r="F362" s="252">
        <f t="shared" si="5"/>
        <v>109.27964473765024</v>
      </c>
      <c r="G362" s="396"/>
    </row>
    <row r="363" spans="3:7" ht="11.25" customHeight="1">
      <c r="C363" s="251">
        <v>44186</v>
      </c>
      <c r="D363" s="252">
        <v>178.93149794500451</v>
      </c>
      <c r="E363" s="252">
        <v>109.27964473765024</v>
      </c>
      <c r="F363" s="252">
        <f t="shared" si="5"/>
        <v>109.27964473765024</v>
      </c>
      <c r="G363" s="396"/>
    </row>
    <row r="364" spans="3:7" ht="11.25" customHeight="1">
      <c r="C364" s="251">
        <v>44187</v>
      </c>
      <c r="D364" s="252">
        <v>166.84446002900262</v>
      </c>
      <c r="E364" s="252">
        <v>109.27964473765024</v>
      </c>
      <c r="F364" s="252">
        <f t="shared" si="5"/>
        <v>109.27964473765024</v>
      </c>
      <c r="G364" s="396"/>
    </row>
    <row r="365" spans="3:7" ht="11.25" customHeight="1">
      <c r="C365" s="251">
        <v>44188</v>
      </c>
      <c r="D365" s="252">
        <v>154.53623531000886</v>
      </c>
      <c r="E365" s="252">
        <v>109.27964473765024</v>
      </c>
      <c r="F365" s="252">
        <f t="shared" si="5"/>
        <v>109.27964473765024</v>
      </c>
      <c r="G365" s="396"/>
    </row>
    <row r="366" spans="3:7" ht="11.25" customHeight="1">
      <c r="C366" s="251">
        <v>44189</v>
      </c>
      <c r="D366" s="252">
        <v>128.95202226600702</v>
      </c>
      <c r="E366" s="252">
        <v>109.27964473765024</v>
      </c>
      <c r="F366" s="252">
        <f t="shared" si="5"/>
        <v>109.27964473765024</v>
      </c>
      <c r="G366" s="396"/>
    </row>
    <row r="367" spans="3:7" ht="11.25" customHeight="1">
      <c r="C367" s="251">
        <v>44190</v>
      </c>
      <c r="D367" s="252">
        <v>104.23266497200888</v>
      </c>
      <c r="E367" s="252">
        <v>109.27964473765024</v>
      </c>
      <c r="F367" s="252">
        <f t="shared" si="5"/>
        <v>104.23266497200888</v>
      </c>
      <c r="G367" s="396"/>
    </row>
    <row r="368" spans="3:7" ht="11.25" customHeight="1">
      <c r="C368" s="251">
        <v>44191</v>
      </c>
      <c r="D368" s="252">
        <v>116.50988096001073</v>
      </c>
      <c r="E368" s="252">
        <v>109.27964473765024</v>
      </c>
      <c r="F368" s="252">
        <f t="shared" si="5"/>
        <v>109.27964473765024</v>
      </c>
      <c r="G368" s="396"/>
    </row>
    <row r="369" spans="2:9" ht="11.25" customHeight="1">
      <c r="C369" s="251">
        <v>44192</v>
      </c>
      <c r="D369" s="252">
        <v>109.13303586600702</v>
      </c>
      <c r="E369" s="252">
        <v>109.27964473765024</v>
      </c>
      <c r="F369" s="252">
        <f t="shared" si="5"/>
        <v>109.13303586600702</v>
      </c>
      <c r="G369" s="396"/>
    </row>
    <row r="370" spans="2:9" ht="11.25" customHeight="1">
      <c r="C370" s="251">
        <v>44193</v>
      </c>
      <c r="D370" s="252">
        <v>115.17970624600888</v>
      </c>
      <c r="E370" s="252">
        <v>109.27964473765024</v>
      </c>
      <c r="F370" s="252">
        <f t="shared" si="5"/>
        <v>109.27964473765024</v>
      </c>
      <c r="G370" s="396"/>
    </row>
    <row r="371" spans="2:9" ht="11.25" customHeight="1">
      <c r="C371" s="251">
        <v>44194</v>
      </c>
      <c r="D371" s="252">
        <v>142.42200432000885</v>
      </c>
      <c r="E371" s="252">
        <v>109.27964473765024</v>
      </c>
      <c r="F371" s="252">
        <f t="shared" si="5"/>
        <v>109.27964473765024</v>
      </c>
      <c r="G371" s="396"/>
    </row>
    <row r="372" spans="2:9" ht="11.25" customHeight="1">
      <c r="C372" s="251">
        <v>44195</v>
      </c>
      <c r="D372" s="252">
        <v>145.39056296089666</v>
      </c>
      <c r="E372" s="252">
        <v>109.27964473765024</v>
      </c>
      <c r="F372" s="252">
        <f t="shared" si="5"/>
        <v>109.27964473765024</v>
      </c>
      <c r="G372" s="396"/>
    </row>
    <row r="373" spans="2:9" ht="11.25" customHeight="1">
      <c r="C373" s="251">
        <v>44196</v>
      </c>
      <c r="D373" s="252">
        <v>137.89125465890041</v>
      </c>
      <c r="E373" s="252">
        <v>109.27964473765024</v>
      </c>
      <c r="F373" s="252">
        <f>IF($D373&gt;E373,E373,$D373)</f>
        <v>109.27964473765024</v>
      </c>
      <c r="G373" s="396"/>
    </row>
    <row r="374" spans="2:9" ht="11.25" customHeight="1">
      <c r="C374" s="207" t="s">
        <v>32</v>
      </c>
      <c r="D374" s="253">
        <f>SUM(D8:D373)</f>
        <v>30512.179243147952</v>
      </c>
      <c r="E374" s="253">
        <f>SUM(E8:E373)</f>
        <v>29741.653091522312</v>
      </c>
      <c r="F374" s="415">
        <f>D374/E374</f>
        <v>1.025907307480675</v>
      </c>
    </row>
    <row r="375" spans="2:9" ht="11.25" customHeight="1"/>
    <row r="376" spans="2:9" ht="11.25" customHeight="1">
      <c r="B376" s="2"/>
      <c r="C376" s="254" t="s">
        <v>390</v>
      </c>
      <c r="D376" s="255"/>
      <c r="E376" s="255"/>
      <c r="F376" s="255"/>
      <c r="G376" s="256"/>
      <c r="H376" s="256"/>
      <c r="I376" s="3"/>
    </row>
    <row r="377" spans="2:9" ht="11.25" customHeight="1">
      <c r="B377" s="2"/>
      <c r="C377" s="257"/>
      <c r="D377" s="247"/>
      <c r="E377" s="247" t="s">
        <v>163</v>
      </c>
      <c r="F377" s="555" t="s">
        <v>164</v>
      </c>
      <c r="G377" s="555"/>
      <c r="H377" s="555"/>
      <c r="I377" s="556" t="s">
        <v>165</v>
      </c>
    </row>
    <row r="378" spans="2:9" ht="11.25" customHeight="1">
      <c r="B378" s="2"/>
      <c r="C378" s="248"/>
      <c r="D378" s="250" t="s">
        <v>166</v>
      </c>
      <c r="E378" s="250" t="s">
        <v>167</v>
      </c>
      <c r="F378" s="250" t="s">
        <v>168</v>
      </c>
      <c r="G378" s="250" t="s">
        <v>169</v>
      </c>
      <c r="H378" s="250" t="s">
        <v>170</v>
      </c>
      <c r="I378" s="557"/>
    </row>
    <row r="379" spans="2:9" ht="11.25" customHeight="1">
      <c r="B379" s="258"/>
      <c r="C379" s="259" t="s">
        <v>171</v>
      </c>
      <c r="D379" s="260">
        <v>11227.656998</v>
      </c>
      <c r="E379" s="260">
        <v>18538.071</v>
      </c>
      <c r="F379" s="260">
        <v>13001.923073300004</v>
      </c>
      <c r="G379" s="260">
        <v>5366.0883737999993</v>
      </c>
      <c r="H379" s="260">
        <v>10017.398068145898</v>
      </c>
      <c r="I379" s="261">
        <f t="shared" ref="I379:I438" si="6">(D379/E379)*100</f>
        <v>60.56540077983302</v>
      </c>
    </row>
    <row r="380" spans="2:9" ht="11.25" customHeight="1">
      <c r="B380" s="258"/>
      <c r="C380" s="259" t="s">
        <v>172</v>
      </c>
      <c r="D380" s="260">
        <v>12066.238818</v>
      </c>
      <c r="E380" s="260">
        <v>18538.071</v>
      </c>
      <c r="F380" s="260">
        <v>13315.635805449998</v>
      </c>
      <c r="G380" s="260">
        <v>5433.6103363999982</v>
      </c>
      <c r="H380" s="260">
        <v>10361.451485587933</v>
      </c>
      <c r="I380" s="261">
        <f t="shared" si="6"/>
        <v>65.088966473372551</v>
      </c>
    </row>
    <row r="381" spans="2:9" ht="11.25" customHeight="1">
      <c r="B381" s="258"/>
      <c r="C381" s="259" t="s">
        <v>173</v>
      </c>
      <c r="D381" s="260">
        <v>12306.055883000001</v>
      </c>
      <c r="E381" s="260">
        <v>18538.071</v>
      </c>
      <c r="F381" s="260">
        <v>13856.730464399996</v>
      </c>
      <c r="G381" s="260">
        <v>5567.7525970500001</v>
      </c>
      <c r="H381" s="260">
        <v>10787.23844307053</v>
      </c>
      <c r="I381" s="261">
        <f t="shared" si="6"/>
        <v>66.382612748651155</v>
      </c>
    </row>
    <row r="382" spans="2:9" ht="11.25" customHeight="1">
      <c r="B382" s="258"/>
      <c r="C382" s="259" t="s">
        <v>174</v>
      </c>
      <c r="D382" s="260">
        <v>13179.567322000001</v>
      </c>
      <c r="E382" s="260">
        <v>18538.071</v>
      </c>
      <c r="F382" s="260">
        <v>14018.94815805</v>
      </c>
      <c r="G382" s="260">
        <v>6896.5553699999991</v>
      </c>
      <c r="H382" s="260">
        <v>11295.168263833441</v>
      </c>
      <c r="I382" s="261">
        <f t="shared" si="6"/>
        <v>71.094599443491191</v>
      </c>
    </row>
    <row r="383" spans="2:9" ht="11.25" customHeight="1">
      <c r="B383" s="258"/>
      <c r="C383" s="259" t="s">
        <v>175</v>
      </c>
      <c r="D383" s="260">
        <v>13577.542675000001</v>
      </c>
      <c r="E383" s="260">
        <v>18538.071</v>
      </c>
      <c r="F383" s="260">
        <v>14159.331713699998</v>
      </c>
      <c r="G383" s="260">
        <v>6811.580915999999</v>
      </c>
      <c r="H383" s="260">
        <v>11509.475757224862</v>
      </c>
      <c r="I383" s="261">
        <f t="shared" si="6"/>
        <v>73.241399685004978</v>
      </c>
    </row>
    <row r="384" spans="2:9" ht="11.25" customHeight="1">
      <c r="B384" s="258"/>
      <c r="C384" s="259" t="s">
        <v>176</v>
      </c>
      <c r="D384" s="260">
        <v>12751.035658000001</v>
      </c>
      <c r="E384" s="260">
        <v>18538.071</v>
      </c>
      <c r="F384" s="260">
        <v>13746.649614300002</v>
      </c>
      <c r="G384" s="260">
        <v>6354.8202665494709</v>
      </c>
      <c r="H384" s="260">
        <v>10990.077492749471</v>
      </c>
      <c r="I384" s="261">
        <f t="shared" si="6"/>
        <v>68.782969155744425</v>
      </c>
    </row>
    <row r="385" spans="2:9" ht="11.25" customHeight="1">
      <c r="B385" s="258"/>
      <c r="C385" s="259" t="s">
        <v>177</v>
      </c>
      <c r="D385" s="260">
        <v>11400.747851</v>
      </c>
      <c r="E385" s="260">
        <v>18538.071</v>
      </c>
      <c r="F385" s="260">
        <v>12254.397128699993</v>
      </c>
      <c r="G385" s="260">
        <v>5493.291874283691</v>
      </c>
      <c r="H385" s="260">
        <v>9894.1857898336893</v>
      </c>
      <c r="I385" s="261">
        <f t="shared" si="6"/>
        <v>61.499105548792002</v>
      </c>
    </row>
    <row r="386" spans="2:9" ht="11.25" customHeight="1">
      <c r="B386" s="258"/>
      <c r="C386" s="259" t="s">
        <v>178</v>
      </c>
      <c r="D386" s="260">
        <v>9726.8527639999993</v>
      </c>
      <c r="E386" s="260">
        <v>18538.071</v>
      </c>
      <c r="F386" s="260">
        <v>10936.8661656</v>
      </c>
      <c r="G386" s="260">
        <v>4803.7868059580323</v>
      </c>
      <c r="H386" s="260">
        <v>8861.6220681080304</v>
      </c>
      <c r="I386" s="261">
        <f t="shared" si="6"/>
        <v>52.469605731901659</v>
      </c>
    </row>
    <row r="387" spans="2:9" ht="11.25" customHeight="1">
      <c r="B387" s="258"/>
      <c r="C387" s="259" t="s">
        <v>179</v>
      </c>
      <c r="D387" s="260">
        <v>8542.9985949999991</v>
      </c>
      <c r="E387" s="260">
        <v>18538.071</v>
      </c>
      <c r="F387" s="260">
        <v>10062.053802299999</v>
      </c>
      <c r="G387" s="260">
        <v>4577.5855157886908</v>
      </c>
      <c r="H387" s="260">
        <v>8141.3619611886943</v>
      </c>
      <c r="I387" s="261">
        <f t="shared" si="6"/>
        <v>46.083535849010396</v>
      </c>
    </row>
    <row r="388" spans="2:9" ht="11.25" customHeight="1">
      <c r="B388" s="258"/>
      <c r="C388" s="259" t="s">
        <v>180</v>
      </c>
      <c r="D388" s="260">
        <v>7639.5428579999998</v>
      </c>
      <c r="E388" s="260">
        <v>18538.071</v>
      </c>
      <c r="F388" s="260">
        <v>9669.2149038000007</v>
      </c>
      <c r="G388" s="260">
        <v>4301.1970530812014</v>
      </c>
      <c r="H388" s="260">
        <v>8029.890741831201</v>
      </c>
      <c r="I388" s="261">
        <f t="shared" si="6"/>
        <v>41.210020492423396</v>
      </c>
    </row>
    <row r="389" spans="2:9" ht="11.25" customHeight="1">
      <c r="B389" s="258"/>
      <c r="C389" s="259" t="s">
        <v>181</v>
      </c>
      <c r="D389" s="260">
        <v>7737.8927560000002</v>
      </c>
      <c r="E389" s="260">
        <v>18538.071</v>
      </c>
      <c r="F389" s="260">
        <v>11022.843214199998</v>
      </c>
      <c r="G389" s="260">
        <v>4697.7883147999992</v>
      </c>
      <c r="H389" s="260">
        <v>8512.8249399986198</v>
      </c>
      <c r="I389" s="261">
        <f t="shared" si="6"/>
        <v>41.740549790752226</v>
      </c>
    </row>
    <row r="390" spans="2:9" ht="11.25" customHeight="1">
      <c r="B390" s="258"/>
      <c r="C390" s="259" t="s">
        <v>182</v>
      </c>
      <c r="D390" s="260">
        <v>7271.9042060000002</v>
      </c>
      <c r="E390" s="260">
        <v>18538.071</v>
      </c>
      <c r="F390" s="260">
        <v>13351.207724999991</v>
      </c>
      <c r="G390" s="260">
        <v>5303.8663332499982</v>
      </c>
      <c r="H390" s="260">
        <v>9210.0257353681754</v>
      </c>
      <c r="I390" s="261">
        <f t="shared" si="6"/>
        <v>39.226865653929153</v>
      </c>
    </row>
    <row r="391" spans="2:9" ht="11.25" customHeight="1">
      <c r="B391" s="258"/>
      <c r="C391" s="259" t="s">
        <v>183</v>
      </c>
      <c r="D391" s="260">
        <v>6352.3982489999999</v>
      </c>
      <c r="E391" s="260">
        <v>18538.071</v>
      </c>
      <c r="F391" s="260">
        <v>13008.613363950004</v>
      </c>
      <c r="G391" s="260">
        <v>5403.4139422499993</v>
      </c>
      <c r="H391" s="260">
        <v>10035.589788045898</v>
      </c>
      <c r="I391" s="261">
        <f t="shared" si="6"/>
        <v>34.266770523211392</v>
      </c>
    </row>
    <row r="392" spans="2:9" ht="11.25" customHeight="1">
      <c r="B392" s="258"/>
      <c r="C392" s="259" t="s">
        <v>184</v>
      </c>
      <c r="D392" s="260">
        <v>8201.5317109999996</v>
      </c>
      <c r="E392" s="260">
        <v>18538.071</v>
      </c>
      <c r="F392" s="260">
        <v>13281.664873649997</v>
      </c>
      <c r="G392" s="260">
        <v>5478.8528454999978</v>
      </c>
      <c r="H392" s="260">
        <v>10426.681519987935</v>
      </c>
      <c r="I392" s="261">
        <f t="shared" si="6"/>
        <v>44.241559496670391</v>
      </c>
    </row>
    <row r="393" spans="2:9" ht="11.25" customHeight="1">
      <c r="B393" s="258"/>
      <c r="C393" s="259" t="s">
        <v>185</v>
      </c>
      <c r="D393" s="260">
        <v>8171.2895820000003</v>
      </c>
      <c r="E393" s="260">
        <v>18538.071</v>
      </c>
      <c r="F393" s="260">
        <v>13801.362023799997</v>
      </c>
      <c r="G393" s="260">
        <v>5631.5576993999994</v>
      </c>
      <c r="H393" s="260">
        <v>10863.831882220529</v>
      </c>
      <c r="I393" s="261">
        <f t="shared" si="6"/>
        <v>44.078424243816954</v>
      </c>
    </row>
    <row r="394" spans="2:9" ht="11.25" customHeight="1">
      <c r="B394" s="258"/>
      <c r="C394" s="259" t="s">
        <v>186</v>
      </c>
      <c r="D394" s="260">
        <v>8002.4783509999997</v>
      </c>
      <c r="E394" s="260">
        <v>18538.071</v>
      </c>
      <c r="F394" s="260">
        <v>13963.73314565</v>
      </c>
      <c r="G394" s="260">
        <v>6949.440314999998</v>
      </c>
      <c r="H394" s="260">
        <v>11392.93876443344</v>
      </c>
      <c r="I394" s="261">
        <f t="shared" si="6"/>
        <v>43.167805059113221</v>
      </c>
    </row>
    <row r="395" spans="2:9" ht="11.25" customHeight="1">
      <c r="B395" s="258"/>
      <c r="C395" s="259" t="s">
        <v>187</v>
      </c>
      <c r="D395" s="260">
        <v>8068.3502509999998</v>
      </c>
      <c r="E395" s="260">
        <v>18538.071</v>
      </c>
      <c r="F395" s="260">
        <v>14131.526504949998</v>
      </c>
      <c r="G395" s="260">
        <v>6888.8467169999985</v>
      </c>
      <c r="H395" s="260">
        <v>11608.769747974862</v>
      </c>
      <c r="I395" s="261">
        <f t="shared" si="6"/>
        <v>43.523138146358377</v>
      </c>
    </row>
    <row r="396" spans="2:9" ht="11.25" customHeight="1">
      <c r="B396" s="258"/>
      <c r="C396" s="259" t="s">
        <v>188</v>
      </c>
      <c r="D396" s="260">
        <v>7504.6737370000001</v>
      </c>
      <c r="E396" s="260">
        <v>18538.071</v>
      </c>
      <c r="F396" s="260">
        <v>13746.674503350001</v>
      </c>
      <c r="G396" s="260">
        <v>6417.2284330989414</v>
      </c>
      <c r="H396" s="260">
        <v>11080.852725649473</v>
      </c>
      <c r="I396" s="261">
        <f t="shared" si="6"/>
        <v>40.482495384767923</v>
      </c>
    </row>
    <row r="397" spans="2:9" ht="11.25" customHeight="1">
      <c r="B397" s="258"/>
      <c r="C397" s="259" t="s">
        <v>189</v>
      </c>
      <c r="D397" s="260">
        <v>6868.7604899999997</v>
      </c>
      <c r="E397" s="260">
        <v>18538.071</v>
      </c>
      <c r="F397" s="260">
        <v>12256.393885149993</v>
      </c>
      <c r="G397" s="260">
        <v>5554.6724485673794</v>
      </c>
      <c r="H397" s="260">
        <v>9976.6060623836893</v>
      </c>
      <c r="I397" s="261">
        <f t="shared" si="6"/>
        <v>37.05218568857569</v>
      </c>
    </row>
    <row r="398" spans="2:9" ht="11.25" customHeight="1">
      <c r="B398" s="258"/>
      <c r="C398" s="259" t="s">
        <v>190</v>
      </c>
      <c r="D398" s="260">
        <v>6036.3040380000002</v>
      </c>
      <c r="E398" s="260">
        <v>18538.071</v>
      </c>
      <c r="F398" s="260">
        <v>10936.14513655</v>
      </c>
      <c r="G398" s="260">
        <v>4856.8921119160632</v>
      </c>
      <c r="H398" s="260">
        <v>8897.0981413080317</v>
      </c>
      <c r="I398" s="261">
        <f t="shared" si="6"/>
        <v>32.561662095263308</v>
      </c>
    </row>
    <row r="399" spans="2:9" ht="11.25" customHeight="1">
      <c r="B399" s="258"/>
      <c r="C399" s="259" t="s">
        <v>191</v>
      </c>
      <c r="D399" s="260">
        <v>5135.5098319999997</v>
      </c>
      <c r="E399" s="260">
        <v>18538.071</v>
      </c>
      <c r="F399" s="260">
        <v>10089.784508599998</v>
      </c>
      <c r="G399" s="260">
        <v>4619.6147315773833</v>
      </c>
      <c r="H399" s="260">
        <v>8164.2557859386925</v>
      </c>
      <c r="I399" s="261">
        <f t="shared" si="6"/>
        <v>27.702503847352833</v>
      </c>
    </row>
    <row r="400" spans="2:9" ht="11.25" customHeight="1">
      <c r="B400" s="258"/>
      <c r="C400" s="259" t="s">
        <v>192</v>
      </c>
      <c r="D400" s="260">
        <v>4708.038114</v>
      </c>
      <c r="E400" s="260">
        <v>18538.071</v>
      </c>
      <c r="F400" s="260">
        <v>9703.2406173500003</v>
      </c>
      <c r="G400" s="260">
        <v>4371.5985061624033</v>
      </c>
      <c r="H400" s="260">
        <v>8040.776914731201</v>
      </c>
      <c r="I400" s="261">
        <f t="shared" si="6"/>
        <v>25.396591231094106</v>
      </c>
    </row>
    <row r="401" spans="2:9" ht="11.25" customHeight="1">
      <c r="B401" s="258"/>
      <c r="C401" s="259" t="s">
        <v>193</v>
      </c>
      <c r="D401" s="260">
        <v>4403.8701209999999</v>
      </c>
      <c r="E401" s="260">
        <v>18538.071</v>
      </c>
      <c r="F401" s="260">
        <v>11121.649687099996</v>
      </c>
      <c r="G401" s="260">
        <v>4788.3119296000004</v>
      </c>
      <c r="H401" s="260">
        <v>8517.8723477986205</v>
      </c>
      <c r="I401" s="261">
        <f t="shared" si="6"/>
        <v>23.755816454689381</v>
      </c>
    </row>
    <row r="402" spans="2:9" ht="11.25" customHeight="1">
      <c r="B402" s="258"/>
      <c r="C402" s="259" t="s">
        <v>194</v>
      </c>
      <c r="D402" s="260">
        <v>4883.4119860000001</v>
      </c>
      <c r="E402" s="260">
        <v>18538.071</v>
      </c>
      <c r="F402" s="260">
        <v>13517.033399999991</v>
      </c>
      <c r="G402" s="260">
        <v>5336.3411438999974</v>
      </c>
      <c r="H402" s="260">
        <v>9077.0402756681742</v>
      </c>
      <c r="I402" s="261">
        <f t="shared" si="6"/>
        <v>26.342611299740948</v>
      </c>
    </row>
    <row r="403" spans="2:9" ht="11.25" customHeight="1">
      <c r="B403" s="258"/>
      <c r="C403" s="259" t="s">
        <v>195</v>
      </c>
      <c r="D403" s="260">
        <v>5398.2220399999997</v>
      </c>
      <c r="E403" s="260">
        <v>18538.071</v>
      </c>
      <c r="F403" s="260">
        <v>13015.303654600004</v>
      </c>
      <c r="G403" s="260">
        <v>5440.7395106999993</v>
      </c>
      <c r="H403" s="260">
        <v>9768.7862404958978</v>
      </c>
      <c r="I403" s="261">
        <f t="shared" si="6"/>
        <v>29.11965349577094</v>
      </c>
    </row>
    <row r="404" spans="2:9" ht="11.25" customHeight="1">
      <c r="B404" s="258"/>
      <c r="C404" s="259" t="s">
        <v>196</v>
      </c>
      <c r="D404" s="260">
        <v>5616.4103269999996</v>
      </c>
      <c r="E404" s="260">
        <v>18538.071</v>
      </c>
      <c r="F404" s="260">
        <v>13247.693941849997</v>
      </c>
      <c r="G404" s="260">
        <v>5524.0953545999973</v>
      </c>
      <c r="H404" s="260">
        <v>10246.239431537933</v>
      </c>
      <c r="I404" s="261">
        <f t="shared" si="6"/>
        <v>30.296627556340678</v>
      </c>
    </row>
    <row r="405" spans="2:9" ht="11.25" customHeight="1">
      <c r="B405" s="258"/>
      <c r="C405" s="259" t="s">
        <v>197</v>
      </c>
      <c r="D405" s="260">
        <v>9699.4711430000007</v>
      </c>
      <c r="E405" s="260">
        <v>18538.071</v>
      </c>
      <c r="F405" s="260">
        <v>13745.993583199999</v>
      </c>
      <c r="G405" s="260">
        <v>5695.3628017499996</v>
      </c>
      <c r="H405" s="260">
        <v>10704.10729132053</v>
      </c>
      <c r="I405" s="261">
        <f t="shared" si="6"/>
        <v>52.321900930253207</v>
      </c>
    </row>
    <row r="406" spans="2:9" ht="11.25" customHeight="1">
      <c r="B406" s="258"/>
      <c r="C406" s="259" t="s">
        <v>198</v>
      </c>
      <c r="D406" s="260">
        <v>11897.527653000001</v>
      </c>
      <c r="E406" s="260">
        <v>18538.071</v>
      </c>
      <c r="F406" s="260">
        <v>13908.518133250001</v>
      </c>
      <c r="G406" s="260">
        <v>7002.3252599999996</v>
      </c>
      <c r="H406" s="260">
        <v>11260.627811983439</v>
      </c>
      <c r="I406" s="261">
        <f t="shared" si="6"/>
        <v>64.178887075143905</v>
      </c>
    </row>
    <row r="407" spans="2:9" ht="11.25" customHeight="1">
      <c r="B407" s="258"/>
      <c r="C407" s="259" t="s">
        <v>199</v>
      </c>
      <c r="D407" s="260">
        <v>12095.723247</v>
      </c>
      <c r="E407" s="260">
        <v>18538.071</v>
      </c>
      <c r="F407" s="260">
        <v>14103.721296199999</v>
      </c>
      <c r="G407" s="260">
        <v>6966.112517999999</v>
      </c>
      <c r="H407" s="260">
        <v>11479.752390524864</v>
      </c>
      <c r="I407" s="261">
        <f t="shared" si="6"/>
        <v>65.248014461698844</v>
      </c>
    </row>
    <row r="408" spans="2:9" ht="11.25" customHeight="1">
      <c r="B408" s="258"/>
      <c r="C408" s="259" t="s">
        <v>200</v>
      </c>
      <c r="D408" s="260">
        <v>11876.304858</v>
      </c>
      <c r="E408" s="260">
        <v>18538.071</v>
      </c>
      <c r="F408" s="260">
        <v>13746.699392400003</v>
      </c>
      <c r="G408" s="260">
        <v>6477.8415149489419</v>
      </c>
      <c r="H408" s="260">
        <v>10910.385488499473</v>
      </c>
      <c r="I408" s="261">
        <f t="shared" si="6"/>
        <v>64.064404856362884</v>
      </c>
    </row>
    <row r="409" spans="2:9" ht="11.25" customHeight="1">
      <c r="B409" s="258"/>
      <c r="C409" s="259" t="s">
        <v>201</v>
      </c>
      <c r="D409" s="260">
        <v>10246.502908</v>
      </c>
      <c r="E409" s="260">
        <v>18538.071</v>
      </c>
      <c r="F409" s="260">
        <v>12258.390641599992</v>
      </c>
      <c r="G409" s="260">
        <v>5616.0530228510679</v>
      </c>
      <c r="H409" s="260">
        <v>9805.5363168836884</v>
      </c>
      <c r="I409" s="261">
        <f t="shared" si="6"/>
        <v>55.272756847246953</v>
      </c>
    </row>
    <row r="410" spans="2:9" ht="11.25" customHeight="1">
      <c r="B410" s="258"/>
      <c r="C410" s="259" t="s">
        <v>202</v>
      </c>
      <c r="D410" s="260">
        <v>9315.071518714738</v>
      </c>
      <c r="E410" s="260">
        <v>18538.071</v>
      </c>
      <c r="F410" s="260">
        <v>10935.424107500001</v>
      </c>
      <c r="G410" s="260">
        <v>4909.997417874094</v>
      </c>
      <c r="H410" s="260">
        <v>8722.05248320803</v>
      </c>
      <c r="I410" s="261">
        <f t="shared" si="6"/>
        <v>50.24833230337039</v>
      </c>
    </row>
    <row r="411" spans="2:9" ht="11.25" customHeight="1">
      <c r="B411" s="258"/>
      <c r="C411" s="259" t="s">
        <v>203</v>
      </c>
      <c r="D411" s="260">
        <v>8192.9385726801847</v>
      </c>
      <c r="E411" s="260">
        <v>18538.071</v>
      </c>
      <c r="F411" s="260">
        <v>10117.515214899999</v>
      </c>
      <c r="G411" s="260">
        <v>4649.6124081773833</v>
      </c>
      <c r="H411" s="260">
        <v>7980.0246175386947</v>
      </c>
      <c r="I411" s="261">
        <f t="shared" si="6"/>
        <v>44.195205491877687</v>
      </c>
    </row>
    <row r="412" spans="2:9" ht="11.25" customHeight="1">
      <c r="B412" s="258"/>
      <c r="C412" s="259" t="s">
        <v>204</v>
      </c>
      <c r="D412" s="260">
        <v>7628.6385403221575</v>
      </c>
      <c r="E412" s="260">
        <v>18538.071</v>
      </c>
      <c r="F412" s="260">
        <v>9737.2663309</v>
      </c>
      <c r="G412" s="260">
        <v>4395.4606318624037</v>
      </c>
      <c r="H412" s="260">
        <v>7851.3065504312008</v>
      </c>
      <c r="I412" s="261">
        <f t="shared" si="6"/>
        <v>41.151199282396519</v>
      </c>
    </row>
    <row r="413" spans="2:9" ht="11.25" customHeight="1">
      <c r="B413" s="258"/>
      <c r="C413" s="259" t="s">
        <v>205</v>
      </c>
      <c r="D413" s="260">
        <v>8008.9796223264248</v>
      </c>
      <c r="E413" s="260">
        <v>18538.071</v>
      </c>
      <c r="F413" s="260">
        <v>11146.955049999997</v>
      </c>
      <c r="G413" s="260">
        <v>4794.2765906499999</v>
      </c>
      <c r="H413" s="260">
        <v>8185.911173848619</v>
      </c>
      <c r="I413" s="261">
        <f t="shared" si="6"/>
        <v>43.202874896349378</v>
      </c>
    </row>
    <row r="414" spans="2:9" ht="11.25" customHeight="1">
      <c r="B414" s="258"/>
      <c r="C414" s="262" t="s">
        <v>206</v>
      </c>
      <c r="D414" s="260">
        <v>8172.2198288975096</v>
      </c>
      <c r="E414" s="260">
        <v>18538.071</v>
      </c>
      <c r="F414" s="260">
        <v>13456.058434449991</v>
      </c>
      <c r="G414" s="260">
        <v>5331.3250531999984</v>
      </c>
      <c r="H414" s="260">
        <v>8645.3592049681756</v>
      </c>
      <c r="I414" s="261">
        <f t="shared" si="6"/>
        <v>44.083442278851507</v>
      </c>
    </row>
    <row r="415" spans="2:9" ht="11.25" customHeight="1">
      <c r="B415" s="258"/>
      <c r="C415" s="259" t="s">
        <v>315</v>
      </c>
      <c r="D415" s="260">
        <v>8071.161100088786</v>
      </c>
      <c r="E415" s="260">
        <v>18538.071</v>
      </c>
      <c r="F415" s="260">
        <v>13020.290870750003</v>
      </c>
      <c r="G415" s="260">
        <v>5449.8113076999989</v>
      </c>
      <c r="H415" s="260">
        <v>9388.9296029958969</v>
      </c>
      <c r="I415" s="261">
        <f t="shared" si="6"/>
        <v>43.538300722274641</v>
      </c>
    </row>
    <row r="416" spans="2:9" ht="11.25" customHeight="1">
      <c r="B416" s="258"/>
      <c r="C416" s="259" t="s">
        <v>316</v>
      </c>
      <c r="D416" s="260">
        <v>8866.4553178437</v>
      </c>
      <c r="E416" s="260">
        <v>18538.071</v>
      </c>
      <c r="F416" s="260">
        <v>13213.723010049996</v>
      </c>
      <c r="G416" s="260">
        <v>5542.2838559499978</v>
      </c>
      <c r="H416" s="260">
        <v>9889.1240943879329</v>
      </c>
      <c r="I416" s="261">
        <f t="shared" si="6"/>
        <v>47.828359907801087</v>
      </c>
    </row>
    <row r="417" spans="2:11" ht="11.25" customHeight="1">
      <c r="B417" s="258"/>
      <c r="C417" s="259" t="s">
        <v>317</v>
      </c>
      <c r="D417" s="260">
        <v>8992.1477604144093</v>
      </c>
      <c r="E417" s="260">
        <v>18538.071</v>
      </c>
      <c r="F417" s="260">
        <v>13690.625142599998</v>
      </c>
      <c r="G417" s="260">
        <v>5759.1679040999989</v>
      </c>
      <c r="H417" s="260">
        <v>10570.14772097053</v>
      </c>
      <c r="I417" s="261">
        <f t="shared" si="6"/>
        <v>48.506383217619621</v>
      </c>
    </row>
    <row r="418" spans="2:11" ht="11.25" customHeight="1">
      <c r="B418" s="258"/>
      <c r="C418" s="259" t="s">
        <v>318</v>
      </c>
      <c r="D418" s="260">
        <v>9541.0680132165635</v>
      </c>
      <c r="E418" s="260">
        <v>18538.071</v>
      </c>
      <c r="F418" s="260">
        <v>13853.30312085</v>
      </c>
      <c r="G418" s="260">
        <v>7055.2102049999985</v>
      </c>
      <c r="H418" s="260">
        <v>11183.148309133439</v>
      </c>
      <c r="I418" s="261">
        <f t="shared" si="6"/>
        <v>51.467426212881392</v>
      </c>
    </row>
    <row r="419" spans="2:11" ht="11.25" customHeight="1">
      <c r="B419" s="258"/>
      <c r="C419" s="259" t="s">
        <v>319</v>
      </c>
      <c r="D419" s="260">
        <v>9882.00640542582</v>
      </c>
      <c r="E419" s="260">
        <v>18538.071</v>
      </c>
      <c r="F419" s="260">
        <v>14075.916087449999</v>
      </c>
      <c r="G419" s="260">
        <v>7043.3783189999976</v>
      </c>
      <c r="H419" s="260">
        <v>11397.034267874862</v>
      </c>
      <c r="I419" s="261">
        <f t="shared" si="6"/>
        <v>53.306551719571146</v>
      </c>
    </row>
    <row r="420" spans="2:11" ht="11.25" customHeight="1">
      <c r="B420" s="258"/>
      <c r="C420" s="259" t="s">
        <v>320</v>
      </c>
      <c r="D420" s="260">
        <v>9327.57464738616</v>
      </c>
      <c r="E420" s="260">
        <v>18538.071</v>
      </c>
      <c r="F420" s="260">
        <v>13746.724281450002</v>
      </c>
      <c r="G420" s="260">
        <v>6538.4545967989416</v>
      </c>
      <c r="H420" s="260">
        <v>10842.690741399472</v>
      </c>
      <c r="I420" s="261">
        <f t="shared" si="6"/>
        <v>50.315777986750398</v>
      </c>
    </row>
    <row r="421" spans="2:11" ht="11.25" customHeight="1">
      <c r="B421" s="258"/>
      <c r="C421" s="259" t="s">
        <v>321</v>
      </c>
      <c r="D421" s="260">
        <v>8160.8349135743301</v>
      </c>
      <c r="E421" s="260">
        <v>18538.071</v>
      </c>
      <c r="F421" s="260">
        <v>12260.387398049996</v>
      </c>
      <c r="G421" s="260">
        <v>5677.4335971347564</v>
      </c>
      <c r="H421" s="260">
        <v>9738.8161322836859</v>
      </c>
      <c r="I421" s="261">
        <f t="shared" si="6"/>
        <v>44.022028578778936</v>
      </c>
    </row>
    <row r="422" spans="2:11" ht="11.25" customHeight="1">
      <c r="B422" s="258"/>
      <c r="C422" s="259" t="s">
        <v>322</v>
      </c>
      <c r="D422" s="260">
        <v>7263.6708853984701</v>
      </c>
      <c r="E422" s="260">
        <v>18538.071</v>
      </c>
      <c r="F422" s="260">
        <v>10934.703078450004</v>
      </c>
      <c r="G422" s="260">
        <v>4963.102723832124</v>
      </c>
      <c r="H422" s="260">
        <v>8674.1946441437685</v>
      </c>
      <c r="I422" s="261">
        <f t="shared" si="6"/>
        <v>39.182452615476933</v>
      </c>
    </row>
    <row r="423" spans="2:11" ht="11.25" customHeight="1">
      <c r="B423" s="258"/>
      <c r="C423" s="259" t="s">
        <v>323</v>
      </c>
      <c r="D423" s="260">
        <v>6466.33274064748</v>
      </c>
      <c r="E423" s="260">
        <v>18538.071</v>
      </c>
      <c r="F423" s="260">
        <v>10145.245921199999</v>
      </c>
      <c r="G423" s="260">
        <v>4679.6100847773832</v>
      </c>
      <c r="H423" s="260">
        <v>7914.693031672703</v>
      </c>
      <c r="I423" s="261">
        <f t="shared" si="6"/>
        <v>34.881367865337658</v>
      </c>
    </row>
    <row r="424" spans="2:11" ht="11.25" customHeight="1">
      <c r="B424" s="258"/>
      <c r="C424" s="259" t="s">
        <v>324</v>
      </c>
      <c r="D424" s="260">
        <v>6358.0428308198098</v>
      </c>
      <c r="E424" s="260">
        <v>18538.071</v>
      </c>
      <c r="F424" s="260">
        <v>9771.2920444499996</v>
      </c>
      <c r="G424" s="260">
        <v>4419.3227575624023</v>
      </c>
      <c r="H424" s="260">
        <v>7790.0287429473083</v>
      </c>
      <c r="I424" s="261">
        <f t="shared" si="6"/>
        <v>34.29721911637845</v>
      </c>
    </row>
    <row r="425" spans="2:11" ht="11.25" customHeight="1">
      <c r="B425" s="258"/>
      <c r="C425" s="259" t="s">
        <v>325</v>
      </c>
      <c r="D425" s="260">
        <v>7808.1870513850999</v>
      </c>
      <c r="E425" s="260">
        <v>18538.071</v>
      </c>
      <c r="F425" s="260">
        <v>11172.260412899997</v>
      </c>
      <c r="G425" s="260">
        <v>4800.2412517000002</v>
      </c>
      <c r="H425" s="260">
        <v>8146.8772984649422</v>
      </c>
      <c r="I425" s="261">
        <f t="shared" si="6"/>
        <v>42.119738625367766</v>
      </c>
    </row>
    <row r="426" spans="2:11" ht="11.25" customHeight="1">
      <c r="B426" s="258"/>
      <c r="C426" s="262" t="s">
        <v>314</v>
      </c>
      <c r="D426" s="260">
        <v>9451.9329261671392</v>
      </c>
      <c r="E426" s="260">
        <v>18538.071</v>
      </c>
      <c r="F426" s="260">
        <v>13395.083468899993</v>
      </c>
      <c r="G426" s="260">
        <v>5326.3089624999975</v>
      </c>
      <c r="H426" s="260">
        <v>8613.6806204130498</v>
      </c>
      <c r="I426" s="263">
        <f t="shared" si="6"/>
        <v>50.986604410821059</v>
      </c>
    </row>
    <row r="427" spans="2:11" ht="11.25" customHeight="1">
      <c r="B427" s="258"/>
      <c r="C427" s="259" t="s">
        <v>391</v>
      </c>
      <c r="D427" s="260">
        <v>10203.8438416341</v>
      </c>
      <c r="E427" s="260">
        <v>18538.071</v>
      </c>
      <c r="F427" s="260">
        <v>13025.278086900002</v>
      </c>
      <c r="G427" s="260">
        <v>5458.8831046999985</v>
      </c>
      <c r="H427" s="260">
        <v>9322.7080025003343</v>
      </c>
      <c r="I427" s="261">
        <f>(D427/E427)*100</f>
        <v>55.042640853161586</v>
      </c>
      <c r="K427" s="284"/>
    </row>
    <row r="428" spans="2:11" ht="11.25" customHeight="1">
      <c r="B428" s="258"/>
      <c r="C428" s="259" t="s">
        <v>392</v>
      </c>
      <c r="D428" s="260">
        <v>10293.721620606701</v>
      </c>
      <c r="E428" s="260">
        <v>18538.071</v>
      </c>
      <c r="F428" s="260">
        <v>13282.205454749997</v>
      </c>
      <c r="G428" s="260">
        <v>5560.4723572999983</v>
      </c>
      <c r="H428" s="260">
        <v>9851.4627672801198</v>
      </c>
      <c r="I428" s="261">
        <f t="shared" si="6"/>
        <v>55.52746896161257</v>
      </c>
    </row>
    <row r="429" spans="2:11" ht="11.25" customHeight="1">
      <c r="B429" s="258"/>
      <c r="C429" s="259" t="s">
        <v>393</v>
      </c>
      <c r="D429" s="260">
        <v>10922.4629058602</v>
      </c>
      <c r="E429" s="260">
        <v>18538.071</v>
      </c>
      <c r="F429" s="260">
        <v>13779.121679499998</v>
      </c>
      <c r="G429" s="260">
        <v>5822.9730064499981</v>
      </c>
      <c r="H429" s="260">
        <v>10516.451776491249</v>
      </c>
      <c r="I429" s="261">
        <f t="shared" si="6"/>
        <v>58.919090912210883</v>
      </c>
    </row>
    <row r="430" spans="2:11" ht="11.25" customHeight="1">
      <c r="B430" s="258"/>
      <c r="C430" s="259" t="s">
        <v>394</v>
      </c>
      <c r="D430" s="260">
        <v>12482.965359777099</v>
      </c>
      <c r="E430" s="260">
        <v>18538.071</v>
      </c>
      <c r="F430" s="260">
        <v>13901.975652950001</v>
      </c>
      <c r="G430" s="260">
        <v>7108.0951499999992</v>
      </c>
      <c r="H430" s="260">
        <v>11159.497806794267</v>
      </c>
      <c r="I430" s="261">
        <f t="shared" si="6"/>
        <v>67.336916337072509</v>
      </c>
    </row>
    <row r="431" spans="2:11" ht="11.25" customHeight="1">
      <c r="B431" s="258"/>
      <c r="C431" s="259" t="s">
        <v>395</v>
      </c>
      <c r="D431" s="260">
        <v>12968.344471210001</v>
      </c>
      <c r="E431" s="260">
        <v>18538.071</v>
      </c>
      <c r="F431" s="260">
        <v>14115.337503700002</v>
      </c>
      <c r="G431" s="260">
        <v>7120.6441199999972</v>
      </c>
      <c r="H431" s="260">
        <v>11373.399940146151</v>
      </c>
      <c r="I431" s="261">
        <f t="shared" si="6"/>
        <v>69.955199066882429</v>
      </c>
    </row>
    <row r="432" spans="2:11" ht="11.25" customHeight="1">
      <c r="B432" s="258"/>
      <c r="C432" s="259" t="s">
        <v>396</v>
      </c>
      <c r="D432" s="260">
        <v>12284.2351167291</v>
      </c>
      <c r="E432" s="260">
        <v>18538.071</v>
      </c>
      <c r="F432" s="260">
        <v>13804.115890500001</v>
      </c>
      <c r="G432" s="260">
        <v>6599.0676786489421</v>
      </c>
      <c r="H432" s="260">
        <v>10842.247789768779</v>
      </c>
      <c r="I432" s="261">
        <f t="shared" si="6"/>
        <v>66.26490489074672</v>
      </c>
    </row>
    <row r="433" spans="2:9" ht="11.25" customHeight="1">
      <c r="B433" s="258"/>
      <c r="C433" s="259" t="s">
        <v>397</v>
      </c>
      <c r="D433" s="260">
        <v>11078.2673362971</v>
      </c>
      <c r="E433" s="260">
        <v>18538.071</v>
      </c>
      <c r="F433" s="260">
        <v>12335.885264499995</v>
      </c>
      <c r="G433" s="260">
        <v>5738.8141714184449</v>
      </c>
      <c r="H433" s="260">
        <v>9747.2628189624047</v>
      </c>
      <c r="I433" s="261">
        <f t="shared" si="6"/>
        <v>59.75954745397781</v>
      </c>
    </row>
    <row r="434" spans="2:9" ht="11.25" customHeight="1">
      <c r="B434" s="258"/>
      <c r="C434" s="259" t="s">
        <v>398</v>
      </c>
      <c r="D434" s="260">
        <v>9493.5710276489899</v>
      </c>
      <c r="E434" s="260">
        <v>18538.071</v>
      </c>
      <c r="F434" s="260">
        <v>11008.379514400005</v>
      </c>
      <c r="G434" s="260">
        <v>5016.2080297901548</v>
      </c>
      <c r="H434" s="260">
        <v>8682.152701913692</v>
      </c>
      <c r="I434" s="261">
        <f t="shared" si="6"/>
        <v>51.211213009427951</v>
      </c>
    </row>
    <row r="435" spans="2:9" ht="11.25" customHeight="1">
      <c r="B435" s="258"/>
      <c r="C435" s="259" t="s">
        <v>399</v>
      </c>
      <c r="D435" s="260">
        <v>8414.2036093792703</v>
      </c>
      <c r="E435" s="260">
        <v>18538.071</v>
      </c>
      <c r="F435" s="260">
        <v>10216.987657999998</v>
      </c>
      <c r="G435" s="260">
        <v>4709.6077613773832</v>
      </c>
      <c r="H435" s="260">
        <v>7899.635656205076</v>
      </c>
      <c r="I435" s="261">
        <f t="shared" si="6"/>
        <v>45.388776477225008</v>
      </c>
    </row>
    <row r="436" spans="2:9" ht="11.25" customHeight="1">
      <c r="B436" s="258"/>
      <c r="C436" s="259" t="s">
        <v>400</v>
      </c>
      <c r="D436" s="260">
        <v>8468.7189392685304</v>
      </c>
      <c r="E436" s="260">
        <v>18538.071</v>
      </c>
      <c r="F436" s="260">
        <v>9860.0850484999992</v>
      </c>
      <c r="G436" s="260">
        <v>4443.1848832624037</v>
      </c>
      <c r="H436" s="260">
        <v>7706.6327509883004</v>
      </c>
      <c r="I436" s="261">
        <f t="shared" si="6"/>
        <v>45.6828487671049</v>
      </c>
    </row>
    <row r="437" spans="2:9" ht="11.25" customHeight="1">
      <c r="B437" s="258"/>
      <c r="C437" s="259" t="s">
        <v>401</v>
      </c>
      <c r="D437" s="260">
        <v>8407.9337983359892</v>
      </c>
      <c r="E437" s="260">
        <v>18538.071</v>
      </c>
      <c r="F437" s="260">
        <v>11197.565775799998</v>
      </c>
      <c r="G437" s="260">
        <v>4806.2059127499997</v>
      </c>
      <c r="H437" s="260">
        <v>8149.1649360341953</v>
      </c>
      <c r="I437" s="261">
        <f t="shared" si="6"/>
        <v>45.354955207238064</v>
      </c>
    </row>
    <row r="438" spans="2:9" ht="11.25" customHeight="1">
      <c r="B438" s="258"/>
      <c r="C438" s="264" t="s">
        <v>402</v>
      </c>
      <c r="D438" s="265">
        <v>9418.9304168690905</v>
      </c>
      <c r="E438" s="265">
        <v>18538.071</v>
      </c>
      <c r="F438" s="265">
        <v>13334.108503349993</v>
      </c>
      <c r="G438" s="265">
        <v>5321.2928717999985</v>
      </c>
      <c r="H438" s="265">
        <v>8688.9230952214075</v>
      </c>
      <c r="I438" s="266">
        <f t="shared" si="6"/>
        <v>50.808578826076833</v>
      </c>
    </row>
    <row r="439" spans="2:9" ht="11.25" customHeight="1">
      <c r="B439" s="2"/>
      <c r="C439" s="267"/>
      <c r="D439" s="449"/>
      <c r="E439" s="268"/>
      <c r="F439" s="268"/>
      <c r="G439" s="268"/>
      <c r="H439" s="268"/>
      <c r="I439" s="269"/>
    </row>
  </sheetData>
  <mergeCells count="2">
    <mergeCell ref="F377:H377"/>
    <mergeCell ref="I377:I378"/>
  </mergeCells>
  <pageMargins left="0.7" right="0.7" top="0.75" bottom="0.75" header="0.3" footer="0.3"/>
  <pageSetup paperSize="9" orientation="portrait" r:id="rId1"/>
  <ignoredErrors>
    <ignoredError sqref="I428:I438" evalError="1"/>
    <ignoredError sqref="D374" formulaRang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461"/>
  <sheetViews>
    <sheetView showGridLines="0" showRowColHeaders="0" topLeftCell="B1" zoomScaleNormal="100" workbookViewId="0">
      <selection activeCell="F373" sqref="F373"/>
    </sheetView>
  </sheetViews>
  <sheetFormatPr baseColWidth="10" defaultRowHeight="12.75"/>
  <cols>
    <col min="1" max="1" width="0" hidden="1" customWidth="1"/>
    <col min="2" max="2" width="2.7109375" style="13" customWidth="1"/>
    <col min="3" max="3" width="31.7109375" customWidth="1"/>
  </cols>
  <sheetData>
    <row r="1" spans="2:12" s="13" customFormat="1" ht="21.75" customHeight="1">
      <c r="I1" s="15" t="s">
        <v>86</v>
      </c>
    </row>
    <row r="2" spans="2:12" s="13" customFormat="1" ht="15" customHeight="1">
      <c r="I2" s="362" t="s">
        <v>348</v>
      </c>
    </row>
    <row r="3" spans="2:12" s="13" customFormat="1" ht="19.899999999999999" customHeight="1"/>
    <row r="4" spans="2:12" s="17" customFormat="1" ht="12" customHeight="1">
      <c r="B4" s="21"/>
      <c r="C4" s="13"/>
    </row>
    <row r="5" spans="2:12" ht="11.25" customHeight="1">
      <c r="C5" s="224" t="s">
        <v>249</v>
      </c>
      <c r="D5" s="321"/>
      <c r="E5" s="320"/>
      <c r="F5" s="320"/>
      <c r="G5" s="321"/>
      <c r="H5" s="320"/>
      <c r="I5" s="320"/>
    </row>
    <row r="6" spans="2:12" ht="11.25" customHeight="1">
      <c r="C6" s="225"/>
      <c r="D6" s="222">
        <v>2016</v>
      </c>
      <c r="E6" s="222">
        <v>2017</v>
      </c>
      <c r="F6" s="222">
        <v>2018</v>
      </c>
      <c r="G6" s="222">
        <v>2019</v>
      </c>
      <c r="H6" s="222">
        <v>2020</v>
      </c>
      <c r="I6" s="412" t="s">
        <v>376</v>
      </c>
    </row>
    <row r="7" spans="2:12" ht="11.25" customHeight="1">
      <c r="C7" s="227" t="s">
        <v>28</v>
      </c>
      <c r="D7" s="223">
        <v>2302.8679710000001</v>
      </c>
      <c r="E7" s="223">
        <v>2597.531837</v>
      </c>
      <c r="F7" s="223">
        <v>2395.770931</v>
      </c>
      <c r="G7" s="223">
        <v>1999.939695</v>
      </c>
      <c r="H7" s="223">
        <v>221.661767</v>
      </c>
      <c r="I7" s="323">
        <f t="shared" ref="I7:I21" si="0">((H7/G7)-1)*100</f>
        <v>-88.916577457101781</v>
      </c>
      <c r="K7" s="509"/>
      <c r="L7" s="510"/>
    </row>
    <row r="8" spans="2:12" ht="11.25" customHeight="1">
      <c r="C8" s="324" t="s">
        <v>250</v>
      </c>
      <c r="D8" s="459">
        <v>961.26081999999906</v>
      </c>
      <c r="E8" s="459">
        <v>795.98756000000003</v>
      </c>
      <c r="F8" s="459">
        <v>634.8807240000001</v>
      </c>
      <c r="G8" s="459">
        <v>463.23745500000001</v>
      </c>
      <c r="H8" s="459">
        <v>282.30966100000001</v>
      </c>
      <c r="I8" s="326">
        <f t="shared" si="0"/>
        <v>-39.057246353276852</v>
      </c>
    </row>
    <row r="9" spans="2:12" ht="11.25" customHeight="1">
      <c r="C9" s="324" t="s">
        <v>49</v>
      </c>
      <c r="D9" s="459">
        <v>339.75826499999999</v>
      </c>
      <c r="E9" s="459">
        <v>556.52457400000003</v>
      </c>
      <c r="F9" s="459">
        <v>764.99901499999999</v>
      </c>
      <c r="G9" s="459">
        <v>441.49074099999996</v>
      </c>
      <c r="H9" s="459">
        <v>210.54753500000001</v>
      </c>
      <c r="I9" s="326">
        <f t="shared" si="0"/>
        <v>-52.309863957033699</v>
      </c>
    </row>
    <row r="10" spans="2:12" ht="11.25" customHeight="1">
      <c r="C10" s="227" t="s">
        <v>45</v>
      </c>
      <c r="D10" s="322">
        <f t="shared" ref="D10" si="1">SUM(D8:D9)</f>
        <v>1301.019084999999</v>
      </c>
      <c r="E10" s="322">
        <f>SUM(E8:E9)</f>
        <v>1352.5121340000001</v>
      </c>
      <c r="F10" s="322">
        <f>SUM(F8:F9)</f>
        <v>1399.879739</v>
      </c>
      <c r="G10" s="322">
        <f>SUM(G8:G9)</f>
        <v>904.72819600000003</v>
      </c>
      <c r="H10" s="322">
        <f>SUM(H8:H9)</f>
        <v>492.85719600000004</v>
      </c>
      <c r="I10" s="323">
        <f t="shared" si="0"/>
        <v>-45.52428031103387</v>
      </c>
      <c r="K10" s="509"/>
      <c r="L10" s="510"/>
    </row>
    <row r="11" spans="2:12" ht="11.25" customHeight="1">
      <c r="C11" s="227" t="s">
        <v>44</v>
      </c>
      <c r="D11" s="223">
        <v>535.08209499999998</v>
      </c>
      <c r="E11" s="223">
        <v>420.42935600000004</v>
      </c>
      <c r="F11" s="223">
        <v>590.52251800000101</v>
      </c>
      <c r="G11" s="223">
        <v>1045.1970490000001</v>
      </c>
      <c r="H11" s="223">
        <v>2412.1366460000004</v>
      </c>
      <c r="I11" s="323">
        <f t="shared" si="0"/>
        <v>130.78295602803601</v>
      </c>
      <c r="K11" s="509"/>
      <c r="L11" s="510"/>
    </row>
    <row r="12" spans="2:12" ht="11.25" customHeight="1">
      <c r="C12" s="227" t="s">
        <v>46</v>
      </c>
      <c r="D12" s="223">
        <v>10.092818999999999</v>
      </c>
      <c r="E12" s="223">
        <v>14.746465000000001</v>
      </c>
      <c r="F12" s="223">
        <v>12.813724000000001</v>
      </c>
      <c r="G12" s="223">
        <v>16.897098999999997</v>
      </c>
      <c r="H12" s="223">
        <v>3.9038110000000001</v>
      </c>
      <c r="I12" s="323">
        <f t="shared" si="0"/>
        <v>-76.89656076466143</v>
      </c>
    </row>
    <row r="13" spans="2:12" ht="11.25" customHeight="1">
      <c r="C13" s="327" t="s">
        <v>50</v>
      </c>
      <c r="D13" s="223">
        <v>5.4160580000000103</v>
      </c>
      <c r="E13" s="223">
        <v>2.9242759999999999</v>
      </c>
      <c r="F13" s="223">
        <v>3.757171</v>
      </c>
      <c r="G13" s="223">
        <v>6.0848199999999997</v>
      </c>
      <c r="H13" s="223">
        <v>3.6404490000000003</v>
      </c>
      <c r="I13" s="323">
        <f t="shared" si="0"/>
        <v>-40.171623811386361</v>
      </c>
      <c r="K13" s="509"/>
      <c r="L13" s="510"/>
    </row>
    <row r="14" spans="2:12" ht="11.25" customHeight="1">
      <c r="C14" s="327" t="s">
        <v>51</v>
      </c>
      <c r="D14" s="223">
        <v>120.50753</v>
      </c>
      <c r="E14" s="223">
        <v>123.336995</v>
      </c>
      <c r="F14" s="223">
        <v>113.48353999999999</v>
      </c>
      <c r="G14" s="223">
        <v>121.04503299999999</v>
      </c>
      <c r="H14" s="522">
        <v>118.258939</v>
      </c>
      <c r="I14" s="323">
        <f t="shared" si="0"/>
        <v>-2.3017003927786051</v>
      </c>
      <c r="K14" s="508"/>
      <c r="L14" s="510"/>
    </row>
    <row r="15" spans="2:12" ht="11.25" customHeight="1">
      <c r="C15" s="220" t="s">
        <v>75</v>
      </c>
      <c r="D15" s="223">
        <v>1.309715</v>
      </c>
      <c r="E15" s="223">
        <v>1.626741</v>
      </c>
      <c r="F15" s="223">
        <v>1.332595</v>
      </c>
      <c r="G15" s="223">
        <v>1.139367</v>
      </c>
      <c r="H15" s="223">
        <v>0.62939999999999996</v>
      </c>
      <c r="I15" s="323">
        <f t="shared" si="0"/>
        <v>-44.758800281208778</v>
      </c>
      <c r="K15" s="509"/>
      <c r="L15" s="510"/>
    </row>
    <row r="16" spans="2:12" ht="11.25" customHeight="1">
      <c r="C16" s="220" t="s">
        <v>73</v>
      </c>
      <c r="D16" s="223">
        <v>34.701317000000003</v>
      </c>
      <c r="E16" s="223">
        <v>36.244233999999999</v>
      </c>
      <c r="F16" s="223">
        <v>34.974446</v>
      </c>
      <c r="G16" s="223">
        <v>34.42747</v>
      </c>
      <c r="H16" s="223">
        <v>33.823183</v>
      </c>
      <c r="I16" s="323">
        <f t="shared" si="0"/>
        <v>-1.7552466097566888</v>
      </c>
      <c r="K16" s="509"/>
      <c r="L16" s="510"/>
    </row>
    <row r="17" spans="3:12" ht="11.25" customHeight="1">
      <c r="C17" s="220" t="s">
        <v>90</v>
      </c>
      <c r="D17" s="223">
        <v>130.80506650000001</v>
      </c>
      <c r="E17" s="223">
        <v>143.878668</v>
      </c>
      <c r="F17" s="223">
        <v>135.7577445</v>
      </c>
      <c r="G17" s="223">
        <v>145.46326099999999</v>
      </c>
      <c r="H17" s="223">
        <v>114.0013445</v>
      </c>
      <c r="I17" s="323">
        <f t="shared" si="0"/>
        <v>-21.628771611273024</v>
      </c>
      <c r="K17" s="509"/>
      <c r="L17" s="510"/>
    </row>
    <row r="18" spans="3:12" ht="11.25" customHeight="1">
      <c r="C18" s="220" t="s">
        <v>91</v>
      </c>
      <c r="D18" s="223">
        <v>130.80506650000001</v>
      </c>
      <c r="E18" s="223">
        <v>143.878668</v>
      </c>
      <c r="F18" s="223">
        <v>135.7577445</v>
      </c>
      <c r="G18" s="223">
        <v>145.46326099999999</v>
      </c>
      <c r="H18" s="223">
        <v>114.0013445</v>
      </c>
      <c r="I18" s="323">
        <f t="shared" si="0"/>
        <v>-21.628771611273024</v>
      </c>
      <c r="K18" s="509"/>
      <c r="L18" s="510"/>
    </row>
    <row r="19" spans="3:12" ht="11.25" customHeight="1">
      <c r="C19" s="226" t="s">
        <v>72</v>
      </c>
      <c r="D19" s="229">
        <f t="shared" ref="D19" si="2">SUM(D7:D7,D10:D18)</f>
        <v>4572.6067229999999</v>
      </c>
      <c r="E19" s="229">
        <f>SUM(E7:E7,E10:E18)</f>
        <v>4837.1093739999997</v>
      </c>
      <c r="F19" s="229">
        <f>SUM(F7:F7,F10:F18)</f>
        <v>4824.0501530000001</v>
      </c>
      <c r="G19" s="229">
        <f>SUM(G7:G7,G10:G18)</f>
        <v>4420.3852509999997</v>
      </c>
      <c r="H19" s="229">
        <f>SUM(H7:H7,H10:H18)</f>
        <v>3514.91408</v>
      </c>
      <c r="I19" s="328">
        <f t="shared" si="0"/>
        <v>-20.483987697569116</v>
      </c>
      <c r="K19" s="509"/>
      <c r="L19" s="510"/>
    </row>
    <row r="20" spans="3:12" ht="11.25" customHeight="1">
      <c r="C20" s="329" t="s">
        <v>63</v>
      </c>
      <c r="D20" s="223">
        <v>1250.5839680000001</v>
      </c>
      <c r="E20" s="223">
        <v>1179.306642</v>
      </c>
      <c r="F20" s="223">
        <v>1233.358142</v>
      </c>
      <c r="G20" s="223">
        <v>1694.8405220000002</v>
      </c>
      <c r="H20" s="223">
        <v>1426.537525</v>
      </c>
      <c r="I20" s="330">
        <f t="shared" si="0"/>
        <v>-15.830574825021804</v>
      </c>
      <c r="K20" s="509"/>
      <c r="L20" s="510"/>
    </row>
    <row r="21" spans="3:12" ht="11.25" customHeight="1">
      <c r="C21" s="228" t="s">
        <v>40</v>
      </c>
      <c r="D21" s="230">
        <f t="shared" ref="D21" si="3">SUM(D19:D20)</f>
        <v>5823.1906909999998</v>
      </c>
      <c r="E21" s="230">
        <f>SUM(E19:E20)</f>
        <v>6016.4160159999992</v>
      </c>
      <c r="F21" s="230">
        <f>SUM(F19:F20)</f>
        <v>6057.4082950000002</v>
      </c>
      <c r="G21" s="230">
        <f>SUM(G19:G20)</f>
        <v>6115.2257730000001</v>
      </c>
      <c r="H21" s="230">
        <f>SUM(H19:H20)</f>
        <v>4941.4516050000002</v>
      </c>
      <c r="I21" s="331">
        <f t="shared" si="0"/>
        <v>-19.194289983248993</v>
      </c>
      <c r="K21" s="509"/>
      <c r="L21" s="510"/>
    </row>
    <row r="22" spans="3:12" ht="11.25" customHeight="1">
      <c r="G22" s="354">
        <f>G21-'Data 1'!G24</f>
        <v>0</v>
      </c>
      <c r="H22" s="354">
        <f>H21-'Data 1'!G45</f>
        <v>0</v>
      </c>
    </row>
    <row r="23" spans="3:12" ht="11.25" customHeight="1">
      <c r="C23" s="224" t="s">
        <v>251</v>
      </c>
      <c r="D23" s="321"/>
      <c r="E23" s="320"/>
      <c r="F23" s="320"/>
      <c r="G23" s="321"/>
      <c r="H23" s="320"/>
      <c r="I23" s="320"/>
    </row>
    <row r="24" spans="3:12" ht="11.25" customHeight="1">
      <c r="C24" s="225"/>
      <c r="D24" s="222">
        <v>2016</v>
      </c>
      <c r="E24" s="222">
        <v>2017</v>
      </c>
      <c r="F24" s="222">
        <v>2018</v>
      </c>
      <c r="G24" s="222">
        <v>2019</v>
      </c>
      <c r="H24" s="222">
        <v>2020</v>
      </c>
      <c r="I24" s="412" t="s">
        <v>376</v>
      </c>
    </row>
    <row r="25" spans="3:12" ht="11.25" customHeight="1">
      <c r="C25" s="227" t="s">
        <v>26</v>
      </c>
      <c r="D25" s="223">
        <v>3.4539609999999996</v>
      </c>
      <c r="E25" s="223">
        <v>3.271979</v>
      </c>
      <c r="F25" s="223">
        <v>3.2771120000000002</v>
      </c>
      <c r="G25" s="223">
        <v>3.5095189999999996</v>
      </c>
      <c r="H25" s="223">
        <v>3.4808159999999999</v>
      </c>
      <c r="I25" s="323">
        <f t="shared" ref="I25:I30" si="4">((H25/G25)-1)*100</f>
        <v>-0.81786136504745643</v>
      </c>
      <c r="L25" s="512"/>
    </row>
    <row r="26" spans="3:12" ht="11.25" customHeight="1">
      <c r="C26" s="324" t="s">
        <v>250</v>
      </c>
      <c r="D26" s="459">
        <v>2222.301543</v>
      </c>
      <c r="E26" s="459">
        <v>2242.3242279999999</v>
      </c>
      <c r="F26" s="459">
        <v>2121.1348889999999</v>
      </c>
      <c r="G26" s="459">
        <v>1949.9451159999999</v>
      </c>
      <c r="H26" s="459">
        <v>1717.4092620000001</v>
      </c>
      <c r="I26" s="326">
        <f t="shared" si="4"/>
        <v>-11.925251233583934</v>
      </c>
    </row>
    <row r="27" spans="3:12" ht="11.25" customHeight="1">
      <c r="C27" s="324" t="s">
        <v>49</v>
      </c>
      <c r="D27" s="459">
        <v>275.90062399999999</v>
      </c>
      <c r="E27" s="459">
        <v>314.34570600000001</v>
      </c>
      <c r="F27" s="459">
        <v>284.09280899999999</v>
      </c>
      <c r="G27" s="459">
        <v>228.93631500000001</v>
      </c>
      <c r="H27" s="459">
        <v>195.760693</v>
      </c>
      <c r="I27" s="326">
        <f t="shared" si="4"/>
        <v>-14.491201188417834</v>
      </c>
    </row>
    <row r="28" spans="3:12" ht="11.25" customHeight="1">
      <c r="C28" s="324" t="s">
        <v>52</v>
      </c>
      <c r="D28" s="459">
        <v>2536.1430030000001</v>
      </c>
      <c r="E28" s="459">
        <v>2674.3938499999999</v>
      </c>
      <c r="F28" s="459">
        <v>2455.4322969999998</v>
      </c>
      <c r="G28" s="459">
        <v>2189.0106679999999</v>
      </c>
      <c r="H28" s="459">
        <v>1387.6050789999999</v>
      </c>
      <c r="I28" s="326">
        <f t="shared" si="4"/>
        <v>-36.610401251822502</v>
      </c>
    </row>
    <row r="29" spans="3:12" ht="11.25" customHeight="1">
      <c r="C29" s="227" t="s">
        <v>45</v>
      </c>
      <c r="D29" s="322">
        <f t="shared" ref="D29" si="5">SUM(D26:D28)</f>
        <v>5034.3451700000005</v>
      </c>
      <c r="E29" s="322">
        <f>SUM(E26:E28)</f>
        <v>5231.0637839999999</v>
      </c>
      <c r="F29" s="322">
        <f>SUM(F26:F28)</f>
        <v>4860.659995</v>
      </c>
      <c r="G29" s="322">
        <f>SUM(G26:G28)</f>
        <v>4367.8920989999997</v>
      </c>
      <c r="H29" s="322">
        <f>SUM(H26:H28)</f>
        <v>3300.7750340000002</v>
      </c>
      <c r="I29" s="323">
        <f t="shared" si="4"/>
        <v>-24.430939245140905</v>
      </c>
      <c r="L29" s="512"/>
    </row>
    <row r="30" spans="3:12" ht="11.25" customHeight="1">
      <c r="C30" s="227" t="s">
        <v>44</v>
      </c>
      <c r="D30" s="223">
        <v>3008.3337409999999</v>
      </c>
      <c r="E30" s="223">
        <v>2997.3769480000001</v>
      </c>
      <c r="F30" s="223">
        <v>3051.021608</v>
      </c>
      <c r="G30" s="223">
        <v>3053.51755</v>
      </c>
      <c r="H30" s="223">
        <v>3254.2698949999999</v>
      </c>
      <c r="I30" s="323">
        <f t="shared" si="4"/>
        <v>6.5744618038956482</v>
      </c>
      <c r="L30" s="512"/>
    </row>
    <row r="31" spans="3:12" ht="11.25" customHeight="1">
      <c r="C31" s="227" t="s">
        <v>46</v>
      </c>
      <c r="D31" s="223">
        <v>0</v>
      </c>
      <c r="E31" s="223" t="s">
        <v>0</v>
      </c>
      <c r="F31" s="223" t="s">
        <v>0</v>
      </c>
      <c r="G31" s="223" t="s">
        <v>0</v>
      </c>
      <c r="H31" s="223" t="s">
        <v>0</v>
      </c>
      <c r="I31" s="323" t="s">
        <v>0</v>
      </c>
    </row>
    <row r="32" spans="3:12" ht="11.25" customHeight="1">
      <c r="C32" s="227" t="s">
        <v>68</v>
      </c>
      <c r="D32" s="223">
        <v>17.891936000000001</v>
      </c>
      <c r="E32" s="223">
        <v>20.233057000000002</v>
      </c>
      <c r="F32" s="223">
        <v>23.655544000000003</v>
      </c>
      <c r="G32" s="223">
        <v>23.248718</v>
      </c>
      <c r="H32" s="223">
        <v>19.540226999999998</v>
      </c>
      <c r="I32" s="323">
        <f>((H32/G32)-1)*100</f>
        <v>-15.951378480310197</v>
      </c>
      <c r="L32" s="512"/>
    </row>
    <row r="33" spans="3:12" ht="11.25" customHeight="1">
      <c r="C33" s="327" t="s">
        <v>50</v>
      </c>
      <c r="D33" s="223">
        <v>393.08058299999999</v>
      </c>
      <c r="E33" s="223">
        <v>395.92533299999997</v>
      </c>
      <c r="F33" s="223">
        <v>622.02860199999907</v>
      </c>
      <c r="G33" s="223">
        <v>1138.116575</v>
      </c>
      <c r="H33" s="223">
        <v>1100.2950619999999</v>
      </c>
      <c r="I33" s="323">
        <f>((H33/G33)-1)*100</f>
        <v>-3.323166873305583</v>
      </c>
      <c r="L33" s="512"/>
    </row>
    <row r="34" spans="3:12" ht="11.25" customHeight="1">
      <c r="C34" s="327" t="s">
        <v>51</v>
      </c>
      <c r="D34" s="223">
        <v>277.66134299999999</v>
      </c>
      <c r="E34" s="223">
        <v>273.626665</v>
      </c>
      <c r="F34" s="223">
        <v>272.07269199999996</v>
      </c>
      <c r="G34" s="223">
        <v>278.920098</v>
      </c>
      <c r="H34" s="223">
        <v>257.85846700000002</v>
      </c>
      <c r="I34" s="323">
        <f>((H34/G34)-1)*100</f>
        <v>-7.5511342319978585</v>
      </c>
      <c r="L34" s="512"/>
    </row>
    <row r="35" spans="3:12" ht="11.25" customHeight="1">
      <c r="C35" s="220" t="s">
        <v>75</v>
      </c>
      <c r="D35" s="223">
        <v>9.3357749999999999</v>
      </c>
      <c r="E35" s="223">
        <v>9.5652589999999993</v>
      </c>
      <c r="F35" s="223">
        <v>8.931597</v>
      </c>
      <c r="G35" s="223">
        <v>9.7735750000000099</v>
      </c>
      <c r="H35" s="223">
        <v>9.1839200000000005</v>
      </c>
      <c r="I35" s="323">
        <f>((H35/G35)-1)*100</f>
        <v>-6.0331557285845605</v>
      </c>
      <c r="L35" s="512"/>
    </row>
    <row r="36" spans="3:12" ht="11.25" customHeight="1">
      <c r="C36" s="220" t="s">
        <v>73</v>
      </c>
      <c r="D36" s="223" t="s">
        <v>0</v>
      </c>
      <c r="E36" s="223" t="s">
        <v>0</v>
      </c>
      <c r="F36" s="223" t="s">
        <v>0</v>
      </c>
      <c r="G36" s="223" t="s">
        <v>0</v>
      </c>
      <c r="H36" s="223" t="s">
        <v>0</v>
      </c>
      <c r="I36" s="323" t="s">
        <v>0</v>
      </c>
    </row>
    <row r="37" spans="3:12" ht="11.25" customHeight="1">
      <c r="C37" s="226" t="s">
        <v>72</v>
      </c>
      <c r="D37" s="229">
        <f t="shared" ref="D37" si="6">SUM(D25:D25,D29:D36)</f>
        <v>8744.1025090000003</v>
      </c>
      <c r="E37" s="229">
        <f>SUM(E25:E25,E29:E36)</f>
        <v>8931.0630249999995</v>
      </c>
      <c r="F37" s="229">
        <f>SUM(F25:F25,F29:F36)</f>
        <v>8841.6471499999989</v>
      </c>
      <c r="G37" s="229">
        <f>SUM(G25:G25,G29:G36)</f>
        <v>8874.978133999999</v>
      </c>
      <c r="H37" s="229">
        <f>SUM(H25:H25,H29:H36)</f>
        <v>7945.4034210000009</v>
      </c>
      <c r="I37" s="328">
        <f>((H37/G37)-1)*100</f>
        <v>-10.474107079078898</v>
      </c>
      <c r="L37" s="512"/>
    </row>
    <row r="38" spans="3:12" ht="11.25" customHeight="1">
      <c r="C38" s="228" t="s">
        <v>40</v>
      </c>
      <c r="D38" s="230">
        <f t="shared" ref="D38:F38" si="7">D37</f>
        <v>8744.1025090000003</v>
      </c>
      <c r="E38" s="230">
        <f t="shared" si="7"/>
        <v>8931.0630249999995</v>
      </c>
      <c r="F38" s="230">
        <f t="shared" si="7"/>
        <v>8841.6471499999989</v>
      </c>
      <c r="G38" s="230">
        <f t="shared" ref="G38:H38" si="8">G37</f>
        <v>8874.978133999999</v>
      </c>
      <c r="H38" s="230">
        <f t="shared" si="8"/>
        <v>7945.4034210000009</v>
      </c>
      <c r="I38" s="331">
        <f>((H38/G38)-1)*100</f>
        <v>-10.474107079078898</v>
      </c>
      <c r="L38" s="512"/>
    </row>
    <row r="39" spans="3:12" ht="11.25" customHeight="1">
      <c r="C39" s="44"/>
      <c r="D39" s="321"/>
      <c r="E39" s="320"/>
      <c r="F39" s="320"/>
      <c r="G39" s="354">
        <f>G38-'Data 1'!I24</f>
        <v>0</v>
      </c>
      <c r="H39" s="354">
        <f>H38-'Data 1'!I45</f>
        <v>0</v>
      </c>
      <c r="I39" s="320"/>
    </row>
    <row r="40" spans="3:12" ht="11.25" customHeight="1">
      <c r="C40" s="224" t="s">
        <v>252</v>
      </c>
      <c r="D40" s="321"/>
      <c r="E40" s="320"/>
      <c r="F40" s="320"/>
      <c r="G40" s="321"/>
      <c r="H40" s="320"/>
      <c r="I40" s="320"/>
    </row>
    <row r="41" spans="3:12" ht="11.25" customHeight="1">
      <c r="C41" s="225"/>
      <c r="D41" s="222">
        <v>2016</v>
      </c>
      <c r="E41" s="222">
        <v>2017</v>
      </c>
      <c r="F41" s="222">
        <v>2018</v>
      </c>
      <c r="G41" s="222">
        <v>2019</v>
      </c>
      <c r="H41" s="222">
        <v>2020</v>
      </c>
      <c r="I41" s="412" t="s">
        <v>376</v>
      </c>
    </row>
    <row r="42" spans="3:12" ht="11.25" customHeight="1">
      <c r="C42" s="324" t="s">
        <v>250</v>
      </c>
      <c r="D42" s="459">
        <v>210.55799199999998</v>
      </c>
      <c r="E42" s="459">
        <v>202.648335</v>
      </c>
      <c r="F42" s="459">
        <v>207.23613800000001</v>
      </c>
      <c r="G42" s="459">
        <v>205.964226</v>
      </c>
      <c r="H42" s="459">
        <v>199.02885500000002</v>
      </c>
      <c r="I42" s="326">
        <f>((H42/G42)-1)*100</f>
        <v>-3.3672697121683526</v>
      </c>
    </row>
    <row r="43" spans="3:12" ht="11.25" customHeight="1">
      <c r="C43" s="324" t="s">
        <v>49</v>
      </c>
      <c r="D43" s="459">
        <v>0.122944</v>
      </c>
      <c r="E43" s="459">
        <v>0.21249500000000002</v>
      </c>
      <c r="F43" s="459">
        <v>0.120086</v>
      </c>
      <c r="G43" s="459">
        <v>8.4013999999999991E-2</v>
      </c>
      <c r="H43" s="459">
        <v>0.16924700000000001</v>
      </c>
      <c r="I43" s="326">
        <f>((H43/G43)-1)*100</f>
        <v>101.45094865141529</v>
      </c>
    </row>
    <row r="44" spans="3:12" ht="11.25" customHeight="1">
      <c r="C44" s="227" t="s">
        <v>45</v>
      </c>
      <c r="D44" s="322">
        <f t="shared" ref="D44" si="9">SUM(D42:D43)</f>
        <v>210.68093599999997</v>
      </c>
      <c r="E44" s="322">
        <f>SUM(E42:E43)</f>
        <v>202.86082999999999</v>
      </c>
      <c r="F44" s="322">
        <f>SUM(F42:F43)</f>
        <v>207.356224</v>
      </c>
      <c r="G44" s="322">
        <f>SUM(G42:G43)</f>
        <v>206.04823999999999</v>
      </c>
      <c r="H44" s="322">
        <f>SUM(H42:H43)</f>
        <v>199.19810200000003</v>
      </c>
      <c r="I44" s="323">
        <f>((H44/G44)-1)*100</f>
        <v>-3.3245311874539496</v>
      </c>
    </row>
    <row r="45" spans="3:12" ht="11.25" customHeight="1">
      <c r="C45" s="226" t="s">
        <v>72</v>
      </c>
      <c r="D45" s="229">
        <f t="shared" ref="D45" si="10">D44</f>
        <v>210.68093599999997</v>
      </c>
      <c r="E45" s="229">
        <f>E44</f>
        <v>202.86082999999999</v>
      </c>
      <c r="F45" s="229">
        <f t="shared" ref="F45:G45" si="11">F44</f>
        <v>207.356224</v>
      </c>
      <c r="G45" s="229">
        <f t="shared" si="11"/>
        <v>206.04823999999999</v>
      </c>
      <c r="H45" s="229">
        <f t="shared" ref="H45:H46" si="12">H44</f>
        <v>199.19810200000003</v>
      </c>
      <c r="I45" s="328">
        <f>I44</f>
        <v>-3.3245311874539496</v>
      </c>
    </row>
    <row r="46" spans="3:12" ht="11.25" customHeight="1">
      <c r="C46" s="228" t="s">
        <v>40</v>
      </c>
      <c r="D46" s="230">
        <f t="shared" ref="D46:G46" si="13">D45</f>
        <v>210.68093599999997</v>
      </c>
      <c r="E46" s="230">
        <f t="shared" si="13"/>
        <v>202.86082999999999</v>
      </c>
      <c r="F46" s="230">
        <f t="shared" si="13"/>
        <v>207.356224</v>
      </c>
      <c r="G46" s="230">
        <f t="shared" si="13"/>
        <v>206.04823999999999</v>
      </c>
      <c r="H46" s="230">
        <f t="shared" si="12"/>
        <v>199.19810200000003</v>
      </c>
      <c r="I46" s="331">
        <f>((H46/G46)-1)*100</f>
        <v>-3.3245311874539496</v>
      </c>
    </row>
    <row r="47" spans="3:12" ht="11.25" customHeight="1">
      <c r="C47" s="44"/>
      <c r="D47" s="321"/>
      <c r="E47" s="320"/>
      <c r="F47" s="320"/>
      <c r="G47" s="354">
        <f>G46-'Data 1'!N24</f>
        <v>0</v>
      </c>
      <c r="H47" s="354">
        <f>H46-'Data 1'!N45</f>
        <v>0</v>
      </c>
      <c r="I47" s="320"/>
    </row>
    <row r="48" spans="3:12" ht="11.25" customHeight="1">
      <c r="C48" s="224" t="s">
        <v>253</v>
      </c>
      <c r="D48" s="321"/>
      <c r="E48" s="320"/>
      <c r="F48" s="320"/>
      <c r="G48" s="321"/>
      <c r="H48" s="320"/>
      <c r="I48" s="320"/>
    </row>
    <row r="49" spans="2:11" ht="11.25" customHeight="1">
      <c r="C49" s="225"/>
      <c r="D49" s="222">
        <v>2016</v>
      </c>
      <c r="E49" s="222">
        <v>2017</v>
      </c>
      <c r="F49" s="222">
        <v>2018</v>
      </c>
      <c r="G49" s="222">
        <v>2019</v>
      </c>
      <c r="H49" s="222">
        <v>2020</v>
      </c>
      <c r="I49" s="412" t="s">
        <v>376</v>
      </c>
      <c r="J49" s="17"/>
      <c r="K49" s="460"/>
    </row>
    <row r="50" spans="2:11" ht="11.25" customHeight="1">
      <c r="C50" s="324" t="s">
        <v>250</v>
      </c>
      <c r="D50" s="459">
        <v>198.250316</v>
      </c>
      <c r="E50" s="459">
        <v>200.31696400000001</v>
      </c>
      <c r="F50" s="459">
        <v>202.11366599999999</v>
      </c>
      <c r="G50" s="459">
        <v>200.00924799999999</v>
      </c>
      <c r="H50" s="459">
        <v>196.78649200000001</v>
      </c>
      <c r="I50" s="326">
        <f t="shared" ref="I50:I55" si="14">((H50/G50)-1)*100</f>
        <v>-1.6113034933264547</v>
      </c>
    </row>
    <row r="51" spans="2:11" ht="11.25" customHeight="1">
      <c r="C51" s="324" t="s">
        <v>49</v>
      </c>
      <c r="D51" s="459">
        <v>0.255469</v>
      </c>
      <c r="E51" s="459">
        <v>7.7272999999999994E-2</v>
      </c>
      <c r="F51" s="459">
        <v>6.7100999999999994E-2</v>
      </c>
      <c r="G51" s="459">
        <v>2.1007000000000001E-2</v>
      </c>
      <c r="H51" s="459">
        <v>9.5903000000000002E-2</v>
      </c>
      <c r="I51" s="326">
        <f t="shared" si="14"/>
        <v>356.52877612224489</v>
      </c>
    </row>
    <row r="52" spans="2:11" ht="11.25" customHeight="1">
      <c r="B52" s="145"/>
      <c r="C52" s="227" t="s">
        <v>45</v>
      </c>
      <c r="D52" s="322">
        <f t="shared" ref="D52" si="15">SUM(D50:D51)</f>
        <v>198.505785</v>
      </c>
      <c r="E52" s="322">
        <f>SUM(E50:E51)</f>
        <v>200.394237</v>
      </c>
      <c r="F52" s="322">
        <f>SUM(F50:F51)</f>
        <v>202.180767</v>
      </c>
      <c r="G52" s="322">
        <f>SUM(G50:G51)</f>
        <v>200.03025499999998</v>
      </c>
      <c r="H52" s="322">
        <f>SUM(H50:H51)</f>
        <v>196.882395</v>
      </c>
      <c r="I52" s="323">
        <f t="shared" si="14"/>
        <v>-1.573691939751809</v>
      </c>
    </row>
    <row r="53" spans="2:11" ht="11.25" customHeight="1">
      <c r="B53" s="145"/>
      <c r="C53" s="327" t="s">
        <v>51</v>
      </c>
      <c r="D53" s="322">
        <v>8.0100000000000088E-2</v>
      </c>
      <c r="E53" s="322">
        <v>7.6868999999999993E-2</v>
      </c>
      <c r="F53" s="322">
        <v>7.46109999999999E-2</v>
      </c>
      <c r="G53" s="322">
        <v>8.0373E-2</v>
      </c>
      <c r="H53" s="322">
        <v>7.6707000000000095E-2</v>
      </c>
      <c r="I53" s="323">
        <f t="shared" si="14"/>
        <v>-4.5612332499718855</v>
      </c>
    </row>
    <row r="54" spans="2:11" ht="11.25" customHeight="1">
      <c r="B54" s="145"/>
      <c r="C54" s="220" t="s">
        <v>90</v>
      </c>
      <c r="D54" s="322">
        <v>4.8500524999999994</v>
      </c>
      <c r="E54" s="322">
        <v>4.9769860000000001</v>
      </c>
      <c r="F54" s="322">
        <v>5.3468390000000001</v>
      </c>
      <c r="G54" s="322">
        <v>5.3969984999999996</v>
      </c>
      <c r="H54" s="322">
        <v>5.5255555000000003</v>
      </c>
      <c r="I54" s="323">
        <f t="shared" si="14"/>
        <v>2.3820091852906788</v>
      </c>
    </row>
    <row r="55" spans="2:11" ht="11.25" customHeight="1">
      <c r="B55" s="145"/>
      <c r="C55" s="220" t="s">
        <v>91</v>
      </c>
      <c r="D55" s="322">
        <v>4.8500524999999994</v>
      </c>
      <c r="E55" s="322">
        <v>4.9769860000000001</v>
      </c>
      <c r="F55" s="322">
        <v>5.3468390000000001</v>
      </c>
      <c r="G55" s="322">
        <v>5.3969984999999996</v>
      </c>
      <c r="H55" s="322">
        <v>5.5255555000000003</v>
      </c>
      <c r="I55" s="323">
        <f t="shared" si="14"/>
        <v>2.3820091852906788</v>
      </c>
    </row>
    <row r="56" spans="2:11" ht="11.25" customHeight="1">
      <c r="B56" s="145"/>
      <c r="C56" s="220" t="s">
        <v>73</v>
      </c>
      <c r="D56" s="322" t="s">
        <v>0</v>
      </c>
      <c r="E56" s="322" t="s">
        <v>0</v>
      </c>
      <c r="F56" s="322" t="s">
        <v>0</v>
      </c>
      <c r="G56" s="322" t="s">
        <v>0</v>
      </c>
      <c r="H56" s="322" t="s">
        <v>0</v>
      </c>
      <c r="I56" s="322" t="s">
        <v>0</v>
      </c>
    </row>
    <row r="57" spans="2:11" ht="11.25" customHeight="1">
      <c r="B57" s="145"/>
      <c r="C57" s="226" t="s">
        <v>72</v>
      </c>
      <c r="D57" s="229">
        <f t="shared" ref="D57:F57" si="16">SUM(D52:D56)</f>
        <v>208.28599</v>
      </c>
      <c r="E57" s="229">
        <f t="shared" si="16"/>
        <v>210.42507800000001</v>
      </c>
      <c r="F57" s="229">
        <f t="shared" si="16"/>
        <v>212.94905599999998</v>
      </c>
      <c r="G57" s="229">
        <f t="shared" ref="G57:H57" si="17">SUM(G52:G56)</f>
        <v>210.90462499999998</v>
      </c>
      <c r="H57" s="229">
        <f t="shared" si="17"/>
        <v>208.01021299999999</v>
      </c>
      <c r="I57" s="328">
        <f>((H57/G57)-1)*100</f>
        <v>-1.3723795767873748</v>
      </c>
    </row>
    <row r="58" spans="2:11" ht="11.25" customHeight="1">
      <c r="B58" s="145"/>
      <c r="C58" s="228" t="s">
        <v>40</v>
      </c>
      <c r="D58" s="230">
        <f t="shared" ref="D58" si="18">D57</f>
        <v>208.28599</v>
      </c>
      <c r="E58" s="230">
        <f>E57</f>
        <v>210.42507800000001</v>
      </c>
      <c r="F58" s="230">
        <f>F57</f>
        <v>212.94905599999998</v>
      </c>
      <c r="G58" s="230">
        <f>G57</f>
        <v>210.90462499999998</v>
      </c>
      <c r="H58" s="230">
        <f>H57</f>
        <v>208.01021299999999</v>
      </c>
      <c r="I58" s="331">
        <f>((H58/G58)-1)*100</f>
        <v>-1.3723795767873748</v>
      </c>
    </row>
    <row r="59" spans="2:11" s="414" customFormat="1" ht="11.25" customHeight="1">
      <c r="B59" s="145"/>
      <c r="C59" s="44"/>
      <c r="D59" s="320"/>
      <c r="E59" s="320"/>
      <c r="F59" s="320"/>
      <c r="G59" s="354">
        <f>G58-'Data 1'!S24</f>
        <v>0</v>
      </c>
      <c r="H59" s="354">
        <f>H58-'Data 1'!S45</f>
        <v>0</v>
      </c>
      <c r="I59" s="321"/>
    </row>
    <row r="60" spans="2:11" s="414" customFormat="1" ht="11.25" customHeight="1">
      <c r="B60" s="145"/>
      <c r="C60" s="224" t="s">
        <v>287</v>
      </c>
      <c r="D60" s="320"/>
      <c r="E60" s="320"/>
      <c r="F60" s="320"/>
      <c r="G60" s="320"/>
      <c r="H60" s="320"/>
      <c r="I60" s="321"/>
    </row>
    <row r="61" spans="2:11" s="414" customFormat="1" ht="11.25" customHeight="1">
      <c r="B61" s="145"/>
      <c r="C61" s="225"/>
      <c r="D61" s="222">
        <v>2016</v>
      </c>
      <c r="E61" s="222">
        <v>2017</v>
      </c>
      <c r="F61" s="222">
        <v>2018</v>
      </c>
      <c r="G61" s="222">
        <v>2019</v>
      </c>
      <c r="H61" s="222">
        <v>2020</v>
      </c>
      <c r="I61" s="412" t="s">
        <v>376</v>
      </c>
    </row>
    <row r="62" spans="2:11" s="414" customFormat="1" ht="11.25" customHeight="1">
      <c r="B62" s="145"/>
      <c r="C62" s="220" t="s">
        <v>26</v>
      </c>
      <c r="D62" s="223">
        <f>D25</f>
        <v>3.4539609999999996</v>
      </c>
      <c r="E62" s="223">
        <f t="shared" ref="E62:H62" si="19">E25</f>
        <v>3.271979</v>
      </c>
      <c r="F62" s="223">
        <f t="shared" si="19"/>
        <v>3.2771120000000002</v>
      </c>
      <c r="G62" s="223">
        <f t="shared" si="19"/>
        <v>3.5095189999999996</v>
      </c>
      <c r="H62" s="223">
        <f t="shared" si="19"/>
        <v>3.4808159999999999</v>
      </c>
      <c r="I62" s="413">
        <f t="shared" ref="I62:I79" si="20">((H62/G62)-1)*100</f>
        <v>-0.81786136504745643</v>
      </c>
    </row>
    <row r="63" spans="2:11" s="414" customFormat="1" ht="11.25" customHeight="1">
      <c r="B63" s="145"/>
      <c r="C63" s="220" t="s">
        <v>28</v>
      </c>
      <c r="D63" s="223">
        <f>D7</f>
        <v>2302.8679710000001</v>
      </c>
      <c r="E63" s="223">
        <f t="shared" ref="E63:H63" si="21">E7</f>
        <v>2597.531837</v>
      </c>
      <c r="F63" s="223">
        <f t="shared" si="21"/>
        <v>2395.770931</v>
      </c>
      <c r="G63" s="223">
        <f t="shared" si="21"/>
        <v>1999.939695</v>
      </c>
      <c r="H63" s="223">
        <f t="shared" si="21"/>
        <v>221.661767</v>
      </c>
      <c r="I63" s="413">
        <f t="shared" si="20"/>
        <v>-88.916577457101781</v>
      </c>
    </row>
    <row r="64" spans="2:11" s="414" customFormat="1" ht="11.25" customHeight="1">
      <c r="B64" s="145"/>
      <c r="C64" s="324" t="s">
        <v>250</v>
      </c>
      <c r="D64" s="325">
        <f>SUM(D8,D26,D42,D50)</f>
        <v>3592.3706709999992</v>
      </c>
      <c r="E64" s="325">
        <f t="shared" ref="E64:H64" si="22">SUM(E8,E26,E42,E50)</f>
        <v>3441.2770869999999</v>
      </c>
      <c r="F64" s="325">
        <f t="shared" si="22"/>
        <v>3165.3654170000004</v>
      </c>
      <c r="G64" s="325">
        <f t="shared" si="22"/>
        <v>2819.1560449999997</v>
      </c>
      <c r="H64" s="325">
        <f t="shared" si="22"/>
        <v>2395.5342700000001</v>
      </c>
      <c r="I64" s="326">
        <f t="shared" si="20"/>
        <v>-15.026545825702941</v>
      </c>
    </row>
    <row r="65" spans="2:9" s="414" customFormat="1" ht="11.25" customHeight="1">
      <c r="B65" s="145"/>
      <c r="C65" s="324" t="s">
        <v>49</v>
      </c>
      <c r="D65" s="325">
        <f>SUM(D9,D27,D43,D51)</f>
        <v>616.03730199999995</v>
      </c>
      <c r="E65" s="325">
        <f t="shared" ref="E65:H65" si="23">SUM(E9,E27,E43,E51)</f>
        <v>871.16004800000007</v>
      </c>
      <c r="F65" s="325">
        <f t="shared" si="23"/>
        <v>1049.2790110000001</v>
      </c>
      <c r="G65" s="325">
        <f t="shared" si="23"/>
        <v>670.53207700000007</v>
      </c>
      <c r="H65" s="325">
        <f t="shared" si="23"/>
        <v>406.57337799999999</v>
      </c>
      <c r="I65" s="413">
        <f t="shared" si="20"/>
        <v>-39.365558793393873</v>
      </c>
    </row>
    <row r="66" spans="2:9" s="414" customFormat="1" ht="11.25" customHeight="1">
      <c r="B66" s="145"/>
      <c r="C66" s="324" t="s">
        <v>52</v>
      </c>
      <c r="D66" s="325">
        <f>D28</f>
        <v>2536.1430030000001</v>
      </c>
      <c r="E66" s="325">
        <f t="shared" ref="E66:H66" si="24">E28</f>
        <v>2674.3938499999999</v>
      </c>
      <c r="F66" s="325">
        <f t="shared" si="24"/>
        <v>2455.4322969999998</v>
      </c>
      <c r="G66" s="325">
        <f t="shared" si="24"/>
        <v>2189.0106679999999</v>
      </c>
      <c r="H66" s="325">
        <f t="shared" si="24"/>
        <v>1387.6050789999999</v>
      </c>
      <c r="I66" s="413">
        <f t="shared" si="20"/>
        <v>-36.610401251822502</v>
      </c>
    </row>
    <row r="67" spans="2:9" s="414" customFormat="1" ht="11.25" customHeight="1">
      <c r="B67" s="145"/>
      <c r="C67" s="220" t="s">
        <v>98</v>
      </c>
      <c r="D67" s="223">
        <f>SUM(D64:D66)</f>
        <v>6744.5509759999995</v>
      </c>
      <c r="E67" s="223">
        <f t="shared" ref="E67:H67" si="25">SUM(E64:E66)</f>
        <v>6986.8309850000005</v>
      </c>
      <c r="F67" s="223">
        <f t="shared" si="25"/>
        <v>6670.0767250000008</v>
      </c>
      <c r="G67" s="223">
        <f t="shared" si="25"/>
        <v>5678.6987899999995</v>
      </c>
      <c r="H67" s="223">
        <f t="shared" si="25"/>
        <v>4189.7127270000001</v>
      </c>
      <c r="I67" s="413">
        <f t="shared" si="20"/>
        <v>-26.220550130640042</v>
      </c>
    </row>
    <row r="68" spans="2:9" s="414" customFormat="1" ht="11.25" customHeight="1">
      <c r="B68" s="145"/>
      <c r="C68" s="220" t="s">
        <v>44</v>
      </c>
      <c r="D68" s="223">
        <f>SUM(D11,D30)</f>
        <v>3543.4158360000001</v>
      </c>
      <c r="E68" s="223">
        <f t="shared" ref="E68:H68" si="26">SUM(E11,E30)</f>
        <v>3417.8063040000002</v>
      </c>
      <c r="F68" s="223">
        <f t="shared" si="26"/>
        <v>3641.5441260000011</v>
      </c>
      <c r="G68" s="223">
        <f t="shared" si="26"/>
        <v>4098.7145989999999</v>
      </c>
      <c r="H68" s="223">
        <f t="shared" si="26"/>
        <v>5666.4065410000003</v>
      </c>
      <c r="I68" s="413">
        <f t="shared" si="20"/>
        <v>38.248380172224827</v>
      </c>
    </row>
    <row r="69" spans="2:9" s="414" customFormat="1" ht="11.25" customHeight="1">
      <c r="B69" s="145"/>
      <c r="C69" s="227" t="s">
        <v>46</v>
      </c>
      <c r="D69" s="223">
        <f>SUM(D12,D31)</f>
        <v>10.092818999999999</v>
      </c>
      <c r="E69" s="223">
        <f t="shared" ref="E69:H69" si="27">SUM(E12,E31)</f>
        <v>14.746465000000001</v>
      </c>
      <c r="F69" s="223">
        <f t="shared" si="27"/>
        <v>12.813724000000001</v>
      </c>
      <c r="G69" s="223">
        <f t="shared" si="27"/>
        <v>16.897098999999997</v>
      </c>
      <c r="H69" s="223">
        <f t="shared" si="27"/>
        <v>3.9038110000000001</v>
      </c>
      <c r="I69" s="413">
        <f t="shared" si="20"/>
        <v>-76.89656076466143</v>
      </c>
    </row>
    <row r="70" spans="2:9" s="414" customFormat="1" ht="11.25" customHeight="1">
      <c r="B70" s="145"/>
      <c r="C70" s="220" t="s">
        <v>68</v>
      </c>
      <c r="D70" s="223">
        <f>D32</f>
        <v>17.891936000000001</v>
      </c>
      <c r="E70" s="223">
        <f t="shared" ref="E70:H70" si="28">E32</f>
        <v>20.233057000000002</v>
      </c>
      <c r="F70" s="223">
        <f t="shared" si="28"/>
        <v>23.655544000000003</v>
      </c>
      <c r="G70" s="223">
        <f t="shared" si="28"/>
        <v>23.248718</v>
      </c>
      <c r="H70" s="223">
        <f t="shared" si="28"/>
        <v>19.540226999999998</v>
      </c>
      <c r="I70" s="413">
        <f t="shared" si="20"/>
        <v>-15.951378480310197</v>
      </c>
    </row>
    <row r="71" spans="2:9" s="414" customFormat="1" ht="11.25" customHeight="1">
      <c r="B71" s="145"/>
      <c r="C71" s="220" t="s">
        <v>50</v>
      </c>
      <c r="D71" s="223">
        <f>SUM(D13,D33)</f>
        <v>398.49664100000001</v>
      </c>
      <c r="E71" s="223">
        <f t="shared" ref="E71:H71" si="29">SUM(E13,E33)</f>
        <v>398.84960899999999</v>
      </c>
      <c r="F71" s="223">
        <f t="shared" si="29"/>
        <v>625.78577299999904</v>
      </c>
      <c r="G71" s="223">
        <f t="shared" si="29"/>
        <v>1144.201395</v>
      </c>
      <c r="H71" s="223">
        <f t="shared" si="29"/>
        <v>1103.9355109999999</v>
      </c>
      <c r="I71" s="413">
        <f t="shared" si="20"/>
        <v>-3.5191255819086109</v>
      </c>
    </row>
    <row r="72" spans="2:9" s="414" customFormat="1" ht="11.25" customHeight="1">
      <c r="B72" s="145"/>
      <c r="C72" s="220" t="s">
        <v>51</v>
      </c>
      <c r="D72" s="223">
        <f>SUM(D14,D34,D53)</f>
        <v>398.24897299999998</v>
      </c>
      <c r="E72" s="223">
        <f t="shared" ref="E72:H72" si="30">SUM(E14,E34,E53)</f>
        <v>397.04052899999999</v>
      </c>
      <c r="F72" s="223">
        <f t="shared" si="30"/>
        <v>385.63084299999997</v>
      </c>
      <c r="G72" s="223">
        <f t="shared" si="30"/>
        <v>400.04550399999999</v>
      </c>
      <c r="H72" s="223">
        <f t="shared" si="30"/>
        <v>376.19411300000002</v>
      </c>
      <c r="I72" s="413">
        <f t="shared" si="20"/>
        <v>-5.9621694935984015</v>
      </c>
    </row>
    <row r="73" spans="2:9" s="414" customFormat="1" ht="11.25" customHeight="1">
      <c r="B73" s="145"/>
      <c r="C73" s="220" t="s">
        <v>75</v>
      </c>
      <c r="D73" s="223">
        <f>SUM(D15,D35)</f>
        <v>10.645490000000001</v>
      </c>
      <c r="E73" s="223">
        <f t="shared" ref="E73:H73" si="31">SUM(E15,E35)</f>
        <v>11.192</v>
      </c>
      <c r="F73" s="223">
        <f t="shared" si="31"/>
        <v>10.264192</v>
      </c>
      <c r="G73" s="223">
        <f t="shared" si="31"/>
        <v>10.91294200000001</v>
      </c>
      <c r="H73" s="223">
        <f t="shared" si="31"/>
        <v>9.8133200000000009</v>
      </c>
      <c r="I73" s="413">
        <f t="shared" si="20"/>
        <v>-10.076311227531566</v>
      </c>
    </row>
    <row r="74" spans="2:9" s="414" customFormat="1" ht="11.25" customHeight="1">
      <c r="B74" s="145"/>
      <c r="C74" s="220" t="s">
        <v>73</v>
      </c>
      <c r="D74" s="223">
        <f>SUM(D16,D36,D56)</f>
        <v>34.701317000000003</v>
      </c>
      <c r="E74" s="223">
        <f t="shared" ref="E74:H74" si="32">SUM(E16,E36,E56)</f>
        <v>36.244233999999999</v>
      </c>
      <c r="F74" s="223">
        <f t="shared" si="32"/>
        <v>34.974446</v>
      </c>
      <c r="G74" s="223">
        <f t="shared" si="32"/>
        <v>34.42747</v>
      </c>
      <c r="H74" s="223">
        <f t="shared" si="32"/>
        <v>33.823183</v>
      </c>
      <c r="I74" s="413">
        <f t="shared" si="20"/>
        <v>-1.7552466097566888</v>
      </c>
    </row>
    <row r="75" spans="2:9" s="414" customFormat="1" ht="11.25" customHeight="1">
      <c r="B75" s="145"/>
      <c r="C75" s="220" t="s">
        <v>90</v>
      </c>
      <c r="D75" s="223">
        <f>SUM(D17,D54)</f>
        <v>135.65511900000001</v>
      </c>
      <c r="E75" s="223">
        <f t="shared" ref="E75:H75" si="33">SUM(E17,E54)</f>
        <v>148.85565400000002</v>
      </c>
      <c r="F75" s="223">
        <f t="shared" si="33"/>
        <v>141.10458349999999</v>
      </c>
      <c r="G75" s="223">
        <f t="shared" si="33"/>
        <v>150.86025949999998</v>
      </c>
      <c r="H75" s="223">
        <f t="shared" si="33"/>
        <v>119.5269</v>
      </c>
      <c r="I75" s="413">
        <f t="shared" si="20"/>
        <v>-20.769790270710754</v>
      </c>
    </row>
    <row r="76" spans="2:9" s="414" customFormat="1" ht="11.25" customHeight="1">
      <c r="B76" s="145"/>
      <c r="C76" s="220" t="s">
        <v>91</v>
      </c>
      <c r="D76" s="223">
        <f>SUM(D18,D55)</f>
        <v>135.65511900000001</v>
      </c>
      <c r="E76" s="223">
        <f t="shared" ref="E76:H76" si="34">SUM(E18,E55)</f>
        <v>148.85565400000002</v>
      </c>
      <c r="F76" s="223">
        <f t="shared" si="34"/>
        <v>141.10458349999999</v>
      </c>
      <c r="G76" s="223">
        <f t="shared" si="34"/>
        <v>150.86025949999998</v>
      </c>
      <c r="H76" s="223">
        <f t="shared" si="34"/>
        <v>119.5269</v>
      </c>
      <c r="I76" s="413">
        <f t="shared" si="20"/>
        <v>-20.769790270710754</v>
      </c>
    </row>
    <row r="77" spans="2:9" s="414" customFormat="1" ht="11.25" customHeight="1">
      <c r="B77" s="145"/>
      <c r="C77" s="226" t="s">
        <v>72</v>
      </c>
      <c r="D77" s="229">
        <f>SUM(D62:D63,D67:D76)</f>
        <v>13735.676157999998</v>
      </c>
      <c r="E77" s="229">
        <f t="shared" ref="E77:H77" si="35">SUM(E62:E63,E67:E76)</f>
        <v>14181.458307000001</v>
      </c>
      <c r="F77" s="229">
        <f t="shared" si="35"/>
        <v>14086.002583000003</v>
      </c>
      <c r="G77" s="229">
        <f t="shared" si="35"/>
        <v>13712.31625</v>
      </c>
      <c r="H77" s="229">
        <f t="shared" si="35"/>
        <v>11867.525815999999</v>
      </c>
      <c r="I77" s="328">
        <f t="shared" si="20"/>
        <v>-13.453528932429638</v>
      </c>
    </row>
    <row r="78" spans="2:9" s="414" customFormat="1" ht="11.25" customHeight="1">
      <c r="B78" s="145"/>
      <c r="C78" s="329" t="s">
        <v>63</v>
      </c>
      <c r="D78" s="223">
        <f>D20</f>
        <v>1250.5839680000001</v>
      </c>
      <c r="E78" s="223">
        <f t="shared" ref="E78:H78" si="36">E20</f>
        <v>1179.306642</v>
      </c>
      <c r="F78" s="223">
        <f t="shared" si="36"/>
        <v>1233.358142</v>
      </c>
      <c r="G78" s="223">
        <f t="shared" si="36"/>
        <v>1694.8405220000002</v>
      </c>
      <c r="H78" s="223">
        <f t="shared" si="36"/>
        <v>1426.537525</v>
      </c>
      <c r="I78" s="413">
        <f t="shared" si="20"/>
        <v>-15.830574825021804</v>
      </c>
    </row>
    <row r="79" spans="2:9" s="414" customFormat="1" ht="11.25" customHeight="1">
      <c r="B79" s="145"/>
      <c r="C79" s="228" t="s">
        <v>40</v>
      </c>
      <c r="D79" s="230">
        <f>SUM(D77:D78)</f>
        <v>14986.260125999999</v>
      </c>
      <c r="E79" s="230">
        <f t="shared" ref="E79:H79" si="37">SUM(E77:E78)</f>
        <v>15360.764949</v>
      </c>
      <c r="F79" s="230">
        <f t="shared" si="37"/>
        <v>15319.360725000002</v>
      </c>
      <c r="G79" s="230">
        <f t="shared" si="37"/>
        <v>15407.156772</v>
      </c>
      <c r="H79" s="230">
        <f t="shared" si="37"/>
        <v>13294.063340999999</v>
      </c>
      <c r="I79" s="331">
        <f t="shared" si="20"/>
        <v>-13.715012200305543</v>
      </c>
    </row>
    <row r="80" spans="2:9" s="414" customFormat="1" ht="11.25" customHeight="1">
      <c r="B80" s="145"/>
      <c r="C80" s="44"/>
      <c r="D80" s="420">
        <f>D79-SUM(D21,D38,D46,D58)</f>
        <v>0</v>
      </c>
      <c r="E80" s="420">
        <f t="shared" ref="E80:G80" si="38">E79-SUM(E21,E38,E46,E58)</f>
        <v>0</v>
      </c>
      <c r="F80" s="420">
        <f t="shared" si="38"/>
        <v>0</v>
      </c>
      <c r="G80" s="420">
        <f t="shared" si="38"/>
        <v>0</v>
      </c>
      <c r="H80" s="420">
        <f>H79-SUM(H21,H38,H46,H58)</f>
        <v>0</v>
      </c>
      <c r="I80" s="321"/>
    </row>
    <row r="81" spans="2:9" s="414" customFormat="1" ht="11.25" customHeight="1">
      <c r="B81" s="145"/>
      <c r="C81" s="224" t="s">
        <v>288</v>
      </c>
      <c r="D81" s="320"/>
      <c r="E81" s="320"/>
      <c r="F81" s="320"/>
      <c r="G81" s="320"/>
      <c r="H81" s="320"/>
      <c r="I81" s="321"/>
    </row>
    <row r="82" spans="2:9" s="414" customFormat="1" ht="11.25" customHeight="1">
      <c r="B82" s="145"/>
      <c r="C82" s="225"/>
      <c r="D82" s="222">
        <v>2016</v>
      </c>
      <c r="E82" s="222">
        <v>2017</v>
      </c>
      <c r="F82" s="222">
        <v>2018</v>
      </c>
      <c r="G82" s="222">
        <v>2019</v>
      </c>
      <c r="H82" s="222">
        <v>2020</v>
      </c>
      <c r="I82" s="412" t="s">
        <v>376</v>
      </c>
    </row>
    <row r="83" spans="2:9" s="414" customFormat="1" ht="11.25" customHeight="1">
      <c r="B83" s="145"/>
      <c r="C83" s="10" t="s">
        <v>26</v>
      </c>
      <c r="D83" s="400">
        <f>SUM('Data 1'!D319,'Data 5'!D62)</f>
        <v>36114.888326772001</v>
      </c>
      <c r="E83" s="400">
        <f>SUM('Data 1'!E319,'Data 5'!E62)</f>
        <v>18450.61875066</v>
      </c>
      <c r="F83" s="400">
        <f>SUM('Data 1'!F319,'Data 5'!F62)</f>
        <v>34117.24134187201</v>
      </c>
      <c r="G83" s="400">
        <f>SUM('Data 1'!G319,'Data 5'!G62)</f>
        <v>24719.015265512</v>
      </c>
      <c r="H83" s="400">
        <f>SUM('Data 1'!H319,'Data 5'!H62)</f>
        <v>30548.662568445998</v>
      </c>
      <c r="I83" s="413">
        <f>((H83/G83)-1)*100</f>
        <v>23.583655094333512</v>
      </c>
    </row>
    <row r="84" spans="2:9" s="414" customFormat="1" ht="11.25" customHeight="1">
      <c r="B84" s="145"/>
      <c r="C84" s="10" t="s">
        <v>67</v>
      </c>
      <c r="D84" s="400">
        <f>'Data 1'!D320</f>
        <v>3134.328910228</v>
      </c>
      <c r="E84" s="400">
        <f>'Data 1'!E320</f>
        <v>2248.9644183400001</v>
      </c>
      <c r="F84" s="400">
        <f>'Data 1'!F320</f>
        <v>1993.996008694</v>
      </c>
      <c r="G84" s="400">
        <f>'Data 1'!G320</f>
        <v>1645.505056342</v>
      </c>
      <c r="H84" s="400">
        <f>'Data 1'!H320</f>
        <v>2745.920393458</v>
      </c>
      <c r="I84" s="401">
        <f t="shared" ref="I84:I100" si="39">((H84/G84)-1)*100</f>
        <v>66.874017364750713</v>
      </c>
    </row>
    <row r="85" spans="2:9" s="414" customFormat="1" ht="11.25" customHeight="1">
      <c r="B85" s="145"/>
      <c r="C85" s="10" t="s">
        <v>27</v>
      </c>
      <c r="D85" s="400">
        <f>'Data 1'!D321</f>
        <v>56021.682058999999</v>
      </c>
      <c r="E85" s="400">
        <f>'Data 1'!E321</f>
        <v>55539.351045999996</v>
      </c>
      <c r="F85" s="400">
        <f>'Data 1'!F321</f>
        <v>53197.617429999998</v>
      </c>
      <c r="G85" s="400">
        <f>'Data 1'!G321</f>
        <v>55824.226774999996</v>
      </c>
      <c r="H85" s="400">
        <f>'Data 1'!H321</f>
        <v>55756.795616999996</v>
      </c>
      <c r="I85" s="401">
        <f t="shared" si="39"/>
        <v>-0.12079192475299427</v>
      </c>
    </row>
    <row r="86" spans="2:9" s="414" customFormat="1" ht="11.25" customHeight="1">
      <c r="B86" s="145"/>
      <c r="C86" s="10" t="s">
        <v>28</v>
      </c>
      <c r="D86" s="400">
        <f>SUM('Data 1'!D322,'Data 5'!D63)</f>
        <v>37313.777751000001</v>
      </c>
      <c r="E86" s="400">
        <f>SUM('Data 1'!E322,'Data 5'!E63)</f>
        <v>45019.420393000008</v>
      </c>
      <c r="F86" s="400">
        <f>SUM('Data 1'!F322,'Data 5'!F63)</f>
        <v>37276.805715999995</v>
      </c>
      <c r="G86" s="400">
        <f>SUM('Data 1'!G322,'Data 5'!G63)</f>
        <v>12670.637397999999</v>
      </c>
      <c r="H86" s="400">
        <f>SUM('Data 1'!H322,'Data 5'!H63)</f>
        <v>5021.9944299999997</v>
      </c>
      <c r="I86" s="401">
        <f t="shared" si="39"/>
        <v>-60.365100253025176</v>
      </c>
    </row>
    <row r="87" spans="2:9" s="414" customFormat="1" ht="11.25" customHeight="1">
      <c r="B87" s="145"/>
      <c r="C87" s="10" t="s">
        <v>98</v>
      </c>
      <c r="D87" s="400">
        <f>SUM('Data 1'!D323,'Data 5'!D67,'Data 5'!D69)</f>
        <v>6754.6440300000004</v>
      </c>
      <c r="E87" s="400">
        <f>SUM('Data 1'!E323,'Data 5'!E67,'Data 5'!E69)</f>
        <v>7001.5774490000003</v>
      </c>
      <c r="F87" s="400">
        <f>SUM('Data 1'!F323,'Data 5'!F67,'Data 5'!F69)</f>
        <v>6682.8904480000001</v>
      </c>
      <c r="G87" s="400">
        <f>SUM('Data 1'!G323,'Data 5'!G67,'Data 5'!G69)</f>
        <v>5695.5958879999989</v>
      </c>
      <c r="H87" s="400">
        <f>SUM('Data 1'!H323,'Data 5'!H67,'Data 5'!H69)</f>
        <v>4193.6165380000002</v>
      </c>
      <c r="I87" s="401">
        <f t="shared" si="39"/>
        <v>-26.370890413143698</v>
      </c>
    </row>
    <row r="88" spans="2:9" s="414" customFormat="1" ht="11.25" customHeight="1">
      <c r="B88" s="145"/>
      <c r="C88" s="10" t="s">
        <v>44</v>
      </c>
      <c r="D88" s="400">
        <f>SUM('Data 1'!D324,'Data 5'!D68)</f>
        <v>29006.482094000003</v>
      </c>
      <c r="E88" s="400">
        <f>SUM('Data 1'!E324,'Data 5'!E68)</f>
        <v>37065.787082999996</v>
      </c>
      <c r="F88" s="400">
        <f>SUM('Data 1'!F324,'Data 5'!F68)</f>
        <v>30044.467194999997</v>
      </c>
      <c r="G88" s="400">
        <f>SUM('Data 1'!G324,'Data 5'!G68)</f>
        <v>55241.970218000002</v>
      </c>
      <c r="H88" s="400">
        <f>SUM('Data 1'!H324,'Data 5'!H68)</f>
        <v>44023.807535999993</v>
      </c>
      <c r="I88" s="401">
        <f t="shared" si="39"/>
        <v>-20.307318217887694</v>
      </c>
    </row>
    <row r="89" spans="2:9" s="414" customFormat="1" ht="11.25" customHeight="1">
      <c r="B89" s="145"/>
      <c r="C89" s="10" t="s">
        <v>68</v>
      </c>
      <c r="D89" s="400">
        <f>D70</f>
        <v>17.891936000000001</v>
      </c>
      <c r="E89" s="400">
        <f t="shared" ref="E89:H89" si="40">E70</f>
        <v>20.233057000000002</v>
      </c>
      <c r="F89" s="400">
        <f t="shared" si="40"/>
        <v>23.655544000000003</v>
      </c>
      <c r="G89" s="400">
        <f t="shared" si="40"/>
        <v>23.248718</v>
      </c>
      <c r="H89" s="400">
        <f t="shared" si="40"/>
        <v>19.540226999999998</v>
      </c>
      <c r="I89" s="401">
        <f t="shared" si="39"/>
        <v>-15.951378480310197</v>
      </c>
    </row>
    <row r="90" spans="2:9" s="414" customFormat="1" ht="11.25" customHeight="1">
      <c r="B90" s="145"/>
      <c r="C90" s="10" t="s">
        <v>50</v>
      </c>
      <c r="D90" s="400">
        <f>SUM('Data 1'!D325,'Data 5'!D71)</f>
        <v>47696.660308999999</v>
      </c>
      <c r="E90" s="400">
        <f>SUM('Data 1'!E325,'Data 5'!E71)</f>
        <v>47906.955560999901</v>
      </c>
      <c r="F90" s="400">
        <f>SUM('Data 1'!F325,'Data 5'!F71)</f>
        <v>49581.488866</v>
      </c>
      <c r="G90" s="400">
        <f>SUM('Data 1'!G325,'Data 5'!G71)</f>
        <v>54245.055898999999</v>
      </c>
      <c r="H90" s="400">
        <f>SUM('Data 1'!H325,'Data 5'!H71)</f>
        <v>54878.724012000006</v>
      </c>
      <c r="I90" s="401">
        <f t="shared" si="39"/>
        <v>1.1681582818899638</v>
      </c>
    </row>
    <row r="91" spans="2:9" s="414" customFormat="1" ht="11.25" customHeight="1">
      <c r="B91" s="145"/>
      <c r="C91" s="10" t="s">
        <v>51</v>
      </c>
      <c r="D91" s="400">
        <f>SUM('Data 1'!D326,'Data 5'!D72)</f>
        <v>7977.4671850000004</v>
      </c>
      <c r="E91" s="400">
        <f>SUM('Data 1'!E326,'Data 5'!E72)</f>
        <v>8397.7526930000004</v>
      </c>
      <c r="F91" s="400">
        <f>SUM('Data 1'!F326,'Data 5'!F72)</f>
        <v>7766.1784250000101</v>
      </c>
      <c r="G91" s="400">
        <f>SUM('Data 1'!G326,'Data 5'!G72)</f>
        <v>9252.0188810000091</v>
      </c>
      <c r="H91" s="400">
        <f>SUM('Data 1'!H326,'Data 5'!H72)</f>
        <v>15261.684964</v>
      </c>
      <c r="I91" s="401">
        <f t="shared" si="39"/>
        <v>64.955186109071519</v>
      </c>
    </row>
    <row r="92" spans="2:9" s="414" customFormat="1" ht="11.25" customHeight="1">
      <c r="B92" s="145"/>
      <c r="C92" s="10" t="s">
        <v>66</v>
      </c>
      <c r="D92" s="400">
        <f>'Data 1'!D327</f>
        <v>5071.2017019999994</v>
      </c>
      <c r="E92" s="400">
        <f>'Data 1'!E327</f>
        <v>5347.9524650000003</v>
      </c>
      <c r="F92" s="400">
        <f>'Data 1'!F327</f>
        <v>4424.3266739999999</v>
      </c>
      <c r="G92" s="400">
        <f>'Data 1'!G327</f>
        <v>5166.4311449999996</v>
      </c>
      <c r="H92" s="400">
        <f>'Data 1'!H327</f>
        <v>4538.3012419999995</v>
      </c>
      <c r="I92" s="401">
        <f t="shared" si="39"/>
        <v>-12.15790717752806</v>
      </c>
    </row>
    <row r="93" spans="2:9" s="414" customFormat="1" ht="11.25" customHeight="1">
      <c r="B93" s="145"/>
      <c r="C93" s="10" t="s">
        <v>75</v>
      </c>
      <c r="D93" s="400">
        <f>SUM('Data 1'!D328,'Data 5'!D73)</f>
        <v>3425.6648279999999</v>
      </c>
      <c r="E93" s="400">
        <f>SUM('Data 1'!E328,'Data 5'!E73)</f>
        <v>3610.347882</v>
      </c>
      <c r="F93" s="400">
        <f>SUM('Data 1'!F328,'Data 5'!F73)</f>
        <v>3557.4391100000003</v>
      </c>
      <c r="G93" s="400">
        <f>SUM('Data 1'!G328,'Data 5'!G73)</f>
        <v>3617.7152289999999</v>
      </c>
      <c r="H93" s="400">
        <f>SUM('Data 1'!H328,'Data 5'!H73)</f>
        <v>4477.7497750000002</v>
      </c>
      <c r="I93" s="401">
        <f t="shared" si="39"/>
        <v>23.772864682821627</v>
      </c>
    </row>
    <row r="94" spans="2:9" s="414" customFormat="1" ht="11.25" customHeight="1">
      <c r="B94" s="145"/>
      <c r="C94" s="10" t="s">
        <v>73</v>
      </c>
      <c r="D94" s="400">
        <f>SUM('Data 1'!D329,'Data 5'!D74)</f>
        <v>25908.643558999996</v>
      </c>
      <c r="E94" s="400">
        <f>SUM('Data 1'!E329,'Data 5'!E74)</f>
        <v>28211.806703000002</v>
      </c>
      <c r="F94" s="400">
        <f>SUM('Data 1'!F329,'Data 5'!F74)</f>
        <v>29006.757239999999</v>
      </c>
      <c r="G94" s="400">
        <f>SUM('Data 1'!G329,'Data 5'!G74)</f>
        <v>29615.139048999998</v>
      </c>
      <c r="H94" s="400">
        <f>SUM('Data 1'!H329,'Data 5'!H74)</f>
        <v>26952.555092000002</v>
      </c>
      <c r="I94" s="401">
        <f t="shared" si="39"/>
        <v>-8.9906177803001146</v>
      </c>
    </row>
    <row r="95" spans="2:9" s="414" customFormat="1" ht="11.25" customHeight="1">
      <c r="B95" s="145"/>
      <c r="C95" s="10" t="s">
        <v>90</v>
      </c>
      <c r="D95" s="400">
        <f>SUM('Data 1'!D330,'Data 5'!D75)</f>
        <v>2606.9637645000003</v>
      </c>
      <c r="E95" s="400">
        <f>SUM('Data 1'!E330,'Data 5'!E75)</f>
        <v>2607.9845150000001</v>
      </c>
      <c r="F95" s="400">
        <f>SUM('Data 1'!F330,'Data 5'!F75)</f>
        <v>2434.9627860000001</v>
      </c>
      <c r="G95" s="400">
        <f>SUM('Data 1'!G330,'Data 5'!G75)</f>
        <v>2222.463307</v>
      </c>
      <c r="H95" s="400">
        <f>SUM('Data 1'!H330,'Data 5'!H75)</f>
        <v>2014.7663715000001</v>
      </c>
      <c r="I95" s="401">
        <f t="shared" si="39"/>
        <v>-9.3453482379585502</v>
      </c>
    </row>
    <row r="96" spans="2:9" s="414" customFormat="1" ht="11.25" customHeight="1">
      <c r="B96" s="145"/>
      <c r="C96" s="10" t="s">
        <v>91</v>
      </c>
      <c r="D96" s="400">
        <f>SUM('Data 1'!D331,'Data 5'!D76)</f>
        <v>785.39502949999996</v>
      </c>
      <c r="E96" s="400">
        <f>SUM('Data 1'!E331,'Data 5'!E76)</f>
        <v>877.00608699999998</v>
      </c>
      <c r="F96" s="400">
        <f>SUM('Data 1'!F331,'Data 5'!F76)</f>
        <v>874.075245</v>
      </c>
      <c r="G96" s="400">
        <f>SUM('Data 1'!G331,'Data 5'!G76)</f>
        <v>889.81374999999991</v>
      </c>
      <c r="H96" s="400">
        <f>SUM('Data 1'!H331,'Data 5'!H76)</f>
        <v>725.40544150000005</v>
      </c>
      <c r="I96" s="401">
        <f t="shared" si="39"/>
        <v>-18.47671026661477</v>
      </c>
    </row>
    <row r="97" spans="2:13" s="414" customFormat="1" ht="11.25" customHeight="1">
      <c r="B97" s="145"/>
      <c r="C97" s="402" t="s">
        <v>72</v>
      </c>
      <c r="D97" s="403">
        <f>SUM(D83:D96)</f>
        <v>261835.69148399998</v>
      </c>
      <c r="E97" s="403">
        <f t="shared" ref="E97:H97" si="41">SUM(E83:E96)</f>
        <v>262305.75810299988</v>
      </c>
      <c r="F97" s="403">
        <f t="shared" si="41"/>
        <v>260981.90202956606</v>
      </c>
      <c r="G97" s="403">
        <f t="shared" si="41"/>
        <v>260828.83657885398</v>
      </c>
      <c r="H97" s="403">
        <f t="shared" si="41"/>
        <v>251159.52420790403</v>
      </c>
      <c r="I97" s="404">
        <f t="shared" si="39"/>
        <v>-3.7071485261280568</v>
      </c>
    </row>
    <row r="98" spans="2:13" s="414" customFormat="1" ht="11.25" customHeight="1">
      <c r="B98" s="145"/>
      <c r="C98" s="405" t="s">
        <v>153</v>
      </c>
      <c r="D98" s="400">
        <f>'Data 1'!D333</f>
        <v>-4827.5850676680002</v>
      </c>
      <c r="E98" s="400">
        <f>'Data 1'!E333</f>
        <v>-3607.5809876580001</v>
      </c>
      <c r="F98" s="400">
        <f>'Data 1'!F333</f>
        <v>-3198.4323789730001</v>
      </c>
      <c r="G98" s="400">
        <f>'Data 1'!G333</f>
        <v>-3027.310623246</v>
      </c>
      <c r="H98" s="400">
        <f>'Data 1'!H333</f>
        <v>-4619.9751114130004</v>
      </c>
      <c r="I98" s="401">
        <f t="shared" si="39"/>
        <v>52.609880067717782</v>
      </c>
    </row>
    <row r="99" spans="2:13" s="414" customFormat="1" ht="11.25" customHeight="1">
      <c r="B99" s="145"/>
      <c r="C99" s="406" t="s">
        <v>289</v>
      </c>
      <c r="D99" s="407">
        <f>'Data 1'!D335</f>
        <v>7658.0436909999999</v>
      </c>
      <c r="E99" s="407">
        <f>'Data 1'!E335</f>
        <v>9168.9935229999992</v>
      </c>
      <c r="F99" s="407">
        <f>'Data 1'!F335</f>
        <v>11102.311146</v>
      </c>
      <c r="G99" s="407">
        <f>'Data 1'!G335</f>
        <v>6862.325049</v>
      </c>
      <c r="H99" s="407">
        <f>'Data 1'!H335</f>
        <v>3279.584887</v>
      </c>
      <c r="I99" s="408">
        <f t="shared" si="39"/>
        <v>-52.208837914521247</v>
      </c>
    </row>
    <row r="100" spans="2:13" s="414" customFormat="1" ht="11.25" customHeight="1">
      <c r="B100" s="145"/>
      <c r="C100" s="409" t="s">
        <v>40</v>
      </c>
      <c r="D100" s="410">
        <f>SUM(D97:D99)</f>
        <v>264666.15010733198</v>
      </c>
      <c r="E100" s="410">
        <f>SUM(E97:E99)</f>
        <v>267867.17063834186</v>
      </c>
      <c r="F100" s="410">
        <f>SUM(F97:F99)</f>
        <v>268885.78079659306</v>
      </c>
      <c r="G100" s="410">
        <f>SUM(G97:G99)</f>
        <v>264663.85100460798</v>
      </c>
      <c r="H100" s="410">
        <f>SUM(H97:H99)</f>
        <v>249819.13398349105</v>
      </c>
      <c r="I100" s="411">
        <f t="shared" si="39"/>
        <v>-5.608894816866572</v>
      </c>
    </row>
    <row r="101" spans="2:13" s="414" customFormat="1" ht="11.25" customHeight="1">
      <c r="B101" s="145"/>
      <c r="C101" s="44"/>
      <c r="D101" s="420">
        <f>D100-SUM('Data 1'!D336,'Data 5'!D21,'Data 5'!D38,'Data 5'!D46,'Data 5'!D58)</f>
        <v>0</v>
      </c>
      <c r="E101" s="420">
        <f>E100-SUM('Data 1'!E336,'Data 5'!E21,'Data 5'!E38,'Data 5'!E46,'Data 5'!E58)</f>
        <v>0</v>
      </c>
      <c r="F101" s="420">
        <f>F100-SUM('Data 1'!F336,'Data 5'!F21,'Data 5'!F38,'Data 5'!F46,'Data 5'!F58)</f>
        <v>0</v>
      </c>
      <c r="G101" s="420">
        <f>G100-SUM('Data 1'!G336,'Data 5'!G21,'Data 5'!G38,'Data 5'!G46,'Data 5'!G58)</f>
        <v>0</v>
      </c>
      <c r="H101" s="420">
        <f>H100-SUM('Data 1'!H336,'Data 5'!H21,'Data 5'!H38,'Data 5'!H46,'Data 5'!H58)</f>
        <v>0</v>
      </c>
      <c r="I101" s="321"/>
    </row>
    <row r="102" spans="2:13" s="414" customFormat="1" ht="11.25" customHeight="1">
      <c r="B102" s="145"/>
      <c r="C102" s="215" t="s">
        <v>342</v>
      </c>
      <c r="D102" s="320"/>
      <c r="E102" s="320"/>
      <c r="F102" s="320"/>
      <c r="G102" s="420">
        <f>G100-'Data 1'!W24</f>
        <v>-4.9999798648059368E-6</v>
      </c>
      <c r="H102" s="420">
        <f>H100-'Data 1'!W45</f>
        <v>-2.9999937396496534E-6</v>
      </c>
      <c r="K102" s="478"/>
      <c r="L102" s="478"/>
      <c r="M102" s="477"/>
    </row>
    <row r="103" spans="2:13" s="414" customFormat="1" ht="11.25" customHeight="1">
      <c r="B103" s="145"/>
      <c r="C103" s="225"/>
      <c r="D103" s="222">
        <v>2016</v>
      </c>
      <c r="E103" s="222">
        <v>2017</v>
      </c>
      <c r="F103" s="222">
        <v>2018</v>
      </c>
      <c r="G103" s="222">
        <v>2019</v>
      </c>
      <c r="H103" s="222">
        <v>2020</v>
      </c>
      <c r="K103" s="478"/>
      <c r="L103" s="478"/>
      <c r="M103" s="477"/>
    </row>
    <row r="104" spans="2:13" s="414" customFormat="1" ht="11.25" customHeight="1">
      <c r="B104" s="145"/>
      <c r="C104" s="10" t="s">
        <v>26</v>
      </c>
      <c r="D104" s="401">
        <f t="shared" ref="D104:H117" si="42">(D83/D$97)*100</f>
        <v>13.79295852375377</v>
      </c>
      <c r="E104" s="401">
        <f t="shared" si="42"/>
        <v>7.0340120949289169</v>
      </c>
      <c r="F104" s="401">
        <f t="shared" si="42"/>
        <v>13.072646446575037</v>
      </c>
      <c r="G104" s="401">
        <f t="shared" si="42"/>
        <v>9.4771021447388648</v>
      </c>
      <c r="H104" s="401">
        <f t="shared" si="42"/>
        <v>12.163051616214451</v>
      </c>
    </row>
    <row r="105" spans="2:13" s="414" customFormat="1" ht="11.25" customHeight="1">
      <c r="B105" s="145"/>
      <c r="C105" s="10" t="s">
        <v>67</v>
      </c>
      <c r="D105" s="401">
        <f t="shared" si="42"/>
        <v>1.1970594583433749</v>
      </c>
      <c r="E105" s="401">
        <f t="shared" si="42"/>
        <v>0.85738278663974143</v>
      </c>
      <c r="F105" s="401">
        <f t="shared" si="42"/>
        <v>0.76403612403288579</v>
      </c>
      <c r="G105" s="401">
        <f t="shared" si="42"/>
        <v>0.63087543460499607</v>
      </c>
      <c r="H105" s="401">
        <f t="shared" si="42"/>
        <v>1.0932973384616664</v>
      </c>
    </row>
    <row r="106" spans="2:13" s="414" customFormat="1" ht="11.25" customHeight="1">
      <c r="B106" s="145"/>
      <c r="C106" s="10" t="s">
        <v>27</v>
      </c>
      <c r="D106" s="401">
        <f t="shared" si="42"/>
        <v>21.395739343817961</v>
      </c>
      <c r="E106" s="401">
        <f t="shared" si="42"/>
        <v>21.173515765594171</v>
      </c>
      <c r="F106" s="401">
        <f t="shared" si="42"/>
        <v>20.383642320138108</v>
      </c>
      <c r="G106" s="401">
        <f t="shared" si="42"/>
        <v>21.40262844676807</v>
      </c>
      <c r="H106" s="401">
        <f t="shared" si="42"/>
        <v>22.199753639780674</v>
      </c>
    </row>
    <row r="107" spans="2:13" s="414" customFormat="1" ht="11.25" customHeight="1">
      <c r="B107" s="145"/>
      <c r="C107" s="10" t="s">
        <v>28</v>
      </c>
      <c r="D107" s="401">
        <f t="shared" si="42"/>
        <v>14.250837057208503</v>
      </c>
      <c r="E107" s="401">
        <f t="shared" si="42"/>
        <v>17.16295544504295</v>
      </c>
      <c r="F107" s="401">
        <f t="shared" si="42"/>
        <v>14.283291456653185</v>
      </c>
      <c r="G107" s="401">
        <f t="shared" si="42"/>
        <v>4.8578361059281887</v>
      </c>
      <c r="H107" s="401">
        <f t="shared" si="42"/>
        <v>1.9995237870585028</v>
      </c>
    </row>
    <row r="108" spans="2:13" s="414" customFormat="1" ht="11.25" customHeight="1">
      <c r="B108" s="145"/>
      <c r="C108" s="10" t="s">
        <v>98</v>
      </c>
      <c r="D108" s="401">
        <f t="shared" si="42"/>
        <v>2.579726236601612</v>
      </c>
      <c r="E108" s="401">
        <f t="shared" si="42"/>
        <v>2.6692427568634174</v>
      </c>
      <c r="F108" s="401">
        <f t="shared" si="42"/>
        <v>2.5606719837772163</v>
      </c>
      <c r="G108" s="401">
        <f t="shared" si="42"/>
        <v>2.1836526830031318</v>
      </c>
      <c r="H108" s="401">
        <f t="shared" si="42"/>
        <v>1.6697023739098271</v>
      </c>
    </row>
    <row r="109" spans="2:13" s="414" customFormat="1" ht="11.25" customHeight="1">
      <c r="B109" s="145"/>
      <c r="C109" s="10" t="s">
        <v>44</v>
      </c>
      <c r="D109" s="401">
        <f t="shared" si="42"/>
        <v>11.078123814824728</v>
      </c>
      <c r="E109" s="401">
        <f t="shared" si="42"/>
        <v>14.130756164508343</v>
      </c>
      <c r="F109" s="401">
        <f t="shared" si="42"/>
        <v>11.512088371398384</v>
      </c>
      <c r="G109" s="401">
        <f t="shared" si="42"/>
        <v>21.179395247311625</v>
      </c>
      <c r="H109" s="401">
        <f t="shared" si="42"/>
        <v>17.528225407672817</v>
      </c>
    </row>
    <row r="110" spans="2:13" s="414" customFormat="1" ht="11.25" customHeight="1">
      <c r="B110" s="145"/>
      <c r="C110" s="10" t="s">
        <v>68</v>
      </c>
      <c r="D110" s="401">
        <f t="shared" si="42"/>
        <v>6.8332685657155057E-3</v>
      </c>
      <c r="E110" s="401">
        <f t="shared" si="42"/>
        <v>7.7135390188632705E-3</v>
      </c>
      <c r="F110" s="401">
        <f t="shared" si="42"/>
        <v>9.0640553295224732E-3</v>
      </c>
      <c r="G110" s="401">
        <f t="shared" si="42"/>
        <v>8.9134001841745854E-3</v>
      </c>
      <c r="H110" s="401">
        <f t="shared" si="42"/>
        <v>7.7800063770725458E-3</v>
      </c>
    </row>
    <row r="111" spans="2:13" s="414" customFormat="1" ht="11.25" customHeight="1">
      <c r="B111" s="145"/>
      <c r="C111" s="10" t="s">
        <v>50</v>
      </c>
      <c r="D111" s="401">
        <f t="shared" si="42"/>
        <v>18.21625617144506</v>
      </c>
      <c r="E111" s="401">
        <f t="shared" si="42"/>
        <v>18.263783421097539</v>
      </c>
      <c r="F111" s="401">
        <f t="shared" si="42"/>
        <v>18.998056371120718</v>
      </c>
      <c r="G111" s="401">
        <f t="shared" si="42"/>
        <v>20.797185085246735</v>
      </c>
      <c r="H111" s="401">
        <f t="shared" si="42"/>
        <v>21.850146509503922</v>
      </c>
    </row>
    <row r="112" spans="2:13" s="414" customFormat="1" ht="11.25" customHeight="1">
      <c r="B112" s="145"/>
      <c r="C112" s="10" t="s">
        <v>51</v>
      </c>
      <c r="D112" s="401">
        <f t="shared" si="42"/>
        <v>3.0467455142522004</v>
      </c>
      <c r="E112" s="401">
        <f t="shared" si="42"/>
        <v>3.201512903770281</v>
      </c>
      <c r="F112" s="401">
        <f t="shared" si="42"/>
        <v>2.9757536306560435</v>
      </c>
      <c r="G112" s="401">
        <f t="shared" si="42"/>
        <v>3.547161043369885</v>
      </c>
      <c r="H112" s="401">
        <f t="shared" si="42"/>
        <v>6.0764906336447471</v>
      </c>
    </row>
    <row r="113" spans="1:8" s="414" customFormat="1" ht="11.25" customHeight="1">
      <c r="B113" s="145"/>
      <c r="C113" s="10" t="s">
        <v>66</v>
      </c>
      <c r="D113" s="401">
        <f t="shared" si="42"/>
        <v>1.9367877897998049</v>
      </c>
      <c r="E113" s="401">
        <f t="shared" si="42"/>
        <v>2.038823891506039</v>
      </c>
      <c r="F113" s="401">
        <f t="shared" si="42"/>
        <v>1.6952618704950577</v>
      </c>
      <c r="G113" s="401">
        <f t="shared" si="42"/>
        <v>1.9807745235401071</v>
      </c>
      <c r="H113" s="401">
        <f t="shared" si="42"/>
        <v>1.8069397353386047</v>
      </c>
    </row>
    <row r="114" spans="1:8" s="414" customFormat="1" ht="11.25" customHeight="1">
      <c r="B114" s="145"/>
      <c r="C114" s="10" t="s">
        <v>75</v>
      </c>
      <c r="D114" s="401">
        <f t="shared" si="42"/>
        <v>1.3083261523990257</v>
      </c>
      <c r="E114" s="401">
        <f t="shared" si="42"/>
        <v>1.376389107166424</v>
      </c>
      <c r="F114" s="401">
        <f t="shared" si="42"/>
        <v>1.3630980088408529</v>
      </c>
      <c r="G114" s="401">
        <f t="shared" si="42"/>
        <v>1.3870073863195296</v>
      </c>
      <c r="H114" s="401">
        <f t="shared" si="42"/>
        <v>1.7828309673390774</v>
      </c>
    </row>
    <row r="115" spans="1:8" s="414" customFormat="1" ht="11.25" customHeight="1">
      <c r="B115" s="145"/>
      <c r="C115" s="10" t="s">
        <v>73</v>
      </c>
      <c r="D115" s="401">
        <f t="shared" si="42"/>
        <v>9.8950007205504278</v>
      </c>
      <c r="E115" s="401">
        <f t="shared" si="42"/>
        <v>10.755313534490554</v>
      </c>
      <c r="F115" s="401">
        <f t="shared" si="42"/>
        <v>11.11447077917069</v>
      </c>
      <c r="G115" s="401">
        <f t="shared" si="42"/>
        <v>11.354242666357454</v>
      </c>
      <c r="H115" s="401">
        <f t="shared" si="42"/>
        <v>10.731249462667918</v>
      </c>
    </row>
    <row r="116" spans="1:8" s="414" customFormat="1" ht="11.25" customHeight="1">
      <c r="B116" s="145"/>
      <c r="C116" s="10" t="s">
        <v>90</v>
      </c>
      <c r="D116" s="401">
        <f t="shared" si="42"/>
        <v>0.99564874052294905</v>
      </c>
      <c r="E116" s="401">
        <f t="shared" si="42"/>
        <v>0.9942536274693291</v>
      </c>
      <c r="F116" s="401">
        <f t="shared" si="42"/>
        <v>0.9330006284206438</v>
      </c>
      <c r="G116" s="401">
        <f t="shared" si="42"/>
        <v>0.85207729948529021</v>
      </c>
      <c r="H116" s="401">
        <f t="shared" si="42"/>
        <v>0.80218593256779036</v>
      </c>
    </row>
    <row r="117" spans="1:8" s="414" customFormat="1" ht="11.25" customHeight="1">
      <c r="B117" s="145"/>
      <c r="C117" s="10" t="s">
        <v>91</v>
      </c>
      <c r="D117" s="401">
        <f t="shared" si="42"/>
        <v>0.29995720791487024</v>
      </c>
      <c r="E117" s="401">
        <f t="shared" si="42"/>
        <v>0.33434496190343826</v>
      </c>
      <c r="F117" s="401">
        <f t="shared" si="42"/>
        <v>0.33491795339164093</v>
      </c>
      <c r="G117" s="401">
        <f t="shared" si="42"/>
        <v>0.34114853314195986</v>
      </c>
      <c r="H117" s="401">
        <f t="shared" si="42"/>
        <v>0.28882258946291295</v>
      </c>
    </row>
    <row r="118" spans="1:8" s="17" customFormat="1" ht="11.25">
      <c r="A118" s="13"/>
      <c r="B118" s="13"/>
      <c r="C118" s="221" t="s">
        <v>149</v>
      </c>
      <c r="D118" s="232">
        <f>SUM(D104,D110:D114,D117)</f>
        <v>38.60786462813045</v>
      </c>
      <c r="E118" s="232">
        <f>SUM(E104,E110:E114,E117)</f>
        <v>32.256579919391498</v>
      </c>
      <c r="F118" s="232">
        <f>SUM(F104,F110:F114,F117)</f>
        <v>38.448798336408871</v>
      </c>
      <c r="G118" s="232">
        <f>SUM(G104,G110:G114,G117)</f>
        <v>37.539292116541255</v>
      </c>
      <c r="H118" s="232">
        <f>SUM(H104,H110:H114,H117)</f>
        <v>43.976062057880789</v>
      </c>
    </row>
    <row r="119" spans="1:8" s="17" customFormat="1" ht="11.25">
      <c r="A119" s="13"/>
      <c r="B119" s="13"/>
      <c r="C119" s="221" t="s">
        <v>150</v>
      </c>
      <c r="D119" s="232">
        <f>SUM(D105:D109,D115:D116)</f>
        <v>61.392135371869564</v>
      </c>
      <c r="E119" s="232">
        <f>SUM(E105:E109,E115:E116)</f>
        <v>67.743420080608502</v>
      </c>
      <c r="F119" s="232">
        <f>SUM(F105:F109,F115:F116)</f>
        <v>61.551201663591115</v>
      </c>
      <c r="G119" s="232">
        <f>SUM(G105:G109,G115:G116)</f>
        <v>62.460707883458753</v>
      </c>
      <c r="H119" s="232">
        <f>SUM(H105:H109,H115:H116)</f>
        <v>56.023937942119197</v>
      </c>
    </row>
    <row r="120" spans="1:8" s="17" customFormat="1" ht="11.25">
      <c r="A120" s="13"/>
      <c r="B120" s="13"/>
      <c r="C120" s="221" t="s">
        <v>151</v>
      </c>
      <c r="D120" s="232">
        <f t="shared" ref="D120" si="43">SUM(D118:D119)</f>
        <v>100.00000000000001</v>
      </c>
      <c r="E120" s="232">
        <f t="shared" ref="E120:H120" si="44">SUM(E118:E119)</f>
        <v>100</v>
      </c>
      <c r="F120" s="232">
        <f t="shared" si="44"/>
        <v>99.999999999999986</v>
      </c>
      <c r="G120" s="232">
        <f t="shared" si="44"/>
        <v>100</v>
      </c>
      <c r="H120" s="232">
        <f t="shared" si="44"/>
        <v>99.999999999999986</v>
      </c>
    </row>
    <row r="121" spans="1:8" s="17" customFormat="1" ht="11.25">
      <c r="A121" s="13"/>
      <c r="B121" s="13"/>
      <c r="C121" s="219" t="s">
        <v>343</v>
      </c>
      <c r="D121" s="215"/>
      <c r="E121" s="216"/>
      <c r="F121" s="216"/>
      <c r="G121" s="216"/>
      <c r="H121" s="216"/>
    </row>
    <row r="122" spans="1:8" s="17" customFormat="1" ht="11.25">
      <c r="A122" s="13"/>
      <c r="B122" s="13"/>
      <c r="C122" s="219" t="s">
        <v>147</v>
      </c>
      <c r="D122" s="215"/>
      <c r="E122" s="216"/>
      <c r="F122" s="216"/>
      <c r="G122" s="216"/>
      <c r="H122" s="216"/>
    </row>
    <row r="123" spans="1:8" s="17" customFormat="1" ht="11.25">
      <c r="A123" s="13"/>
      <c r="B123" s="13"/>
      <c r="C123" s="219"/>
      <c r="D123" s="215"/>
      <c r="E123" s="216"/>
      <c r="F123" s="216"/>
      <c r="G123" s="216"/>
      <c r="H123" s="216"/>
    </row>
    <row r="124" spans="1:8" s="17" customFormat="1" ht="11.25">
      <c r="A124" s="13"/>
      <c r="B124" s="13"/>
      <c r="C124" s="221" t="s">
        <v>338</v>
      </c>
      <c r="D124" s="232">
        <f>SUM(D104:D106,D110:D114,D117)</f>
        <v>61.20066343029179</v>
      </c>
      <c r="E124" s="232">
        <f t="shared" ref="E124:H124" si="45">SUM(E104:E106,E110:E114,E117)</f>
        <v>54.287478471625413</v>
      </c>
      <c r="F124" s="232">
        <f t="shared" si="45"/>
        <v>59.596476780579863</v>
      </c>
      <c r="G124" s="232">
        <f>SUM(G104:G106,G110:G114,G117)</f>
        <v>59.572795997914319</v>
      </c>
      <c r="H124" s="232">
        <f t="shared" si="45"/>
        <v>67.26911303612313</v>
      </c>
    </row>
    <row r="125" spans="1:8" s="17" customFormat="1" ht="11.25">
      <c r="A125" s="13"/>
      <c r="B125" s="13"/>
      <c r="C125" s="221" t="s">
        <v>339</v>
      </c>
      <c r="D125" s="232">
        <f>SUM(D107:D109,D115:D116)</f>
        <v>38.799336569708224</v>
      </c>
      <c r="E125" s="232">
        <f t="shared" ref="E125:H125" si="46">SUM(E107:E109,E115:E116)</f>
        <v>45.712521528374594</v>
      </c>
      <c r="F125" s="232">
        <f t="shared" si="46"/>
        <v>40.403523219420116</v>
      </c>
      <c r="G125" s="232">
        <f t="shared" si="46"/>
        <v>40.427204002085688</v>
      </c>
      <c r="H125" s="232">
        <f t="shared" si="46"/>
        <v>32.730886963876856</v>
      </c>
    </row>
    <row r="126" spans="1:8" s="17" customFormat="1" ht="11.25">
      <c r="A126" s="13"/>
      <c r="B126" s="13"/>
      <c r="C126" s="219" t="s">
        <v>344</v>
      </c>
      <c r="D126" s="215"/>
      <c r="E126" s="216"/>
      <c r="F126" s="216"/>
      <c r="G126" s="216"/>
      <c r="H126" s="216"/>
    </row>
    <row r="127" spans="1:8" s="17" customFormat="1" ht="11.25">
      <c r="A127" s="13"/>
      <c r="B127" s="13"/>
      <c r="C127" s="219" t="s">
        <v>341</v>
      </c>
      <c r="D127" s="215"/>
      <c r="E127" s="216"/>
      <c r="F127" s="216"/>
      <c r="G127" s="216"/>
      <c r="H127" s="216"/>
    </row>
    <row r="128" spans="1:8" s="17" customFormat="1" ht="11.25">
      <c r="A128" s="13"/>
      <c r="B128" s="13"/>
      <c r="C128" s="219"/>
      <c r="D128" s="215"/>
      <c r="E128" s="216"/>
      <c r="F128" s="216"/>
      <c r="G128" s="216"/>
      <c r="H128" s="216"/>
    </row>
    <row r="129" spans="3:14" ht="11.25" customHeight="1">
      <c r="C129" s="224" t="s">
        <v>290</v>
      </c>
      <c r="D129" s="321"/>
      <c r="E129" s="320"/>
      <c r="F129" s="320"/>
      <c r="G129" s="321"/>
      <c r="H129" s="320"/>
      <c r="I129" s="320"/>
    </row>
    <row r="130" spans="3:14" ht="11.25" customHeight="1">
      <c r="C130" s="225"/>
      <c r="D130" s="222">
        <v>2016</v>
      </c>
      <c r="E130" s="222">
        <v>2017</v>
      </c>
      <c r="F130" s="222">
        <v>2018</v>
      </c>
      <c r="G130" s="222">
        <v>2019</v>
      </c>
      <c r="H130" s="222">
        <v>2020</v>
      </c>
      <c r="I130" s="412" t="s">
        <v>376</v>
      </c>
    </row>
    <row r="131" spans="3:14" ht="11.25" customHeight="1">
      <c r="C131" s="227" t="s">
        <v>28</v>
      </c>
      <c r="D131" s="322">
        <v>468.4</v>
      </c>
      <c r="E131" s="322">
        <v>468.4</v>
      </c>
      <c r="F131" s="322">
        <v>468.4</v>
      </c>
      <c r="G131" s="322">
        <f>'Data 1'!G52</f>
        <v>468.4</v>
      </c>
      <c r="H131" s="322">
        <f>'Data 1'!G70</f>
        <v>241.19999999999996</v>
      </c>
      <c r="I131" s="323">
        <f t="shared" ref="I131:I143" si="47">((H131/G131)-1)*100</f>
        <v>-48.505550811272421</v>
      </c>
      <c r="J131" s="340"/>
      <c r="K131" s="340"/>
      <c r="L131" s="340"/>
      <c r="M131" s="340"/>
      <c r="N131" s="340"/>
    </row>
    <row r="132" spans="3:14" ht="11.25" customHeight="1">
      <c r="C132" s="324" t="s">
        <v>250</v>
      </c>
      <c r="D132" s="325">
        <v>182</v>
      </c>
      <c r="E132" s="325">
        <v>182</v>
      </c>
      <c r="F132" s="325">
        <v>182</v>
      </c>
      <c r="G132" s="325">
        <v>139.39999999999998</v>
      </c>
      <c r="H132" s="325">
        <v>139.4</v>
      </c>
      <c r="I132" s="326">
        <f t="shared" si="47"/>
        <v>2.2204460492503131E-14</v>
      </c>
      <c r="J132" s="340"/>
      <c r="K132" s="340"/>
      <c r="L132" s="340"/>
      <c r="M132" s="340"/>
      <c r="N132" s="340"/>
    </row>
    <row r="133" spans="3:14" ht="11.25" customHeight="1">
      <c r="C133" s="324" t="s">
        <v>49</v>
      </c>
      <c r="D133" s="325">
        <v>605.4</v>
      </c>
      <c r="E133" s="325">
        <v>605.4</v>
      </c>
      <c r="F133" s="325">
        <v>605.4</v>
      </c>
      <c r="G133" s="325">
        <v>605.40000000000009</v>
      </c>
      <c r="H133" s="325">
        <v>605.4</v>
      </c>
      <c r="I133" s="326">
        <f t="shared" si="47"/>
        <v>-2.2204460492503131E-14</v>
      </c>
      <c r="J133" s="340"/>
      <c r="K133" s="340"/>
      <c r="L133" s="340"/>
      <c r="M133" s="340"/>
      <c r="N133" s="340"/>
    </row>
    <row r="134" spans="3:14" ht="11.25" customHeight="1">
      <c r="C134" s="227" t="s">
        <v>45</v>
      </c>
      <c r="D134" s="322">
        <f t="shared" ref="D134:F134" si="48">SUM(D132:D133)</f>
        <v>787.4</v>
      </c>
      <c r="E134" s="322">
        <f t="shared" si="48"/>
        <v>787.4</v>
      </c>
      <c r="F134" s="322">
        <f t="shared" si="48"/>
        <v>787.4</v>
      </c>
      <c r="G134" s="322">
        <f>SUM(G132:G133)</f>
        <v>744.80000000000007</v>
      </c>
      <c r="H134" s="322">
        <f>SUM(H132:H133)</f>
        <v>744.8</v>
      </c>
      <c r="I134" s="323">
        <f t="shared" si="47"/>
        <v>-1.1102230246251565E-14</v>
      </c>
      <c r="J134" s="340"/>
      <c r="K134" s="340"/>
      <c r="L134" s="340"/>
      <c r="M134" s="340"/>
      <c r="N134" s="340"/>
    </row>
    <row r="135" spans="3:14" ht="11.25" customHeight="1">
      <c r="C135" s="227" t="s">
        <v>44</v>
      </c>
      <c r="D135" s="322">
        <v>857.95</v>
      </c>
      <c r="E135" s="322">
        <v>857.95</v>
      </c>
      <c r="F135" s="322">
        <v>857.95</v>
      </c>
      <c r="G135" s="322">
        <f>'Data 1'!G54</f>
        <v>857.95</v>
      </c>
      <c r="H135" s="322">
        <f>'Data 1'!G72</f>
        <v>857.95</v>
      </c>
      <c r="I135" s="323">
        <f t="shared" si="47"/>
        <v>0</v>
      </c>
      <c r="J135" s="340"/>
      <c r="K135" s="340"/>
      <c r="L135" s="340"/>
      <c r="M135" s="340"/>
      <c r="N135" s="340"/>
    </row>
    <row r="136" spans="3:14" ht="11.25" customHeight="1">
      <c r="C136" s="227" t="s">
        <v>46</v>
      </c>
      <c r="D136" s="322" t="s">
        <v>0</v>
      </c>
      <c r="E136" s="322" t="s">
        <v>0</v>
      </c>
      <c r="F136" s="322" t="s">
        <v>0</v>
      </c>
      <c r="G136" s="322" t="s">
        <v>0</v>
      </c>
      <c r="H136" s="322" t="s">
        <v>0</v>
      </c>
      <c r="I136" s="322" t="s">
        <v>0</v>
      </c>
      <c r="J136" s="340"/>
      <c r="K136" s="340"/>
      <c r="L136" s="340"/>
      <c r="M136" s="340"/>
      <c r="N136" s="340"/>
    </row>
    <row r="137" spans="3:14" ht="11.25" customHeight="1">
      <c r="C137" s="327" t="s">
        <v>50</v>
      </c>
      <c r="D137" s="322">
        <v>3.6474999999999906</v>
      </c>
      <c r="E137" s="322">
        <v>3.6474999999999906</v>
      </c>
      <c r="F137" s="322">
        <v>3.6374999999999909</v>
      </c>
      <c r="G137" s="322">
        <f>'Data 1'!G56</f>
        <v>3.6374999999999909</v>
      </c>
      <c r="H137" s="322">
        <f>'Data 1'!G74</f>
        <v>3.6374999999999909</v>
      </c>
      <c r="I137" s="323">
        <f t="shared" si="47"/>
        <v>0</v>
      </c>
      <c r="J137" s="340"/>
      <c r="K137" s="340"/>
      <c r="L137" s="340"/>
      <c r="M137" s="340"/>
      <c r="N137" s="340"/>
    </row>
    <row r="138" spans="3:14" ht="11.25" customHeight="1">
      <c r="C138" s="327" t="s">
        <v>51</v>
      </c>
      <c r="D138" s="322">
        <v>79.428214999999838</v>
      </c>
      <c r="E138" s="322">
        <v>79.997084999999828</v>
      </c>
      <c r="F138" s="322">
        <v>80.442744999999846</v>
      </c>
      <c r="G138" s="322">
        <f>'Data 1'!G57</f>
        <v>81.253994999999847</v>
      </c>
      <c r="H138" s="322">
        <f>'Data 1'!G75</f>
        <v>103.32712499999984</v>
      </c>
      <c r="I138" s="323">
        <f t="shared" si="47"/>
        <v>27.16559351943253</v>
      </c>
      <c r="J138" s="340"/>
      <c r="K138" s="340"/>
      <c r="L138" s="340"/>
      <c r="M138" s="340"/>
      <c r="N138" s="340"/>
    </row>
    <row r="139" spans="3:14" ht="11.25" customHeight="1">
      <c r="C139" s="220" t="s">
        <v>75</v>
      </c>
      <c r="D139" s="322">
        <v>2.13</v>
      </c>
      <c r="E139" s="322">
        <v>2.13</v>
      </c>
      <c r="F139" s="322">
        <v>2.13</v>
      </c>
      <c r="G139" s="322">
        <f>'Data 1'!G59</f>
        <v>2.13</v>
      </c>
      <c r="H139" s="322">
        <f>'Data 1'!G77</f>
        <v>2.13</v>
      </c>
      <c r="I139" s="323">
        <f t="shared" si="47"/>
        <v>0</v>
      </c>
      <c r="J139" s="340"/>
      <c r="K139" s="340"/>
      <c r="L139" s="340"/>
      <c r="M139" s="340"/>
      <c r="N139" s="340"/>
    </row>
    <row r="140" spans="3:14" ht="11.25" customHeight="1">
      <c r="C140" s="220" t="s">
        <v>73</v>
      </c>
      <c r="D140" s="322">
        <v>11.523</v>
      </c>
      <c r="E140" s="322">
        <v>11.523</v>
      </c>
      <c r="F140" s="322">
        <v>11.523</v>
      </c>
      <c r="G140" s="322">
        <f>'Data 1'!G60</f>
        <v>11.523</v>
      </c>
      <c r="H140" s="322">
        <f>'Data 1'!G78</f>
        <v>11.523</v>
      </c>
      <c r="I140" s="323">
        <f t="shared" si="47"/>
        <v>0</v>
      </c>
      <c r="J140" s="340"/>
      <c r="K140" s="340"/>
      <c r="L140" s="340"/>
      <c r="M140" s="340"/>
      <c r="N140" s="340"/>
    </row>
    <row r="141" spans="3:14" ht="11.25" customHeight="1">
      <c r="C141" s="220" t="s">
        <v>90</v>
      </c>
      <c r="D141" s="322">
        <v>37.400000000000006</v>
      </c>
      <c r="E141" s="322">
        <v>37.400000000000006</v>
      </c>
      <c r="F141" s="322">
        <v>37.400000000000006</v>
      </c>
      <c r="G141" s="322">
        <f>'Data 1'!G61</f>
        <v>37.400000000000006</v>
      </c>
      <c r="H141" s="322">
        <f>'Data 1'!G79</f>
        <v>37.400000000000006</v>
      </c>
      <c r="I141" s="323">
        <f t="shared" si="47"/>
        <v>0</v>
      </c>
      <c r="J141" s="340"/>
      <c r="K141" s="340"/>
      <c r="L141" s="340"/>
      <c r="M141" s="340"/>
      <c r="N141" s="340"/>
    </row>
    <row r="142" spans="3:14" ht="11.25" customHeight="1">
      <c r="C142" s="220" t="s">
        <v>91</v>
      </c>
      <c r="D142" s="322">
        <v>37.400000000000006</v>
      </c>
      <c r="E142" s="322">
        <v>37.400000000000006</v>
      </c>
      <c r="F142" s="322">
        <v>37.400000000000006</v>
      </c>
      <c r="G142" s="322">
        <f>'Data 1'!G62</f>
        <v>37.400000000000006</v>
      </c>
      <c r="H142" s="322">
        <f>'Data 1'!G80</f>
        <v>37.400000000000006</v>
      </c>
      <c r="I142" s="323">
        <f t="shared" si="47"/>
        <v>0</v>
      </c>
      <c r="J142" s="340"/>
      <c r="K142" s="340"/>
      <c r="L142" s="340"/>
      <c r="M142" s="340"/>
      <c r="N142" s="340"/>
    </row>
    <row r="143" spans="3:14" ht="11.25" customHeight="1">
      <c r="C143" s="228" t="s">
        <v>32</v>
      </c>
      <c r="D143" s="230">
        <f>SUM(D131:D131,D134:D142)</f>
        <v>2285.2787150000004</v>
      </c>
      <c r="E143" s="230">
        <f t="shared" ref="E143:G143" si="49">SUM(E131:E131,E134:E142)</f>
        <v>2285.8475850000004</v>
      </c>
      <c r="F143" s="230">
        <f t="shared" si="49"/>
        <v>2286.2832450000001</v>
      </c>
      <c r="G143" s="230">
        <f t="shared" si="49"/>
        <v>2244.4944950000004</v>
      </c>
      <c r="H143" s="230">
        <f>SUM(H131:H131,H134:H142)</f>
        <v>2039.3676249999999</v>
      </c>
      <c r="I143" s="331">
        <f t="shared" si="47"/>
        <v>-9.1391121901593486</v>
      </c>
      <c r="J143" s="340"/>
      <c r="K143" s="340"/>
      <c r="L143" s="340"/>
      <c r="M143" s="340"/>
      <c r="N143" s="340"/>
    </row>
    <row r="144" spans="3:14" ht="11.25" customHeight="1">
      <c r="G144" s="339">
        <f>G143-'Data 1'!G63</f>
        <v>0</v>
      </c>
      <c r="H144" s="339">
        <f>H143-'Data 1'!G81</f>
        <v>0</v>
      </c>
    </row>
    <row r="145" spans="2:14" ht="11.25" customHeight="1">
      <c r="C145" s="224" t="s">
        <v>291</v>
      </c>
      <c r="D145" s="502"/>
      <c r="E145" s="502"/>
      <c r="F145" s="502"/>
      <c r="G145" s="502"/>
      <c r="H145" s="502"/>
      <c r="I145" s="320"/>
    </row>
    <row r="146" spans="2:14" ht="11.25" customHeight="1">
      <c r="C146" s="225"/>
      <c r="D146" s="222">
        <v>2016</v>
      </c>
      <c r="E146" s="222">
        <v>2017</v>
      </c>
      <c r="F146" s="222">
        <v>2018</v>
      </c>
      <c r="G146" s="222">
        <v>2019</v>
      </c>
      <c r="H146" s="222">
        <v>2020</v>
      </c>
      <c r="I146" s="412" t="s">
        <v>376</v>
      </c>
    </row>
    <row r="147" spans="2:14" ht="11.25" customHeight="1">
      <c r="C147" s="227" t="s">
        <v>26</v>
      </c>
      <c r="D147" s="322">
        <v>2.02</v>
      </c>
      <c r="E147" s="322">
        <v>2.02</v>
      </c>
      <c r="F147" s="322">
        <v>2.02</v>
      </c>
      <c r="G147" s="322">
        <f>'Data 1'!I49</f>
        <v>2.02</v>
      </c>
      <c r="H147" s="322">
        <f>'Data 1'!I67</f>
        <v>2.02</v>
      </c>
      <c r="I147" s="323">
        <f t="shared" ref="I147:I152" si="50">((H147/G147)-1)*100</f>
        <v>0</v>
      </c>
      <c r="J147" s="340"/>
      <c r="K147" s="340"/>
      <c r="L147" s="340"/>
      <c r="M147" s="340"/>
      <c r="N147" s="340"/>
    </row>
    <row r="148" spans="2:14" ht="11.25" customHeight="1">
      <c r="C148" s="324" t="s">
        <v>250</v>
      </c>
      <c r="D148" s="325">
        <v>495.92000000000013</v>
      </c>
      <c r="E148" s="325">
        <v>495.92000000000013</v>
      </c>
      <c r="F148" s="325">
        <v>495.92000000000013</v>
      </c>
      <c r="G148" s="325">
        <v>495.92000000000013</v>
      </c>
      <c r="H148" s="325">
        <v>495.92</v>
      </c>
      <c r="I148" s="326">
        <f t="shared" si="50"/>
        <v>-2.2204460492503131E-14</v>
      </c>
      <c r="J148" s="340"/>
      <c r="K148" s="340"/>
      <c r="L148" s="340"/>
      <c r="M148" s="340"/>
      <c r="N148" s="340"/>
    </row>
    <row r="149" spans="2:14" ht="11.25" customHeight="1">
      <c r="C149" s="324" t="s">
        <v>49</v>
      </c>
      <c r="D149" s="325">
        <v>557.1400000000001</v>
      </c>
      <c r="E149" s="325">
        <v>557.1400000000001</v>
      </c>
      <c r="F149" s="325">
        <v>557.1400000000001</v>
      </c>
      <c r="G149" s="325">
        <v>557.1400000000001</v>
      </c>
      <c r="H149" s="325">
        <v>557.1400000000001</v>
      </c>
      <c r="I149" s="326">
        <f t="shared" si="50"/>
        <v>0</v>
      </c>
      <c r="J149" s="340"/>
      <c r="K149" s="340"/>
      <c r="L149" s="340"/>
      <c r="M149" s="340"/>
      <c r="N149" s="340"/>
    </row>
    <row r="150" spans="2:14" ht="11.25" customHeight="1">
      <c r="C150" s="324" t="s">
        <v>52</v>
      </c>
      <c r="D150" s="325">
        <v>482.64</v>
      </c>
      <c r="E150" s="325">
        <v>482.64</v>
      </c>
      <c r="F150" s="325">
        <v>482.64</v>
      </c>
      <c r="G150" s="325">
        <v>482.64</v>
      </c>
      <c r="H150" s="325">
        <v>482.64</v>
      </c>
      <c r="I150" s="326">
        <f t="shared" si="50"/>
        <v>0</v>
      </c>
      <c r="J150" s="340"/>
      <c r="K150" s="340"/>
      <c r="L150" s="340"/>
      <c r="M150" s="340"/>
      <c r="N150" s="340"/>
    </row>
    <row r="151" spans="2:14" ht="11.25" customHeight="1">
      <c r="C151" s="227" t="s">
        <v>45</v>
      </c>
      <c r="D151" s="322">
        <f t="shared" ref="D151:F151" si="51">SUM(D148:D150)</f>
        <v>1535.7000000000003</v>
      </c>
      <c r="E151" s="322">
        <f t="shared" si="51"/>
        <v>1535.7000000000003</v>
      </c>
      <c r="F151" s="322">
        <f t="shared" si="51"/>
        <v>1535.7000000000003</v>
      </c>
      <c r="G151" s="322">
        <f>SUM(G148:G150)</f>
        <v>1535.7000000000003</v>
      </c>
      <c r="H151" s="322">
        <f>SUM(H148:H150)</f>
        <v>1535.7000000000003</v>
      </c>
      <c r="I151" s="323">
        <f t="shared" si="50"/>
        <v>0</v>
      </c>
      <c r="J151" s="340"/>
      <c r="K151" s="340"/>
      <c r="L151" s="340"/>
      <c r="M151" s="340"/>
      <c r="N151" s="340"/>
    </row>
    <row r="152" spans="2:14" ht="11.25" customHeight="1">
      <c r="C152" s="227" t="s">
        <v>44</v>
      </c>
      <c r="D152" s="322">
        <v>864.2</v>
      </c>
      <c r="E152" s="322">
        <v>864.2</v>
      </c>
      <c r="F152" s="322">
        <v>864.2</v>
      </c>
      <c r="G152" s="322">
        <v>864.2</v>
      </c>
      <c r="H152" s="322">
        <f>'Data 1'!I72</f>
        <v>864.2</v>
      </c>
      <c r="I152" s="323">
        <f t="shared" si="50"/>
        <v>0</v>
      </c>
      <c r="J152" s="340"/>
      <c r="K152" s="340"/>
      <c r="L152" s="340"/>
      <c r="M152" s="340"/>
      <c r="N152" s="340"/>
    </row>
    <row r="153" spans="2:14" ht="11.25" customHeight="1">
      <c r="C153" s="227" t="s">
        <v>46</v>
      </c>
      <c r="D153" s="322" t="s">
        <v>0</v>
      </c>
      <c r="E153" s="322" t="s">
        <v>0</v>
      </c>
      <c r="F153" s="322" t="s">
        <v>0</v>
      </c>
      <c r="G153" s="322" t="s">
        <v>0</v>
      </c>
      <c r="H153" s="322" t="s">
        <v>0</v>
      </c>
      <c r="I153" s="323" t="s">
        <v>0</v>
      </c>
      <c r="J153" s="340"/>
      <c r="K153" s="340"/>
      <c r="L153" s="340"/>
      <c r="M153" s="340"/>
      <c r="N153" s="340"/>
    </row>
    <row r="154" spans="2:14" ht="11.25" customHeight="1">
      <c r="C154" s="227" t="s">
        <v>68</v>
      </c>
      <c r="D154" s="322">
        <v>11.39</v>
      </c>
      <c r="E154" s="322">
        <v>11.39</v>
      </c>
      <c r="F154" s="322">
        <v>11.39</v>
      </c>
      <c r="G154" s="322">
        <v>11.39</v>
      </c>
      <c r="H154" s="322">
        <f>'Data 1'!I73</f>
        <v>11.39</v>
      </c>
      <c r="I154" s="323">
        <f>((H154/G154)-1)*100</f>
        <v>0</v>
      </c>
      <c r="J154" s="340"/>
      <c r="K154" s="340"/>
      <c r="L154" s="340"/>
      <c r="M154" s="340"/>
      <c r="N154" s="340"/>
    </row>
    <row r="155" spans="2:14" ht="11.25" customHeight="1">
      <c r="C155" s="327" t="s">
        <v>50</v>
      </c>
      <c r="D155" s="322">
        <v>152.05499999999998</v>
      </c>
      <c r="E155" s="322">
        <v>206.89999999999995</v>
      </c>
      <c r="F155" s="322">
        <v>417.71499999999997</v>
      </c>
      <c r="G155" s="322">
        <f>'Data 1'!I56</f>
        <v>430.315</v>
      </c>
      <c r="H155" s="322">
        <f>'Data 1'!I74</f>
        <v>444.71500000000003</v>
      </c>
      <c r="I155" s="323">
        <f>((H155/G155)-1)*100</f>
        <v>3.3463857871559366</v>
      </c>
      <c r="J155" s="340"/>
      <c r="K155" s="340"/>
      <c r="L155" s="340"/>
      <c r="M155" s="340"/>
      <c r="N155" s="340"/>
    </row>
    <row r="156" spans="2:14" ht="11.25" customHeight="1">
      <c r="C156" s="327" t="s">
        <v>51</v>
      </c>
      <c r="D156" s="322">
        <v>167.19166999999962</v>
      </c>
      <c r="E156" s="322">
        <v>167.25116999999963</v>
      </c>
      <c r="F156" s="322">
        <v>167.34816999999964</v>
      </c>
      <c r="G156" s="322">
        <f>'Data 1'!I57</f>
        <v>167.10714499999966</v>
      </c>
      <c r="H156" s="322">
        <f>'Data 1'!I75</f>
        <v>167.10714499999966</v>
      </c>
      <c r="I156" s="323">
        <f>((H156/G156)-1)*100</f>
        <v>0</v>
      </c>
      <c r="J156" s="340"/>
      <c r="K156" s="340"/>
      <c r="L156" s="340"/>
      <c r="M156" s="340"/>
      <c r="N156" s="340"/>
    </row>
    <row r="157" spans="2:14" ht="11.25" customHeight="1">
      <c r="C157" s="220" t="s">
        <v>75</v>
      </c>
      <c r="D157" s="322">
        <v>3.6960000000000002</v>
      </c>
      <c r="E157" s="322">
        <v>3.6960000000000002</v>
      </c>
      <c r="F157" s="322">
        <v>3.6960000000000002</v>
      </c>
      <c r="G157" s="322">
        <f>'Data 1'!I59</f>
        <v>3.6960000000000002</v>
      </c>
      <c r="H157" s="322">
        <f>'Data 1'!I77</f>
        <v>3.6960000000000002</v>
      </c>
      <c r="I157" s="323">
        <f>((H157/G157)-1)*100</f>
        <v>0</v>
      </c>
      <c r="J157" s="340"/>
      <c r="K157" s="340"/>
      <c r="L157" s="340"/>
      <c r="M157" s="340"/>
      <c r="N157" s="340"/>
    </row>
    <row r="158" spans="2:14" ht="11.25" customHeight="1">
      <c r="C158" s="220" t="s">
        <v>73</v>
      </c>
      <c r="D158" s="322" t="s">
        <v>0</v>
      </c>
      <c r="E158" s="322" t="s">
        <v>0</v>
      </c>
      <c r="F158" s="322" t="s">
        <v>0</v>
      </c>
      <c r="G158" s="322" t="s">
        <v>0</v>
      </c>
      <c r="H158" s="322" t="s">
        <v>0</v>
      </c>
      <c r="I158" s="323" t="s">
        <v>0</v>
      </c>
      <c r="J158" s="340"/>
      <c r="K158" s="340"/>
      <c r="L158" s="340"/>
      <c r="M158" s="340"/>
      <c r="N158" s="340"/>
    </row>
    <row r="159" spans="2:14" ht="11.25" customHeight="1">
      <c r="C159" s="228" t="s">
        <v>32</v>
      </c>
      <c r="D159" s="230">
        <f t="shared" ref="D159:G159" si="52">SUM(D147:D147,D151:D158)</f>
        <v>2736.2526699999994</v>
      </c>
      <c r="E159" s="230">
        <f t="shared" si="52"/>
        <v>2791.1571699999995</v>
      </c>
      <c r="F159" s="230">
        <f t="shared" si="52"/>
        <v>3002.0691699999998</v>
      </c>
      <c r="G159" s="230">
        <f t="shared" si="52"/>
        <v>3014.4281449999994</v>
      </c>
      <c r="H159" s="230">
        <f>SUM(H147:H147,H151:H158)</f>
        <v>3028.8281449999995</v>
      </c>
      <c r="I159" s="331">
        <f>((H159/G159)-1)*100</f>
        <v>0.47770254613250795</v>
      </c>
      <c r="J159" s="340"/>
      <c r="K159" s="340"/>
      <c r="L159" s="340"/>
      <c r="M159" s="340"/>
      <c r="N159" s="340"/>
    </row>
    <row r="160" spans="2:14" s="414" customFormat="1" ht="11.25" customHeight="1">
      <c r="B160" s="13"/>
      <c r="C160" s="44"/>
      <c r="D160" s="320"/>
      <c r="E160" s="320"/>
      <c r="F160" s="320"/>
      <c r="G160" s="339">
        <f>G159-'Data 1'!I63</f>
        <v>0</v>
      </c>
      <c r="H160" s="339">
        <f>H159-'Data 1'!I81</f>
        <v>0</v>
      </c>
      <c r="I160" s="321"/>
    </row>
    <row r="161" spans="2:14" ht="11.25" customHeight="1">
      <c r="C161" s="224" t="s">
        <v>292</v>
      </c>
      <c r="D161" s="503"/>
      <c r="E161" s="503"/>
      <c r="F161" s="503"/>
      <c r="G161" s="503"/>
      <c r="H161" s="503"/>
      <c r="I161" s="320"/>
    </row>
    <row r="162" spans="2:14" ht="11.25" customHeight="1">
      <c r="C162" s="225"/>
      <c r="D162" s="222">
        <v>2016</v>
      </c>
      <c r="E162" s="222">
        <v>2017</v>
      </c>
      <c r="F162" s="222">
        <v>2018</v>
      </c>
      <c r="G162" s="222">
        <v>2019</v>
      </c>
      <c r="H162" s="222">
        <v>2020</v>
      </c>
      <c r="I162" s="412" t="s">
        <v>376</v>
      </c>
    </row>
    <row r="163" spans="2:14" ht="11.25" customHeight="1">
      <c r="C163" s="324" t="s">
        <v>250</v>
      </c>
      <c r="D163" s="325">
        <v>77.52</v>
      </c>
      <c r="E163" s="325">
        <v>77.52</v>
      </c>
      <c r="F163" s="325">
        <v>77.52</v>
      </c>
      <c r="G163" s="325">
        <v>77.52</v>
      </c>
      <c r="H163" s="325">
        <v>77.52</v>
      </c>
      <c r="I163" s="326">
        <f>((H163/G163)-1)*100</f>
        <v>0</v>
      </c>
      <c r="J163" s="340"/>
      <c r="K163" s="340"/>
      <c r="L163" s="340"/>
      <c r="M163" s="340"/>
      <c r="N163" s="340"/>
    </row>
    <row r="164" spans="2:14" ht="11.25" customHeight="1">
      <c r="C164" s="324" t="s">
        <v>49</v>
      </c>
      <c r="D164" s="325">
        <v>13.3</v>
      </c>
      <c r="E164" s="325">
        <v>13.3</v>
      </c>
      <c r="F164" s="325">
        <v>13.3</v>
      </c>
      <c r="G164" s="325">
        <v>13.3</v>
      </c>
      <c r="H164" s="325">
        <v>13.3</v>
      </c>
      <c r="I164" s="326">
        <f>((H164/G164)-1)*100</f>
        <v>0</v>
      </c>
      <c r="J164" s="340"/>
      <c r="K164" s="340"/>
      <c r="L164" s="340"/>
      <c r="M164" s="340"/>
      <c r="N164" s="340"/>
    </row>
    <row r="165" spans="2:14" ht="11.25" customHeight="1">
      <c r="C165" s="227" t="s">
        <v>45</v>
      </c>
      <c r="D165" s="322">
        <f t="shared" ref="D165:F165" si="53">SUM(D163:D164)</f>
        <v>90.82</v>
      </c>
      <c r="E165" s="322">
        <f t="shared" si="53"/>
        <v>90.82</v>
      </c>
      <c r="F165" s="322">
        <f t="shared" si="53"/>
        <v>90.82</v>
      </c>
      <c r="G165" s="322">
        <f>SUM(G163:G164)</f>
        <v>90.82</v>
      </c>
      <c r="H165" s="322">
        <f>SUM(H163:H164)</f>
        <v>90.82</v>
      </c>
      <c r="I165" s="323">
        <f>((H165/G165)-1)*100</f>
        <v>0</v>
      </c>
      <c r="J165" s="340"/>
      <c r="K165" s="340"/>
      <c r="L165" s="340"/>
      <c r="M165" s="340"/>
      <c r="N165" s="340"/>
    </row>
    <row r="166" spans="2:14" ht="11.25" customHeight="1">
      <c r="C166" s="228" t="s">
        <v>32</v>
      </c>
      <c r="D166" s="230">
        <f>D165</f>
        <v>90.82</v>
      </c>
      <c r="E166" s="230">
        <f t="shared" ref="E166:H166" si="54">E165</f>
        <v>90.82</v>
      </c>
      <c r="F166" s="230">
        <f t="shared" si="54"/>
        <v>90.82</v>
      </c>
      <c r="G166" s="230">
        <f t="shared" si="54"/>
        <v>90.82</v>
      </c>
      <c r="H166" s="230">
        <f t="shared" si="54"/>
        <v>90.82</v>
      </c>
      <c r="I166" s="331">
        <f>((H166/G166)-1)*100</f>
        <v>0</v>
      </c>
      <c r="J166" s="340"/>
      <c r="K166" s="340"/>
      <c r="L166" s="340"/>
      <c r="M166" s="340"/>
      <c r="N166" s="340"/>
    </row>
    <row r="167" spans="2:14" ht="11.25" customHeight="1">
      <c r="C167" s="44"/>
      <c r="D167" s="321"/>
      <c r="E167" s="320"/>
      <c r="F167" s="320"/>
      <c r="G167" s="339">
        <f>G166-'Data 1'!N63</f>
        <v>0</v>
      </c>
      <c r="H167" s="339">
        <f>H166-'Data 1'!N81</f>
        <v>0</v>
      </c>
      <c r="I167" s="320"/>
    </row>
    <row r="168" spans="2:14" ht="11.25" customHeight="1">
      <c r="C168" s="224" t="s">
        <v>293</v>
      </c>
      <c r="D168" s="503"/>
      <c r="E168" s="503"/>
      <c r="F168" s="503"/>
      <c r="G168" s="503"/>
      <c r="H168" s="503"/>
      <c r="I168" s="320"/>
    </row>
    <row r="169" spans="2:14" ht="11.25" customHeight="1">
      <c r="C169" s="225"/>
      <c r="D169" s="222">
        <v>2016</v>
      </c>
      <c r="E169" s="222">
        <v>2017</v>
      </c>
      <c r="F169" s="222">
        <v>2018</v>
      </c>
      <c r="G169" s="222">
        <v>2019</v>
      </c>
      <c r="H169" s="222">
        <v>2020</v>
      </c>
      <c r="I169" s="412" t="s">
        <v>376</v>
      </c>
    </row>
    <row r="170" spans="2:14" ht="11.25" customHeight="1">
      <c r="C170" s="324" t="s">
        <v>250</v>
      </c>
      <c r="D170" s="325">
        <v>64.64</v>
      </c>
      <c r="E170" s="325">
        <v>64.64</v>
      </c>
      <c r="F170" s="325">
        <v>64.64</v>
      </c>
      <c r="G170" s="325">
        <v>64.64</v>
      </c>
      <c r="H170" s="325">
        <v>64.64</v>
      </c>
      <c r="I170" s="326">
        <f t="shared" ref="I170:I175" si="55">((H170/G170)-1)*100</f>
        <v>0</v>
      </c>
      <c r="J170" s="340"/>
      <c r="K170" s="340"/>
      <c r="L170" s="340"/>
      <c r="M170" s="340"/>
      <c r="N170" s="340"/>
    </row>
    <row r="171" spans="2:14" ht="11.25" customHeight="1">
      <c r="C171" s="324" t="s">
        <v>49</v>
      </c>
      <c r="D171" s="325">
        <v>11.5</v>
      </c>
      <c r="E171" s="325">
        <v>11.5</v>
      </c>
      <c r="F171" s="325">
        <v>11.5</v>
      </c>
      <c r="G171" s="325">
        <v>11.5</v>
      </c>
      <c r="H171" s="325">
        <v>11.5</v>
      </c>
      <c r="I171" s="326">
        <f t="shared" si="55"/>
        <v>0</v>
      </c>
      <c r="J171" s="340"/>
      <c r="K171" s="340"/>
      <c r="L171" s="340"/>
      <c r="M171" s="340"/>
      <c r="N171" s="340"/>
    </row>
    <row r="172" spans="2:14" ht="11.25" customHeight="1">
      <c r="B172" s="145"/>
      <c r="C172" s="227" t="s">
        <v>45</v>
      </c>
      <c r="D172" s="322">
        <f t="shared" ref="D172:F172" si="56">SUM(D170:D171)</f>
        <v>76.14</v>
      </c>
      <c r="E172" s="322">
        <f t="shared" si="56"/>
        <v>76.14</v>
      </c>
      <c r="F172" s="322">
        <f t="shared" si="56"/>
        <v>76.14</v>
      </c>
      <c r="G172" s="322">
        <f>SUM(G170:G171)</f>
        <v>76.14</v>
      </c>
      <c r="H172" s="322">
        <f>SUM(H170:H171)</f>
        <v>76.14</v>
      </c>
      <c r="I172" s="323">
        <f t="shared" si="55"/>
        <v>0</v>
      </c>
      <c r="J172" s="340"/>
      <c r="K172" s="340"/>
      <c r="L172" s="340"/>
      <c r="M172" s="340"/>
      <c r="N172" s="340"/>
    </row>
    <row r="173" spans="2:14" ht="11.25" customHeight="1">
      <c r="B173" s="145"/>
      <c r="C173" s="327" t="s">
        <v>51</v>
      </c>
      <c r="D173" s="322">
        <v>5.9700000000000003E-2</v>
      </c>
      <c r="E173" s="322">
        <v>5.9700000000000003E-2</v>
      </c>
      <c r="F173" s="322">
        <v>5.9700000000000003E-2</v>
      </c>
      <c r="G173" s="322">
        <f>'Data 1'!S57</f>
        <v>5.9700000000000003E-2</v>
      </c>
      <c r="H173" s="322">
        <f>'Data 1'!S75</f>
        <v>5.9700000000000003E-2</v>
      </c>
      <c r="I173" s="323">
        <f t="shared" si="55"/>
        <v>0</v>
      </c>
      <c r="J173" s="340"/>
      <c r="K173" s="340"/>
      <c r="L173" s="340"/>
      <c r="M173" s="340"/>
      <c r="N173" s="340"/>
    </row>
    <row r="174" spans="2:14" ht="11.25" customHeight="1">
      <c r="B174" s="145"/>
      <c r="C174" s="220" t="s">
        <v>90</v>
      </c>
      <c r="D174" s="322">
        <v>1.0840000000000001</v>
      </c>
      <c r="E174" s="322">
        <v>1.0840000000000001</v>
      </c>
      <c r="F174" s="322">
        <v>1.0840000000000001</v>
      </c>
      <c r="G174" s="322">
        <f>'Data 1'!S61</f>
        <v>1.0840000000000001</v>
      </c>
      <c r="H174" s="322">
        <f>'Data 1'!S79</f>
        <v>1.0840000000000001</v>
      </c>
      <c r="I174" s="323">
        <f t="shared" si="55"/>
        <v>0</v>
      </c>
      <c r="J174" s="340"/>
      <c r="K174" s="340"/>
      <c r="L174" s="340"/>
      <c r="M174" s="340"/>
      <c r="N174" s="340"/>
    </row>
    <row r="175" spans="2:14" ht="11.25" customHeight="1">
      <c r="B175" s="145"/>
      <c r="C175" s="220" t="s">
        <v>91</v>
      </c>
      <c r="D175" s="322">
        <v>1.0840000000000001</v>
      </c>
      <c r="E175" s="322">
        <v>1.0840000000000001</v>
      </c>
      <c r="F175" s="322">
        <v>1.0840000000000001</v>
      </c>
      <c r="G175" s="322">
        <f>'Data 1'!S62</f>
        <v>1.0840000000000001</v>
      </c>
      <c r="H175" s="322">
        <f>'Data 1'!S80</f>
        <v>1.0840000000000001</v>
      </c>
      <c r="I175" s="323">
        <f t="shared" si="55"/>
        <v>0</v>
      </c>
      <c r="J175" s="340"/>
      <c r="K175" s="340"/>
      <c r="L175" s="340"/>
      <c r="M175" s="340"/>
      <c r="N175" s="340"/>
    </row>
    <row r="176" spans="2:14" ht="11.25" customHeight="1">
      <c r="B176" s="145"/>
      <c r="C176" s="220" t="s">
        <v>73</v>
      </c>
      <c r="D176" s="322" t="s">
        <v>0</v>
      </c>
      <c r="E176" s="322" t="s">
        <v>0</v>
      </c>
      <c r="F176" s="322" t="s">
        <v>0</v>
      </c>
      <c r="G176" s="322" t="s">
        <v>0</v>
      </c>
      <c r="H176" s="322" t="s">
        <v>0</v>
      </c>
      <c r="I176" s="322" t="s">
        <v>0</v>
      </c>
      <c r="J176" s="340"/>
      <c r="K176" s="340"/>
      <c r="L176" s="340"/>
      <c r="M176" s="340"/>
      <c r="N176" s="340"/>
    </row>
    <row r="177" spans="2:14" ht="11.25" customHeight="1">
      <c r="B177" s="145"/>
      <c r="C177" s="228" t="s">
        <v>32</v>
      </c>
      <c r="D177" s="230">
        <f>SUM(D172:D176)</f>
        <v>78.367700000000013</v>
      </c>
      <c r="E177" s="230">
        <f t="shared" ref="E177:H177" si="57">SUM(E172:E176)</f>
        <v>78.367700000000013</v>
      </c>
      <c r="F177" s="230">
        <f t="shared" si="57"/>
        <v>78.367700000000013</v>
      </c>
      <c r="G177" s="230">
        <f t="shared" si="57"/>
        <v>78.367700000000013</v>
      </c>
      <c r="H177" s="230">
        <f t="shared" si="57"/>
        <v>78.367700000000013</v>
      </c>
      <c r="I177" s="331">
        <f>((H177/G177)-1)*100</f>
        <v>0</v>
      </c>
      <c r="J177" s="340"/>
      <c r="K177" s="340"/>
      <c r="L177" s="340"/>
      <c r="M177" s="340"/>
      <c r="N177" s="340"/>
    </row>
    <row r="178" spans="2:14" s="414" customFormat="1" ht="11.25" customHeight="1">
      <c r="B178" s="145"/>
      <c r="C178" s="44"/>
      <c r="D178" s="320"/>
      <c r="E178" s="320"/>
      <c r="F178" s="320"/>
      <c r="G178" s="339">
        <f>G177-'Data 1'!S63</f>
        <v>0</v>
      </c>
      <c r="H178" s="339">
        <f>H177-'Data 1'!S81</f>
        <v>0</v>
      </c>
      <c r="I178" s="321"/>
    </row>
    <row r="179" spans="2:14" s="414" customFormat="1" ht="11.25" customHeight="1">
      <c r="B179" s="145"/>
      <c r="C179" s="224" t="s">
        <v>294</v>
      </c>
      <c r="D179" s="503"/>
      <c r="E179" s="503"/>
      <c r="F179" s="503"/>
      <c r="G179" s="503"/>
      <c r="H179" s="503"/>
      <c r="I179" s="321"/>
    </row>
    <row r="180" spans="2:14" s="414" customFormat="1" ht="11.25" customHeight="1">
      <c r="B180" s="145"/>
      <c r="C180" s="225"/>
      <c r="D180" s="222">
        <v>2016</v>
      </c>
      <c r="E180" s="222">
        <v>2017</v>
      </c>
      <c r="F180" s="222">
        <v>2018</v>
      </c>
      <c r="G180" s="222">
        <v>2019</v>
      </c>
      <c r="H180" s="222">
        <v>2020</v>
      </c>
      <c r="I180" s="412" t="s">
        <v>376</v>
      </c>
      <c r="J180"/>
      <c r="K180"/>
      <c r="L180"/>
      <c r="M180"/>
      <c r="N180"/>
    </row>
    <row r="181" spans="2:14" s="414" customFormat="1" ht="11.25" customHeight="1">
      <c r="B181" s="145"/>
      <c r="C181" s="220" t="s">
        <v>26</v>
      </c>
      <c r="D181" s="223">
        <f>D147</f>
        <v>2.02</v>
      </c>
      <c r="E181" s="223">
        <f t="shared" ref="E181:H181" si="58">E147</f>
        <v>2.02</v>
      </c>
      <c r="F181" s="223">
        <f t="shared" si="58"/>
        <v>2.02</v>
      </c>
      <c r="G181" s="223">
        <f t="shared" si="58"/>
        <v>2.02</v>
      </c>
      <c r="H181" s="223">
        <f t="shared" si="58"/>
        <v>2.02</v>
      </c>
      <c r="I181" s="413">
        <f t="shared" ref="I181:I196" si="59">((H181/G181)-1)*100</f>
        <v>0</v>
      </c>
    </row>
    <row r="182" spans="2:14" s="414" customFormat="1" ht="11.25" customHeight="1">
      <c r="B182" s="145"/>
      <c r="C182" s="220" t="s">
        <v>28</v>
      </c>
      <c r="D182" s="223">
        <f>D131</f>
        <v>468.4</v>
      </c>
      <c r="E182" s="223">
        <f t="shared" ref="E182:H182" si="60">E131</f>
        <v>468.4</v>
      </c>
      <c r="F182" s="223">
        <f t="shared" si="60"/>
        <v>468.4</v>
      </c>
      <c r="G182" s="223">
        <f t="shared" si="60"/>
        <v>468.4</v>
      </c>
      <c r="H182" s="223">
        <f t="shared" si="60"/>
        <v>241.19999999999996</v>
      </c>
      <c r="I182" s="413">
        <f t="shared" si="59"/>
        <v>-48.505550811272421</v>
      </c>
    </row>
    <row r="183" spans="2:14" s="414" customFormat="1" ht="11.25" customHeight="1">
      <c r="B183" s="145"/>
      <c r="C183" s="324" t="s">
        <v>250</v>
      </c>
      <c r="D183" s="325">
        <f>SUM(D132,D148,D163,D170)</f>
        <v>820.08</v>
      </c>
      <c r="E183" s="325">
        <f t="shared" ref="E183:H183" si="61">SUM(E132,E148,E163,E170)</f>
        <v>820.08</v>
      </c>
      <c r="F183" s="325">
        <f t="shared" si="61"/>
        <v>820.08</v>
      </c>
      <c r="G183" s="325">
        <f t="shared" si="61"/>
        <v>777.48000000000013</v>
      </c>
      <c r="H183" s="325">
        <f t="shared" si="61"/>
        <v>777.48</v>
      </c>
      <c r="I183" s="326">
        <f t="shared" si="59"/>
        <v>-1.1102230246251565E-14</v>
      </c>
    </row>
    <row r="184" spans="2:14" s="414" customFormat="1" ht="11.25" customHeight="1">
      <c r="B184" s="145"/>
      <c r="C184" s="324" t="s">
        <v>49</v>
      </c>
      <c r="D184" s="325">
        <f>SUM(D133,D149,D164,D171)</f>
        <v>1187.3399999999999</v>
      </c>
      <c r="E184" s="325">
        <f t="shared" ref="E184:H184" si="62">SUM(E133,E149,E164,E171)</f>
        <v>1187.3399999999999</v>
      </c>
      <c r="F184" s="325">
        <f t="shared" si="62"/>
        <v>1187.3399999999999</v>
      </c>
      <c r="G184" s="325">
        <f t="shared" si="62"/>
        <v>1187.3400000000001</v>
      </c>
      <c r="H184" s="325">
        <f t="shared" si="62"/>
        <v>1187.3399999999999</v>
      </c>
      <c r="I184" s="326">
        <f t="shared" si="59"/>
        <v>-2.2204460492503131E-14</v>
      </c>
    </row>
    <row r="185" spans="2:14" s="414" customFormat="1" ht="11.25" customHeight="1">
      <c r="B185" s="145"/>
      <c r="C185" s="324" t="s">
        <v>52</v>
      </c>
      <c r="D185" s="325">
        <f>D150</f>
        <v>482.64</v>
      </c>
      <c r="E185" s="325">
        <f t="shared" ref="E185:H185" si="63">E150</f>
        <v>482.64</v>
      </c>
      <c r="F185" s="325">
        <f t="shared" si="63"/>
        <v>482.64</v>
      </c>
      <c r="G185" s="325">
        <f t="shared" si="63"/>
        <v>482.64</v>
      </c>
      <c r="H185" s="325">
        <f t="shared" si="63"/>
        <v>482.64</v>
      </c>
      <c r="I185" s="326">
        <f t="shared" si="59"/>
        <v>0</v>
      </c>
    </row>
    <row r="186" spans="2:14" s="414" customFormat="1" ht="11.25" customHeight="1">
      <c r="B186" s="145"/>
      <c r="C186" s="220" t="s">
        <v>98</v>
      </c>
      <c r="D186" s="223">
        <f>SUM(D183:D185)</f>
        <v>2490.06</v>
      </c>
      <c r="E186" s="223">
        <f t="shared" ref="E186:H186" si="64">SUM(E183:E185)</f>
        <v>2490.06</v>
      </c>
      <c r="F186" s="223">
        <f t="shared" si="64"/>
        <v>2490.06</v>
      </c>
      <c r="G186" s="223">
        <f t="shared" si="64"/>
        <v>2447.46</v>
      </c>
      <c r="H186" s="223">
        <f t="shared" si="64"/>
        <v>2447.46</v>
      </c>
      <c r="I186" s="413">
        <f t="shared" si="59"/>
        <v>0</v>
      </c>
    </row>
    <row r="187" spans="2:14" s="414" customFormat="1" ht="11.25" customHeight="1">
      <c r="B187" s="145"/>
      <c r="C187" s="220" t="s">
        <v>44</v>
      </c>
      <c r="D187" s="223">
        <f>SUM(D135,D152)</f>
        <v>1722.15</v>
      </c>
      <c r="E187" s="223">
        <f t="shared" ref="E187:H187" si="65">SUM(E135,E152)</f>
        <v>1722.15</v>
      </c>
      <c r="F187" s="223">
        <f t="shared" si="65"/>
        <v>1722.15</v>
      </c>
      <c r="G187" s="223">
        <f t="shared" si="65"/>
        <v>1722.15</v>
      </c>
      <c r="H187" s="223">
        <f t="shared" si="65"/>
        <v>1722.15</v>
      </c>
      <c r="I187" s="413">
        <f t="shared" si="59"/>
        <v>0</v>
      </c>
    </row>
    <row r="188" spans="2:14" s="414" customFormat="1" ht="11.25" customHeight="1">
      <c r="B188" s="145"/>
      <c r="C188" s="227" t="s">
        <v>46</v>
      </c>
      <c r="D188" s="223">
        <f>SUM(D136,D153)</f>
        <v>0</v>
      </c>
      <c r="E188" s="223">
        <f t="shared" ref="E188:H188" si="66">SUM(E136,E153)</f>
        <v>0</v>
      </c>
      <c r="F188" s="223">
        <f t="shared" si="66"/>
        <v>0</v>
      </c>
      <c r="G188" s="223">
        <f t="shared" si="66"/>
        <v>0</v>
      </c>
      <c r="H188" s="223">
        <f t="shared" si="66"/>
        <v>0</v>
      </c>
      <c r="I188" s="413" t="s">
        <v>0</v>
      </c>
    </row>
    <row r="189" spans="2:14" s="414" customFormat="1" ht="11.25" customHeight="1">
      <c r="B189" s="145"/>
      <c r="C189" s="220" t="s">
        <v>68</v>
      </c>
      <c r="D189" s="223">
        <f>D154</f>
        <v>11.39</v>
      </c>
      <c r="E189" s="223">
        <f t="shared" ref="E189:H189" si="67">E154</f>
        <v>11.39</v>
      </c>
      <c r="F189" s="223">
        <f t="shared" si="67"/>
        <v>11.39</v>
      </c>
      <c r="G189" s="223">
        <f t="shared" si="67"/>
        <v>11.39</v>
      </c>
      <c r="H189" s="223">
        <f t="shared" si="67"/>
        <v>11.39</v>
      </c>
      <c r="I189" s="413">
        <f t="shared" si="59"/>
        <v>0</v>
      </c>
    </row>
    <row r="190" spans="2:14" s="414" customFormat="1" ht="11.25" customHeight="1">
      <c r="B190" s="145"/>
      <c r="C190" s="220" t="s">
        <v>50</v>
      </c>
      <c r="D190" s="223">
        <f>SUM(D137,D155)</f>
        <v>155.70249999999996</v>
      </c>
      <c r="E190" s="223">
        <f t="shared" ref="E190:H190" si="68">SUM(E137,E155)</f>
        <v>210.54749999999993</v>
      </c>
      <c r="F190" s="223">
        <f t="shared" si="68"/>
        <v>421.35249999999996</v>
      </c>
      <c r="G190" s="223">
        <f t="shared" si="68"/>
        <v>433.95249999999999</v>
      </c>
      <c r="H190" s="223">
        <f t="shared" si="68"/>
        <v>448.35250000000002</v>
      </c>
      <c r="I190" s="413">
        <f t="shared" si="59"/>
        <v>3.3183355321146912</v>
      </c>
    </row>
    <row r="191" spans="2:14" s="414" customFormat="1" ht="11.25" customHeight="1">
      <c r="B191" s="145"/>
      <c r="C191" s="220" t="s">
        <v>51</v>
      </c>
      <c r="D191" s="223">
        <f>SUM(D138,D156,D173)</f>
        <v>246.67958499999943</v>
      </c>
      <c r="E191" s="223">
        <f t="shared" ref="E191:H191" si="69">SUM(E138,E156,E173)</f>
        <v>247.30795499999945</v>
      </c>
      <c r="F191" s="223">
        <f t="shared" si="69"/>
        <v>247.85061499999946</v>
      </c>
      <c r="G191" s="223">
        <f t="shared" si="69"/>
        <v>248.42083999999952</v>
      </c>
      <c r="H191" s="223">
        <f t="shared" si="69"/>
        <v>270.49396999999954</v>
      </c>
      <c r="I191" s="413">
        <f t="shared" si="59"/>
        <v>8.885377732399613</v>
      </c>
    </row>
    <row r="192" spans="2:14" s="414" customFormat="1" ht="11.25" customHeight="1">
      <c r="B192" s="145"/>
      <c r="C192" s="220" t="s">
        <v>75</v>
      </c>
      <c r="D192" s="223">
        <f>SUM(D139,D157)</f>
        <v>5.8260000000000005</v>
      </c>
      <c r="E192" s="223">
        <f t="shared" ref="E192:H192" si="70">SUM(E139,E157)</f>
        <v>5.8260000000000005</v>
      </c>
      <c r="F192" s="223">
        <f t="shared" si="70"/>
        <v>5.8260000000000005</v>
      </c>
      <c r="G192" s="223">
        <f t="shared" si="70"/>
        <v>5.8260000000000005</v>
      </c>
      <c r="H192" s="223">
        <f t="shared" si="70"/>
        <v>5.8260000000000005</v>
      </c>
      <c r="I192" s="413">
        <f t="shared" si="59"/>
        <v>0</v>
      </c>
    </row>
    <row r="193" spans="1:9" s="414" customFormat="1" ht="11.25" customHeight="1">
      <c r="B193" s="145"/>
      <c r="C193" s="220" t="s">
        <v>73</v>
      </c>
      <c r="D193" s="223">
        <f>SUM(D140,D158,D176)</f>
        <v>11.523</v>
      </c>
      <c r="E193" s="223">
        <f t="shared" ref="E193:H193" si="71">SUM(E140,E158,E176)</f>
        <v>11.523</v>
      </c>
      <c r="F193" s="223">
        <f t="shared" si="71"/>
        <v>11.523</v>
      </c>
      <c r="G193" s="223">
        <f t="shared" si="71"/>
        <v>11.523</v>
      </c>
      <c r="H193" s="223">
        <f t="shared" si="71"/>
        <v>11.523</v>
      </c>
      <c r="I193" s="413">
        <f t="shared" si="59"/>
        <v>0</v>
      </c>
    </row>
    <row r="194" spans="1:9" s="414" customFormat="1" ht="11.25" customHeight="1">
      <c r="B194" s="145"/>
      <c r="C194" s="220" t="s">
        <v>90</v>
      </c>
      <c r="D194" s="223">
        <f>SUM(D141,D175)</f>
        <v>38.484000000000009</v>
      </c>
      <c r="E194" s="223">
        <f t="shared" ref="E194:H194" si="72">SUM(E141,E175)</f>
        <v>38.484000000000009</v>
      </c>
      <c r="F194" s="223">
        <f t="shared" si="72"/>
        <v>38.484000000000009</v>
      </c>
      <c r="G194" s="223">
        <f t="shared" si="72"/>
        <v>38.484000000000009</v>
      </c>
      <c r="H194" s="223">
        <f t="shared" si="72"/>
        <v>38.484000000000009</v>
      </c>
      <c r="I194" s="413">
        <f t="shared" si="59"/>
        <v>0</v>
      </c>
    </row>
    <row r="195" spans="1:9" s="414" customFormat="1" ht="11.25" customHeight="1">
      <c r="B195" s="145"/>
      <c r="C195" s="220" t="s">
        <v>91</v>
      </c>
      <c r="D195" s="223">
        <f>SUM(D142,D175)</f>
        <v>38.484000000000009</v>
      </c>
      <c r="E195" s="223">
        <f t="shared" ref="E195:H195" si="73">SUM(E142,E175)</f>
        <v>38.484000000000009</v>
      </c>
      <c r="F195" s="223">
        <f t="shared" si="73"/>
        <v>38.484000000000009</v>
      </c>
      <c r="G195" s="223">
        <f t="shared" si="73"/>
        <v>38.484000000000009</v>
      </c>
      <c r="H195" s="223">
        <f t="shared" si="73"/>
        <v>38.484000000000009</v>
      </c>
      <c r="I195" s="413">
        <f t="shared" si="59"/>
        <v>0</v>
      </c>
    </row>
    <row r="196" spans="1:9" s="414" customFormat="1" ht="11.25" customHeight="1">
      <c r="B196" s="145"/>
      <c r="C196" s="228" t="s">
        <v>32</v>
      </c>
      <c r="D196" s="230">
        <f>SUM(D181:D182,D186:D195)</f>
        <v>5190.7190850000015</v>
      </c>
      <c r="E196" s="230">
        <f t="shared" ref="E196:H196" si="74">SUM(E181:E182,E186:E195)</f>
        <v>5246.1924550000003</v>
      </c>
      <c r="F196" s="230">
        <f t="shared" si="74"/>
        <v>5457.5401150000007</v>
      </c>
      <c r="G196" s="230">
        <f t="shared" si="74"/>
        <v>5428.110340000002</v>
      </c>
      <c r="H196" s="230">
        <f t="shared" si="74"/>
        <v>5237.3834700000007</v>
      </c>
      <c r="I196" s="331">
        <f t="shared" si="59"/>
        <v>-3.5136881539515885</v>
      </c>
    </row>
    <row r="197" spans="1:9" s="414" customFormat="1" ht="11.25" customHeight="1">
      <c r="B197" s="145"/>
      <c r="C197" s="44"/>
      <c r="D197" s="320"/>
      <c r="E197" s="320"/>
      <c r="F197" s="320"/>
      <c r="G197" s="320"/>
      <c r="H197" s="320"/>
      <c r="I197" s="321"/>
    </row>
    <row r="198" spans="1:9" ht="11.25" customHeight="1">
      <c r="B198" s="17"/>
      <c r="C198" s="157" t="s">
        <v>255</v>
      </c>
      <c r="D198" s="17"/>
      <c r="E198" s="17"/>
    </row>
    <row r="199" spans="1:9" ht="11.25" customHeight="1">
      <c r="B199" s="17"/>
      <c r="C199" s="155"/>
      <c r="D199" s="156" t="s">
        <v>48</v>
      </c>
      <c r="E199" s="156" t="s">
        <v>77</v>
      </c>
    </row>
    <row r="200" spans="1:9" ht="11.25" customHeight="1">
      <c r="A200" s="453"/>
      <c r="B200" s="33">
        <v>2016</v>
      </c>
      <c r="C200" s="150" t="s">
        <v>17</v>
      </c>
      <c r="D200" s="158">
        <v>2.5790000000000002</v>
      </c>
      <c r="E200" s="158">
        <v>2.1698300000000001</v>
      </c>
      <c r="F200" s="461"/>
      <c r="G200" s="461"/>
      <c r="H200" s="461"/>
      <c r="I200" s="461"/>
    </row>
    <row r="201" spans="1:9" ht="11.25" customHeight="1">
      <c r="A201" s="453"/>
      <c r="B201" s="33"/>
      <c r="C201" s="150" t="s">
        <v>18</v>
      </c>
      <c r="D201" s="158">
        <v>1.1910000000000001</v>
      </c>
      <c r="E201" s="158">
        <v>2.0270699999999997</v>
      </c>
      <c r="F201" s="461"/>
      <c r="G201" s="461"/>
      <c r="H201" s="461"/>
      <c r="I201" s="461"/>
    </row>
    <row r="202" spans="1:9" ht="11.25" customHeight="1">
      <c r="A202" s="453"/>
      <c r="B202" s="33"/>
      <c r="C202" s="150" t="s">
        <v>19</v>
      </c>
      <c r="D202" s="158">
        <v>0.95300000000000007</v>
      </c>
      <c r="E202" s="158">
        <v>2.1329899999999999</v>
      </c>
      <c r="F202" s="461"/>
      <c r="G202" s="461"/>
      <c r="H202" s="461"/>
      <c r="I202" s="461"/>
    </row>
    <row r="203" spans="1:9" ht="11.25" customHeight="1">
      <c r="A203" s="453"/>
      <c r="B203" s="33"/>
      <c r="C203" s="150" t="s">
        <v>20</v>
      </c>
      <c r="D203" s="158">
        <v>1.115</v>
      </c>
      <c r="E203" s="158">
        <v>2.2030500000000002</v>
      </c>
      <c r="F203" s="461"/>
      <c r="G203" s="461"/>
      <c r="H203" s="461"/>
      <c r="I203" s="461"/>
    </row>
    <row r="204" spans="1:9" ht="11.25" customHeight="1">
      <c r="A204" s="453"/>
      <c r="B204" s="33"/>
      <c r="C204" s="150" t="s">
        <v>19</v>
      </c>
      <c r="D204" s="158">
        <v>1.252</v>
      </c>
      <c r="E204" s="158">
        <v>2.7943599999999997</v>
      </c>
      <c r="F204" s="461"/>
      <c r="G204" s="461"/>
      <c r="H204" s="461"/>
      <c r="I204" s="461"/>
    </row>
    <row r="205" spans="1:9" ht="11.25" customHeight="1">
      <c r="A205" s="453"/>
      <c r="B205" s="33"/>
      <c r="C205" s="150" t="s">
        <v>21</v>
      </c>
      <c r="D205" s="158">
        <v>1.1659999999999999</v>
      </c>
      <c r="E205" s="158">
        <v>3.0374600000000003</v>
      </c>
      <c r="F205" s="461"/>
      <c r="G205" s="461"/>
      <c r="H205" s="461"/>
      <c r="I205" s="461"/>
    </row>
    <row r="206" spans="1:9" ht="11.25" customHeight="1">
      <c r="A206" s="453"/>
      <c r="B206" s="33"/>
      <c r="C206" s="150" t="s">
        <v>21</v>
      </c>
      <c r="D206" s="158">
        <v>-1.425</v>
      </c>
      <c r="E206" s="158">
        <v>1.5188999999999999</v>
      </c>
      <c r="F206" s="461"/>
      <c r="G206" s="461"/>
      <c r="H206" s="461"/>
      <c r="I206" s="461"/>
    </row>
    <row r="207" spans="1:9" ht="11.25" customHeight="1">
      <c r="A207" s="453"/>
      <c r="B207" s="33"/>
      <c r="C207" s="150" t="s">
        <v>20</v>
      </c>
      <c r="D207" s="158">
        <v>-2.0030000000000001</v>
      </c>
      <c r="E207" s="158">
        <v>1.2387900000000001</v>
      </c>
      <c r="F207" s="461"/>
      <c r="G207" s="461"/>
      <c r="H207" s="461"/>
      <c r="I207" s="461"/>
    </row>
    <row r="208" spans="1:9" ht="11.25" customHeight="1">
      <c r="A208" s="453"/>
      <c r="B208" s="455"/>
      <c r="C208" s="150" t="s">
        <v>22</v>
      </c>
      <c r="D208" s="158">
        <v>-0.437</v>
      </c>
      <c r="E208" s="158">
        <v>2.5015099999999997</v>
      </c>
      <c r="F208" s="461"/>
      <c r="G208" s="461"/>
      <c r="H208" s="461"/>
      <c r="I208" s="461"/>
    </row>
    <row r="209" spans="1:9" ht="11.25" customHeight="1">
      <c r="A209" s="453"/>
      <c r="B209" s="33"/>
      <c r="C209" s="150" t="s">
        <v>23</v>
      </c>
      <c r="D209" s="158">
        <v>0.22300000000000003</v>
      </c>
      <c r="E209" s="158">
        <v>2.7688299999999999</v>
      </c>
      <c r="F209" s="461"/>
      <c r="G209" s="461"/>
      <c r="H209" s="461"/>
      <c r="I209" s="461"/>
    </row>
    <row r="210" spans="1:9" ht="11.25" customHeight="1">
      <c r="A210" s="453"/>
      <c r="B210" s="33"/>
      <c r="C210" s="150" t="s">
        <v>24</v>
      </c>
      <c r="D210" s="158">
        <v>0.26</v>
      </c>
      <c r="E210" s="158">
        <v>2.8652099999999998</v>
      </c>
      <c r="F210" s="461"/>
      <c r="G210" s="461"/>
      <c r="H210" s="461"/>
      <c r="I210" s="461"/>
    </row>
    <row r="211" spans="1:9" ht="11.25" customHeight="1">
      <c r="A211" s="453"/>
      <c r="B211" s="33"/>
      <c r="C211" s="150" t="s">
        <v>25</v>
      </c>
      <c r="D211" s="158">
        <v>0.60899999999999999</v>
      </c>
      <c r="E211" s="158">
        <v>2.30124</v>
      </c>
      <c r="F211" s="461"/>
      <c r="G211" s="461"/>
      <c r="H211" s="461"/>
      <c r="I211" s="461"/>
    </row>
    <row r="212" spans="1:9" ht="11.25" customHeight="1">
      <c r="A212" s="453"/>
      <c r="B212" s="33">
        <v>2017</v>
      </c>
      <c r="C212" s="150" t="s">
        <v>17</v>
      </c>
      <c r="D212" s="158">
        <v>2.4910000000000001</v>
      </c>
      <c r="E212" s="158">
        <v>3.0247000000000002</v>
      </c>
      <c r="F212" s="461"/>
      <c r="G212" s="461"/>
      <c r="H212" s="461"/>
      <c r="I212" s="461"/>
    </row>
    <row r="213" spans="1:9" ht="11.25" customHeight="1">
      <c r="A213" s="453"/>
      <c r="B213" s="33"/>
      <c r="C213" s="150" t="s">
        <v>18</v>
      </c>
      <c r="D213" s="158">
        <v>2.879</v>
      </c>
      <c r="E213" s="158">
        <v>2.7402299999999999</v>
      </c>
      <c r="F213" s="461"/>
      <c r="G213" s="461"/>
      <c r="H213" s="461"/>
      <c r="I213" s="461"/>
    </row>
    <row r="214" spans="1:9" ht="11.25" customHeight="1">
      <c r="A214" s="453"/>
      <c r="B214" s="33"/>
      <c r="C214" s="150" t="s">
        <v>19</v>
      </c>
      <c r="D214" s="158">
        <v>1.992</v>
      </c>
      <c r="E214" s="158">
        <v>2.0333299999999999</v>
      </c>
      <c r="F214" s="461"/>
      <c r="G214" s="461"/>
      <c r="H214" s="461"/>
      <c r="I214" s="461"/>
    </row>
    <row r="215" spans="1:9" ht="11.25" customHeight="1">
      <c r="A215" s="453"/>
      <c r="B215" s="33"/>
      <c r="C215" s="150" t="s">
        <v>20</v>
      </c>
      <c r="D215" s="158">
        <v>1.7290000000000001</v>
      </c>
      <c r="E215" s="158">
        <v>2.0105599999999999</v>
      </c>
      <c r="F215" s="461"/>
      <c r="G215" s="461"/>
      <c r="H215" s="461"/>
      <c r="I215" s="461"/>
    </row>
    <row r="216" spans="1:9" ht="11.25" customHeight="1">
      <c r="A216" s="453"/>
      <c r="B216" s="33"/>
      <c r="C216" s="150" t="s">
        <v>19</v>
      </c>
      <c r="D216" s="158">
        <v>1.5429999999999999</v>
      </c>
      <c r="E216" s="158">
        <v>1.45166</v>
      </c>
      <c r="F216" s="461"/>
      <c r="G216" s="461"/>
      <c r="H216" s="461"/>
      <c r="I216" s="461"/>
    </row>
    <row r="217" spans="1:9" ht="11.25" customHeight="1">
      <c r="A217" s="453"/>
      <c r="B217" s="33"/>
      <c r="C217" s="150" t="s">
        <v>21</v>
      </c>
      <c r="D217" s="158">
        <v>2.137</v>
      </c>
      <c r="E217" s="158">
        <v>1.6652199999999999</v>
      </c>
      <c r="F217" s="461"/>
      <c r="G217" s="461"/>
      <c r="H217" s="461"/>
      <c r="I217" s="461"/>
    </row>
    <row r="218" spans="1:9" ht="11.25" customHeight="1">
      <c r="A218" s="453"/>
      <c r="B218" s="33"/>
      <c r="C218" s="150" t="s">
        <v>21</v>
      </c>
      <c r="D218" s="158">
        <v>3.702</v>
      </c>
      <c r="E218" s="158">
        <v>2.7310600000000003</v>
      </c>
      <c r="F218" s="461"/>
      <c r="G218" s="461"/>
      <c r="H218" s="461"/>
      <c r="I218" s="461"/>
    </row>
    <row r="219" spans="1:9" ht="11.25" customHeight="1">
      <c r="A219" s="453"/>
      <c r="B219" s="33"/>
      <c r="C219" s="150" t="s">
        <v>20</v>
      </c>
      <c r="D219" s="158">
        <v>4.7839999999999998</v>
      </c>
      <c r="E219" s="158">
        <v>3.2076699999999998</v>
      </c>
      <c r="F219" s="461"/>
      <c r="G219" s="461"/>
      <c r="H219" s="461"/>
      <c r="I219" s="461"/>
    </row>
    <row r="220" spans="1:9" ht="11.25" customHeight="1">
      <c r="A220" s="453"/>
      <c r="B220" s="33"/>
      <c r="C220" s="150" t="s">
        <v>22</v>
      </c>
      <c r="D220" s="158">
        <v>3.3860000000000001</v>
      </c>
      <c r="E220" s="158">
        <v>2.27399</v>
      </c>
      <c r="F220" s="461"/>
      <c r="G220" s="461"/>
      <c r="H220" s="461"/>
      <c r="I220" s="461"/>
    </row>
    <row r="221" spans="1:9" ht="11.25" customHeight="1">
      <c r="A221" s="453"/>
      <c r="B221" s="33"/>
      <c r="C221" s="150" t="s">
        <v>23</v>
      </c>
      <c r="D221" s="158">
        <v>2.7909999999999999</v>
      </c>
      <c r="E221" s="158">
        <v>1.8916499999999998</v>
      </c>
      <c r="F221" s="461"/>
      <c r="G221" s="461"/>
      <c r="H221" s="461"/>
      <c r="I221" s="461"/>
    </row>
    <row r="222" spans="1:9" ht="11.25" customHeight="1">
      <c r="A222" s="453"/>
      <c r="B222" s="33"/>
      <c r="C222" s="150" t="s">
        <v>24</v>
      </c>
      <c r="D222" s="158">
        <v>2.8289999999999997</v>
      </c>
      <c r="E222" s="158">
        <v>1.9488100000000002</v>
      </c>
      <c r="F222" s="461"/>
      <c r="G222" s="461"/>
      <c r="H222" s="461"/>
      <c r="I222" s="461"/>
    </row>
    <row r="223" spans="1:9" ht="11.25" customHeight="1">
      <c r="A223" s="453"/>
      <c r="B223" s="33"/>
      <c r="C223" s="150" t="s">
        <v>25</v>
      </c>
      <c r="D223" s="158">
        <v>3.3180000000000001</v>
      </c>
      <c r="E223" s="158">
        <v>2.6702300000000001</v>
      </c>
      <c r="F223" s="461"/>
      <c r="G223" s="461"/>
      <c r="H223" s="461"/>
      <c r="I223" s="461"/>
    </row>
    <row r="224" spans="1:9" ht="11.25" customHeight="1">
      <c r="A224" s="453"/>
      <c r="B224" s="33">
        <v>2018</v>
      </c>
      <c r="C224" s="150" t="s">
        <v>17</v>
      </c>
      <c r="D224" s="158">
        <v>1.4409999999999998</v>
      </c>
      <c r="E224" s="158">
        <v>1.8800000000000001</v>
      </c>
      <c r="F224" s="461"/>
      <c r="G224" s="461"/>
      <c r="H224" s="461"/>
      <c r="I224" s="461"/>
    </row>
    <row r="225" spans="1:9" ht="11.25" customHeight="1">
      <c r="A225" s="453"/>
      <c r="B225" s="33"/>
      <c r="C225" s="150" t="s">
        <v>18</v>
      </c>
      <c r="D225" s="158">
        <v>2.629</v>
      </c>
      <c r="E225" s="158">
        <v>2.234</v>
      </c>
      <c r="F225" s="461"/>
      <c r="G225" s="461"/>
      <c r="H225" s="461"/>
      <c r="I225" s="461"/>
    </row>
    <row r="226" spans="1:9" ht="11.25" customHeight="1">
      <c r="A226" s="453"/>
      <c r="B226" s="33"/>
      <c r="C226" s="150" t="s">
        <v>19</v>
      </c>
      <c r="D226" s="158">
        <v>4.2329999999999997</v>
      </c>
      <c r="E226" s="158">
        <v>3.1789999999999998</v>
      </c>
      <c r="F226" s="461"/>
      <c r="G226" s="461"/>
      <c r="H226" s="461"/>
      <c r="I226" s="461"/>
    </row>
    <row r="227" spans="1:9" ht="11.25" customHeight="1">
      <c r="A227" s="453"/>
      <c r="B227" s="33"/>
      <c r="C227" s="150" t="s">
        <v>20</v>
      </c>
      <c r="D227" s="158">
        <v>4.3929999999999998</v>
      </c>
      <c r="E227" s="158">
        <v>2.9610000000000003</v>
      </c>
      <c r="F227" s="461"/>
      <c r="G227" s="461"/>
      <c r="H227" s="461"/>
      <c r="I227" s="461"/>
    </row>
    <row r="228" spans="1:9" ht="11.25" customHeight="1">
      <c r="A228" s="453"/>
      <c r="B228" s="33"/>
      <c r="C228" s="150" t="s">
        <v>19</v>
      </c>
      <c r="D228" s="158">
        <v>4.0890000000000004</v>
      </c>
      <c r="E228" s="158">
        <v>2.9649999999999999</v>
      </c>
      <c r="F228" s="461"/>
      <c r="G228" s="461"/>
      <c r="H228" s="461"/>
      <c r="I228" s="461"/>
    </row>
    <row r="229" spans="1:9" ht="11.25" customHeight="1">
      <c r="A229" s="453"/>
      <c r="B229" s="33"/>
      <c r="C229" s="150" t="s">
        <v>21</v>
      </c>
      <c r="D229" s="158">
        <v>2.585</v>
      </c>
      <c r="E229" s="158">
        <v>2.06</v>
      </c>
      <c r="F229" s="461"/>
      <c r="G229" s="461"/>
      <c r="H229" s="461"/>
      <c r="I229" s="461"/>
    </row>
    <row r="230" spans="1:9" ht="11.25" customHeight="1">
      <c r="A230" s="453"/>
      <c r="B230" s="33"/>
      <c r="C230" s="150" t="s">
        <v>21</v>
      </c>
      <c r="D230" s="158">
        <v>2.1069999999999998</v>
      </c>
      <c r="E230" s="158">
        <v>1.6400000000000001</v>
      </c>
      <c r="F230" s="461"/>
      <c r="G230" s="461"/>
      <c r="H230" s="461"/>
      <c r="I230" s="461"/>
    </row>
    <row r="231" spans="1:9" ht="11.25" customHeight="1">
      <c r="A231" s="453"/>
      <c r="B231" s="33"/>
      <c r="C231" s="150" t="s">
        <v>20</v>
      </c>
      <c r="D231" s="158">
        <v>1.1079999999999999</v>
      </c>
      <c r="E231" s="158">
        <v>1.2109999999999999</v>
      </c>
      <c r="F231" s="461"/>
      <c r="G231" s="461"/>
      <c r="H231" s="461"/>
      <c r="I231" s="461"/>
    </row>
    <row r="232" spans="1:9" ht="11.25" customHeight="1">
      <c r="A232" s="453"/>
      <c r="B232" s="33"/>
      <c r="C232" s="150" t="s">
        <v>22</v>
      </c>
      <c r="D232" s="158">
        <v>2.3539999999999996</v>
      </c>
      <c r="E232" s="158">
        <v>1.8919999999999999</v>
      </c>
      <c r="F232" s="461"/>
      <c r="G232" s="461"/>
      <c r="H232" s="461"/>
      <c r="I232" s="461"/>
    </row>
    <row r="233" spans="1:9" ht="11.25" customHeight="1">
      <c r="A233" s="453"/>
      <c r="B233" s="33"/>
      <c r="C233" s="150" t="s">
        <v>23</v>
      </c>
      <c r="D233" s="158">
        <v>2.42</v>
      </c>
      <c r="E233" s="158">
        <v>1.7409999999999999</v>
      </c>
      <c r="F233" s="461"/>
      <c r="G233" s="461"/>
      <c r="H233" s="461"/>
      <c r="I233" s="461"/>
    </row>
    <row r="234" spans="1:9" ht="11.25" customHeight="1">
      <c r="A234" s="453"/>
      <c r="B234" s="33"/>
      <c r="C234" s="150" t="s">
        <v>24</v>
      </c>
      <c r="D234" s="158">
        <v>1.9789999999999999</v>
      </c>
      <c r="E234" s="158">
        <v>1.353</v>
      </c>
      <c r="F234" s="461"/>
      <c r="G234" s="461"/>
      <c r="H234" s="461"/>
      <c r="I234" s="461"/>
    </row>
    <row r="235" spans="1:9" ht="11.25" customHeight="1">
      <c r="A235" s="453"/>
      <c r="B235" s="33"/>
      <c r="C235" s="150" t="s">
        <v>25</v>
      </c>
      <c r="D235" s="158">
        <v>0.68100000000000005</v>
      </c>
      <c r="E235" s="158">
        <v>0.309</v>
      </c>
      <c r="F235" s="461"/>
      <c r="G235" s="461"/>
      <c r="H235" s="461"/>
      <c r="I235" s="461"/>
    </row>
    <row r="236" spans="1:9" ht="11.25" customHeight="1">
      <c r="A236" s="453"/>
      <c r="B236" s="33">
        <v>2019</v>
      </c>
      <c r="C236" s="150" t="s">
        <v>17</v>
      </c>
      <c r="D236" s="158">
        <v>2.0590000000000002</v>
      </c>
      <c r="E236" s="158">
        <v>0.78499999999999992</v>
      </c>
      <c r="F236" s="461"/>
      <c r="G236" s="461"/>
      <c r="H236" s="461"/>
      <c r="I236" s="461"/>
    </row>
    <row r="237" spans="1:9" ht="11.25" customHeight="1">
      <c r="A237" s="453"/>
      <c r="B237" s="33"/>
      <c r="C237" s="150" t="s">
        <v>18</v>
      </c>
      <c r="D237" s="158">
        <v>0.312</v>
      </c>
      <c r="E237" s="158">
        <v>0.42599999999999999</v>
      </c>
      <c r="F237" s="461"/>
      <c r="G237" s="461"/>
      <c r="H237" s="461"/>
      <c r="I237" s="461"/>
    </row>
    <row r="238" spans="1:9" ht="11.25" customHeight="1">
      <c r="A238" s="453"/>
      <c r="B238" s="33"/>
      <c r="C238" s="150" t="s">
        <v>19</v>
      </c>
      <c r="D238" s="158">
        <v>-0.96799999999999997</v>
      </c>
      <c r="E238" s="158">
        <v>-0.27299999999999996</v>
      </c>
      <c r="F238" s="461"/>
      <c r="G238" s="461"/>
      <c r="H238" s="461"/>
      <c r="I238" s="461"/>
    </row>
    <row r="239" spans="1:9" ht="11.25" customHeight="1">
      <c r="A239" s="453"/>
      <c r="B239" s="33"/>
      <c r="C239" s="150" t="s">
        <v>20</v>
      </c>
      <c r="D239" s="158">
        <v>-0.83499999999999996</v>
      </c>
      <c r="E239" s="158">
        <v>0.108</v>
      </c>
      <c r="F239" s="461"/>
      <c r="G239" s="461"/>
      <c r="H239" s="461"/>
      <c r="I239" s="461"/>
    </row>
    <row r="240" spans="1:9" ht="11.25" customHeight="1">
      <c r="A240" s="453"/>
      <c r="B240" s="33"/>
      <c r="C240" s="150" t="s">
        <v>19</v>
      </c>
      <c r="D240" s="158">
        <v>-0.71299999999999997</v>
      </c>
      <c r="E240" s="158">
        <v>1.9E-2</v>
      </c>
      <c r="F240" s="461"/>
      <c r="G240" s="461"/>
      <c r="H240" s="461"/>
      <c r="I240" s="461"/>
    </row>
    <row r="241" spans="1:9" ht="11.25" customHeight="1">
      <c r="A241" s="453"/>
      <c r="B241" s="33"/>
      <c r="C241" s="150" t="s">
        <v>21</v>
      </c>
      <c r="D241" s="158">
        <v>3.1E-2</v>
      </c>
      <c r="E241" s="158">
        <v>0.434</v>
      </c>
      <c r="F241" s="461"/>
      <c r="G241" s="461"/>
      <c r="H241" s="461"/>
      <c r="I241" s="461"/>
    </row>
    <row r="242" spans="1:9" ht="11.25" customHeight="1">
      <c r="A242" s="453"/>
      <c r="B242" s="33"/>
      <c r="C242" s="150" t="s">
        <v>21</v>
      </c>
      <c r="D242" s="158">
        <v>0.46200000000000002</v>
      </c>
      <c r="E242" s="158">
        <v>0.38</v>
      </c>
      <c r="F242" s="461"/>
      <c r="G242" s="461"/>
      <c r="H242" s="461"/>
      <c r="I242" s="461"/>
    </row>
    <row r="243" spans="1:9" ht="11.25" customHeight="1">
      <c r="A243" s="453"/>
      <c r="B243" s="33"/>
      <c r="C243" s="150" t="s">
        <v>20</v>
      </c>
      <c r="D243" s="158">
        <v>0.51900000000000002</v>
      </c>
      <c r="E243" s="158">
        <v>0.54200000000000004</v>
      </c>
      <c r="F243" s="461"/>
      <c r="G243" s="461"/>
      <c r="H243" s="461"/>
      <c r="I243" s="461"/>
    </row>
    <row r="244" spans="1:9" ht="11.25" customHeight="1">
      <c r="A244" s="453"/>
      <c r="B244" s="33"/>
      <c r="C244" s="150" t="s">
        <v>22</v>
      </c>
      <c r="D244" s="158">
        <v>-0.248</v>
      </c>
      <c r="E244" s="158">
        <v>0.193</v>
      </c>
      <c r="F244" s="461"/>
      <c r="G244" s="461"/>
      <c r="H244" s="461"/>
      <c r="I244" s="461"/>
    </row>
    <row r="245" spans="1:9" ht="11.25" customHeight="1">
      <c r="A245" s="453"/>
      <c r="B245" s="33"/>
      <c r="C245" s="150" t="s">
        <v>23</v>
      </c>
      <c r="D245" s="158">
        <v>-3.2000000000000001E-2</v>
      </c>
      <c r="E245" s="158">
        <v>0.49699999999999994</v>
      </c>
      <c r="F245" s="461"/>
      <c r="G245" s="461"/>
      <c r="H245" s="461"/>
      <c r="I245" s="461"/>
    </row>
    <row r="246" spans="1:9" ht="11.25" customHeight="1">
      <c r="A246" s="453"/>
      <c r="B246" s="33"/>
      <c r="C246" s="150" t="s">
        <v>24</v>
      </c>
      <c r="D246" s="158">
        <v>0.34499999999999997</v>
      </c>
      <c r="E246" s="158">
        <v>0.59699999999999998</v>
      </c>
      <c r="F246" s="461"/>
      <c r="G246" s="461"/>
      <c r="H246" s="461"/>
      <c r="I246" s="461"/>
    </row>
    <row r="247" spans="1:9" ht="11.25" customHeight="1">
      <c r="A247" s="453"/>
      <c r="B247" s="33"/>
      <c r="C247" s="150" t="s">
        <v>25</v>
      </c>
      <c r="D247" s="158">
        <v>0.95399999999999996</v>
      </c>
      <c r="E247" s="158">
        <v>0.94400000000000006</v>
      </c>
      <c r="F247" s="461"/>
      <c r="G247" s="461"/>
      <c r="H247" s="461"/>
      <c r="I247" s="461"/>
    </row>
    <row r="248" spans="1:9" ht="11.25" customHeight="1">
      <c r="A248" s="453"/>
      <c r="B248" s="33">
        <v>2020</v>
      </c>
      <c r="C248" s="150" t="s">
        <v>17</v>
      </c>
      <c r="D248" s="158">
        <v>-7.8E-2</v>
      </c>
      <c r="E248" s="158">
        <v>0.60099999999999998</v>
      </c>
      <c r="F248" s="461"/>
      <c r="G248" s="461"/>
      <c r="H248" s="461"/>
      <c r="I248" s="461"/>
    </row>
    <row r="249" spans="1:9" ht="11.25" customHeight="1">
      <c r="A249" s="453"/>
      <c r="B249" s="455"/>
      <c r="C249" s="150" t="s">
        <v>18</v>
      </c>
      <c r="D249" s="158">
        <v>0.42300000000000004</v>
      </c>
      <c r="E249" s="158">
        <v>0.69599999999999995</v>
      </c>
      <c r="F249" s="461"/>
      <c r="G249" s="461"/>
      <c r="H249" s="461"/>
      <c r="I249" s="461"/>
    </row>
    <row r="250" spans="1:9" ht="11.25" customHeight="1">
      <c r="A250" s="453"/>
      <c r="B250" s="455"/>
      <c r="C250" s="150" t="s">
        <v>19</v>
      </c>
      <c r="D250" s="158">
        <v>0.28999999999999998</v>
      </c>
      <c r="E250" s="158">
        <v>0.28500000000000003</v>
      </c>
      <c r="F250" s="461"/>
      <c r="G250" s="461"/>
      <c r="H250" s="461"/>
      <c r="I250" s="461"/>
    </row>
    <row r="251" spans="1:9" ht="11.25" customHeight="1">
      <c r="A251" s="453"/>
      <c r="B251" s="455"/>
      <c r="C251" s="150" t="s">
        <v>20</v>
      </c>
      <c r="D251" s="158">
        <v>-2.0950000000000002</v>
      </c>
      <c r="E251" s="158">
        <v>-2.218</v>
      </c>
      <c r="F251" s="461"/>
      <c r="G251" s="461"/>
      <c r="H251" s="461"/>
      <c r="I251" s="461"/>
    </row>
    <row r="252" spans="1:9" ht="11.25" customHeight="1">
      <c r="A252" s="453"/>
      <c r="B252" s="455"/>
      <c r="C252" s="150" t="s">
        <v>19</v>
      </c>
      <c r="D252" s="158">
        <v>-4.5890000000000004</v>
      </c>
      <c r="E252" s="158">
        <v>-4.9009999999999998</v>
      </c>
      <c r="F252" s="461"/>
      <c r="G252" s="461"/>
      <c r="H252" s="461"/>
      <c r="I252" s="461"/>
    </row>
    <row r="253" spans="1:9" ht="11.25" customHeight="1">
      <c r="A253" s="453"/>
      <c r="B253" s="455"/>
      <c r="C253" s="150" t="s">
        <v>21</v>
      </c>
      <c r="D253" s="158">
        <v>-7.5969999999999995</v>
      </c>
      <c r="E253" s="158">
        <v>-7.8630000000000004</v>
      </c>
      <c r="F253" s="461"/>
      <c r="G253" s="461"/>
      <c r="H253" s="461"/>
      <c r="I253" s="461"/>
    </row>
    <row r="254" spans="1:9" ht="11.25" customHeight="1">
      <c r="A254" s="453"/>
      <c r="B254" s="33"/>
      <c r="C254" s="150" t="s">
        <v>21</v>
      </c>
      <c r="D254" s="158">
        <v>-11.241</v>
      </c>
      <c r="E254" s="158">
        <v>-10.621</v>
      </c>
      <c r="F254" s="461"/>
      <c r="G254" s="461"/>
      <c r="H254" s="461"/>
      <c r="I254" s="461"/>
    </row>
    <row r="255" spans="1:9" ht="11.25" customHeight="1">
      <c r="A255" s="453"/>
      <c r="B255" s="33"/>
      <c r="C255" s="150" t="s">
        <v>20</v>
      </c>
      <c r="D255" s="158">
        <v>-13.533999999999999</v>
      </c>
      <c r="E255" s="158">
        <v>-13.008000000000001</v>
      </c>
      <c r="F255" s="461"/>
      <c r="G255" s="461"/>
      <c r="H255" s="461"/>
      <c r="I255" s="461"/>
    </row>
    <row r="256" spans="1:9" ht="11.25" customHeight="1">
      <c r="A256" s="453"/>
      <c r="B256" s="33"/>
      <c r="C256" s="150" t="s">
        <v>22</v>
      </c>
      <c r="D256" s="158">
        <v>-16.238</v>
      </c>
      <c r="E256" s="158">
        <v>-15.704000000000001</v>
      </c>
      <c r="F256" s="461"/>
      <c r="G256" s="461"/>
      <c r="H256" s="461"/>
      <c r="I256" s="461"/>
    </row>
    <row r="257" spans="1:9" ht="11.25" customHeight="1">
      <c r="A257" s="453"/>
      <c r="B257" s="33"/>
      <c r="C257" s="150" t="s">
        <v>23</v>
      </c>
      <c r="D257" s="158">
        <v>-18.440999999999999</v>
      </c>
      <c r="E257" s="158">
        <v>-17.788999999999998</v>
      </c>
      <c r="F257" s="461"/>
      <c r="G257" s="461"/>
      <c r="H257" s="461"/>
      <c r="I257" s="461"/>
    </row>
    <row r="258" spans="1:9" ht="11.25" customHeight="1">
      <c r="A258" s="453"/>
      <c r="B258" s="33"/>
      <c r="C258" s="150" t="s">
        <v>24</v>
      </c>
      <c r="D258" s="158">
        <v>-19.443999999999999</v>
      </c>
      <c r="E258" s="158">
        <v>-18.340999999999998</v>
      </c>
      <c r="F258" s="461"/>
      <c r="G258" s="461"/>
      <c r="H258" s="461"/>
      <c r="I258" s="461"/>
    </row>
    <row r="259" spans="1:9" ht="11.25" customHeight="1">
      <c r="A259" s="453"/>
      <c r="B259" s="33"/>
      <c r="C259" s="152" t="s">
        <v>25</v>
      </c>
      <c r="D259" s="159">
        <v>-19.193999999999999</v>
      </c>
      <c r="E259" s="159">
        <v>-17.991</v>
      </c>
      <c r="F259" s="461"/>
      <c r="G259" s="461"/>
      <c r="H259" s="461"/>
      <c r="I259" s="461"/>
    </row>
    <row r="260" spans="1:9" ht="11.25" customHeight="1">
      <c r="B260" s="17"/>
    </row>
    <row r="261" spans="1:9" ht="11.25" customHeight="1">
      <c r="B261" s="17"/>
      <c r="C261" s="157" t="s">
        <v>256</v>
      </c>
      <c r="D261" s="17"/>
      <c r="E261" s="17"/>
    </row>
    <row r="262" spans="1:9" ht="11.25" customHeight="1">
      <c r="B262" s="17"/>
      <c r="C262" s="155"/>
      <c r="D262" s="156" t="s">
        <v>48</v>
      </c>
      <c r="E262" s="156" t="s">
        <v>77</v>
      </c>
    </row>
    <row r="263" spans="1:9" ht="11.25" customHeight="1">
      <c r="A263" s="396"/>
      <c r="B263" s="33">
        <v>2016</v>
      </c>
      <c r="C263" s="150" t="s">
        <v>17</v>
      </c>
      <c r="D263" s="158">
        <v>0.90100000000000002</v>
      </c>
      <c r="E263" s="158">
        <v>0.77482000000000006</v>
      </c>
      <c r="H263" s="461"/>
      <c r="I263" s="461"/>
    </row>
    <row r="264" spans="1:9" ht="11.25" customHeight="1">
      <c r="A264" s="396"/>
      <c r="B264" s="33"/>
      <c r="C264" s="150" t="s">
        <v>18</v>
      </c>
      <c r="D264" s="158">
        <v>1.105</v>
      </c>
      <c r="E264" s="158">
        <v>0.98951999999999996</v>
      </c>
      <c r="H264" s="461"/>
      <c r="I264" s="461"/>
    </row>
    <row r="265" spans="1:9" ht="11.25" customHeight="1">
      <c r="A265" s="396"/>
      <c r="B265" s="33"/>
      <c r="C265" s="150" t="s">
        <v>19</v>
      </c>
      <c r="D265" s="158">
        <v>1.097</v>
      </c>
      <c r="E265" s="158">
        <v>1.0038500000000001</v>
      </c>
      <c r="H265" s="461"/>
      <c r="I265" s="461"/>
    </row>
    <row r="266" spans="1:9" ht="11.25" customHeight="1">
      <c r="A266" s="396"/>
      <c r="B266" s="33"/>
      <c r="C266" s="150" t="s">
        <v>20</v>
      </c>
      <c r="D266" s="158">
        <v>1.32</v>
      </c>
      <c r="E266" s="158">
        <v>1.25746</v>
      </c>
      <c r="H266" s="461"/>
      <c r="I266" s="461"/>
    </row>
    <row r="267" spans="1:9" ht="11.25" customHeight="1">
      <c r="A267" s="396"/>
      <c r="B267" s="33"/>
      <c r="C267" s="150" t="s">
        <v>19</v>
      </c>
      <c r="D267" s="158">
        <v>1.2130000000000001</v>
      </c>
      <c r="E267" s="158">
        <v>1.12019</v>
      </c>
      <c r="H267" s="461"/>
      <c r="I267" s="461"/>
    </row>
    <row r="268" spans="1:9" ht="11.25" customHeight="1">
      <c r="A268" s="396"/>
      <c r="B268" s="33"/>
      <c r="C268" s="150" t="s">
        <v>21</v>
      </c>
      <c r="D268" s="158">
        <v>1.532</v>
      </c>
      <c r="E268" s="158">
        <v>1.4767300000000001</v>
      </c>
      <c r="H268" s="461"/>
      <c r="I268" s="461"/>
    </row>
    <row r="269" spans="1:9" ht="11.25" customHeight="1">
      <c r="A269" s="396"/>
      <c r="B269" s="33"/>
      <c r="C269" s="150" t="s">
        <v>21</v>
      </c>
      <c r="D269" s="158">
        <v>1.103</v>
      </c>
      <c r="E269" s="158">
        <v>1.1836800000000001</v>
      </c>
      <c r="H269" s="461"/>
      <c r="I269" s="461"/>
    </row>
    <row r="270" spans="1:9" ht="11.25" customHeight="1">
      <c r="A270" s="396"/>
      <c r="B270" s="33"/>
      <c r="C270" s="150" t="s">
        <v>20</v>
      </c>
      <c r="D270" s="158">
        <v>1.1990000000000001</v>
      </c>
      <c r="E270" s="158">
        <v>1.2676700000000001</v>
      </c>
      <c r="H270" s="461"/>
      <c r="I270" s="461"/>
    </row>
    <row r="271" spans="1:9" ht="11.25" customHeight="1">
      <c r="A271" s="396"/>
      <c r="B271" s="455"/>
      <c r="C271" s="150" t="s">
        <v>22</v>
      </c>
      <c r="D271" s="158">
        <v>1.2050000000000001</v>
      </c>
      <c r="E271" s="158">
        <v>1.30139</v>
      </c>
      <c r="H271" s="461"/>
      <c r="I271" s="461"/>
    </row>
    <row r="272" spans="1:9" ht="11.25" customHeight="1">
      <c r="A272" s="396"/>
      <c r="B272" s="33"/>
      <c r="C272" s="150" t="s">
        <v>23</v>
      </c>
      <c r="D272" s="158">
        <v>1.2919999999999998</v>
      </c>
      <c r="E272" s="158">
        <v>1.37599</v>
      </c>
      <c r="H272" s="461"/>
      <c r="I272" s="461"/>
    </row>
    <row r="273" spans="1:9" ht="11.25" customHeight="1">
      <c r="A273" s="396"/>
      <c r="B273" s="33"/>
      <c r="C273" s="150" t="s">
        <v>24</v>
      </c>
      <c r="D273" s="158">
        <v>1.3069999999999999</v>
      </c>
      <c r="E273" s="158">
        <v>1.4064399999999999</v>
      </c>
      <c r="H273" s="461"/>
      <c r="I273" s="461"/>
    </row>
    <row r="274" spans="1:9" ht="11.25" customHeight="1">
      <c r="A274" s="396"/>
      <c r="B274" s="33"/>
      <c r="C274" s="150" t="s">
        <v>25</v>
      </c>
      <c r="D274" s="158">
        <v>1.284</v>
      </c>
      <c r="E274" s="158">
        <v>1.35226</v>
      </c>
      <c r="H274" s="461"/>
      <c r="I274" s="461"/>
    </row>
    <row r="275" spans="1:9" ht="11.25" customHeight="1">
      <c r="A275" s="396"/>
      <c r="B275" s="33">
        <v>2017</v>
      </c>
      <c r="C275" s="150" t="s">
        <v>17</v>
      </c>
      <c r="D275" s="158">
        <v>1.5620000000000001</v>
      </c>
      <c r="E275" s="158">
        <v>1.50997</v>
      </c>
      <c r="H275" s="461"/>
      <c r="I275" s="461"/>
    </row>
    <row r="276" spans="1:9" ht="11.25" customHeight="1">
      <c r="A276" s="396"/>
      <c r="B276" s="33"/>
      <c r="C276" s="150" t="s">
        <v>18</v>
      </c>
      <c r="D276" s="158">
        <v>1.1619999999999999</v>
      </c>
      <c r="E276" s="158">
        <v>1.1430400000000001</v>
      </c>
      <c r="H276" s="461"/>
      <c r="I276" s="461"/>
    </row>
    <row r="277" spans="1:9" ht="11.25" customHeight="1">
      <c r="A277" s="396"/>
      <c r="B277" s="33"/>
      <c r="C277" s="150" t="s">
        <v>19</v>
      </c>
      <c r="D277" s="158">
        <v>1.298</v>
      </c>
      <c r="E277" s="158">
        <v>1.3009899999999999</v>
      </c>
      <c r="H277" s="461"/>
      <c r="I277" s="461"/>
    </row>
    <row r="278" spans="1:9" ht="11.25" customHeight="1">
      <c r="A278" s="396"/>
      <c r="B278" s="33"/>
      <c r="C278" s="150" t="s">
        <v>20</v>
      </c>
      <c r="D278" s="158">
        <v>1.294</v>
      </c>
      <c r="E278" s="158">
        <v>1.42188</v>
      </c>
      <c r="H278" s="461"/>
      <c r="I278" s="461"/>
    </row>
    <row r="279" spans="1:9" ht="11.25" customHeight="1">
      <c r="A279" s="396"/>
      <c r="B279" s="33"/>
      <c r="C279" s="150" t="s">
        <v>19</v>
      </c>
      <c r="D279" s="158">
        <v>1.677</v>
      </c>
      <c r="E279" s="158">
        <v>1.8173000000000001</v>
      </c>
      <c r="H279" s="461"/>
      <c r="I279" s="461"/>
    </row>
    <row r="280" spans="1:9" ht="11.25" customHeight="1">
      <c r="A280" s="396"/>
      <c r="B280" s="33"/>
      <c r="C280" s="150" t="s">
        <v>21</v>
      </c>
      <c r="D280" s="158">
        <v>1.675</v>
      </c>
      <c r="E280" s="158">
        <v>1.8162799999999999</v>
      </c>
      <c r="H280" s="461"/>
      <c r="I280" s="461"/>
    </row>
    <row r="281" spans="1:9" ht="11.25" customHeight="1">
      <c r="A281" s="396"/>
      <c r="B281" s="33"/>
      <c r="C281" s="150" t="s">
        <v>21</v>
      </c>
      <c r="D281" s="158">
        <v>1.7919999999999998</v>
      </c>
      <c r="E281" s="158">
        <v>1.8806300000000002</v>
      </c>
      <c r="H281" s="461"/>
      <c r="I281" s="461"/>
    </row>
    <row r="282" spans="1:9" ht="11.25" customHeight="1">
      <c r="A282" s="396"/>
      <c r="B282" s="33"/>
      <c r="C282" s="150" t="s">
        <v>20</v>
      </c>
      <c r="D282" s="158">
        <v>1.659</v>
      </c>
      <c r="E282" s="158">
        <v>1.78888</v>
      </c>
      <c r="H282" s="461"/>
      <c r="I282" s="461"/>
    </row>
    <row r="283" spans="1:9" ht="11.25" customHeight="1">
      <c r="A283" s="396"/>
      <c r="B283" s="33"/>
      <c r="C283" s="150" t="s">
        <v>22</v>
      </c>
      <c r="D283" s="158">
        <v>1.764</v>
      </c>
      <c r="E283" s="158">
        <v>1.9259900000000001</v>
      </c>
      <c r="H283" s="461"/>
      <c r="I283" s="461"/>
    </row>
    <row r="284" spans="1:9" ht="11.25" customHeight="1">
      <c r="A284" s="396"/>
      <c r="B284" s="33"/>
      <c r="C284" s="150" t="s">
        <v>23</v>
      </c>
      <c r="D284" s="158">
        <v>2.0420000000000003</v>
      </c>
      <c r="E284" s="158">
        <v>2.1127600000000002</v>
      </c>
      <c r="H284" s="461"/>
      <c r="I284" s="461"/>
    </row>
    <row r="285" spans="1:9" ht="11.25" customHeight="1">
      <c r="A285" s="396"/>
      <c r="B285" s="33"/>
      <c r="C285" s="150" t="s">
        <v>24</v>
      </c>
      <c r="D285" s="158">
        <v>2.202</v>
      </c>
      <c r="E285" s="158">
        <v>2.2874599999999998</v>
      </c>
      <c r="H285" s="461"/>
      <c r="I285" s="461"/>
    </row>
    <row r="286" spans="1:9" ht="11.25" customHeight="1">
      <c r="A286" s="396"/>
      <c r="B286" s="33"/>
      <c r="C286" s="150" t="s">
        <v>25</v>
      </c>
      <c r="D286" s="158">
        <v>2.1379999999999999</v>
      </c>
      <c r="E286" s="158">
        <v>2.31318</v>
      </c>
      <c r="H286" s="461"/>
      <c r="I286" s="461"/>
    </row>
    <row r="287" spans="1:9" ht="11.25" customHeight="1">
      <c r="A287" s="396"/>
      <c r="B287" s="33">
        <v>2018</v>
      </c>
      <c r="C287" s="150" t="s">
        <v>17</v>
      </c>
      <c r="D287" s="158">
        <v>2.012</v>
      </c>
      <c r="E287" s="158">
        <v>2.2319999999999998</v>
      </c>
      <c r="H287" s="461"/>
      <c r="I287" s="461"/>
    </row>
    <row r="288" spans="1:9" ht="11.25" customHeight="1">
      <c r="A288" s="396"/>
      <c r="B288" s="33"/>
      <c r="C288" s="150" t="s">
        <v>18</v>
      </c>
      <c r="D288" s="158">
        <v>2.3730000000000002</v>
      </c>
      <c r="E288" s="158">
        <v>2.5309999999999997</v>
      </c>
      <c r="H288" s="461"/>
      <c r="I288" s="461"/>
    </row>
    <row r="289" spans="1:9" ht="11.25" customHeight="1">
      <c r="A289" s="396"/>
      <c r="B289" s="33"/>
      <c r="C289" s="150" t="s">
        <v>19</v>
      </c>
      <c r="D289" s="158">
        <v>2.0830000000000002</v>
      </c>
      <c r="E289" s="158">
        <v>2.3640000000000003</v>
      </c>
      <c r="H289" s="461"/>
      <c r="I289" s="461"/>
    </row>
    <row r="290" spans="1:9" ht="11.25" customHeight="1">
      <c r="A290" s="396"/>
      <c r="B290" s="33"/>
      <c r="C290" s="150" t="s">
        <v>20</v>
      </c>
      <c r="D290" s="158">
        <v>1.8599999999999999</v>
      </c>
      <c r="E290" s="158">
        <v>1.9300000000000002</v>
      </c>
      <c r="H290" s="461"/>
      <c r="I290" s="461"/>
    </row>
    <row r="291" spans="1:9" ht="11.25" customHeight="1">
      <c r="A291" s="396"/>
      <c r="B291" s="33"/>
      <c r="C291" s="150" t="s">
        <v>19</v>
      </c>
      <c r="D291" s="158">
        <v>1.3599999999999999</v>
      </c>
      <c r="E291" s="158">
        <v>1.4379999999999999</v>
      </c>
      <c r="H291" s="461"/>
      <c r="I291" s="461"/>
    </row>
    <row r="292" spans="1:9" ht="11.25" customHeight="1">
      <c r="A292" s="396"/>
      <c r="B292" s="33"/>
      <c r="C292" s="150" t="s">
        <v>21</v>
      </c>
      <c r="D292" s="158">
        <v>0.82900000000000007</v>
      </c>
      <c r="E292" s="158">
        <v>0.94400000000000006</v>
      </c>
      <c r="H292" s="461"/>
      <c r="I292" s="461"/>
    </row>
    <row r="293" spans="1:9" ht="11.25" customHeight="1">
      <c r="A293" s="396"/>
      <c r="B293" s="33"/>
      <c r="C293" s="150" t="s">
        <v>21</v>
      </c>
      <c r="D293" s="158">
        <v>0.61799999999999999</v>
      </c>
      <c r="E293" s="158">
        <v>0.69399999999999995</v>
      </c>
      <c r="H293" s="461"/>
      <c r="I293" s="461"/>
    </row>
    <row r="294" spans="1:9" ht="11.25" customHeight="1">
      <c r="A294" s="396"/>
      <c r="B294" s="33"/>
      <c r="C294" s="150" t="s">
        <v>20</v>
      </c>
      <c r="D294" s="158">
        <v>0.157</v>
      </c>
      <c r="E294" s="158">
        <v>0.23400000000000001</v>
      </c>
      <c r="H294" s="461"/>
      <c r="I294" s="461"/>
    </row>
    <row r="295" spans="1:9" ht="11.25" customHeight="1">
      <c r="A295" s="396"/>
      <c r="B295" s="33"/>
      <c r="C295" s="150" t="s">
        <v>22</v>
      </c>
      <c r="D295" s="158">
        <v>9.9000000000000005E-2</v>
      </c>
      <c r="E295" s="158">
        <v>0.16600000000000001</v>
      </c>
      <c r="H295" s="461"/>
      <c r="I295" s="461"/>
    </row>
    <row r="296" spans="1:9" ht="11.25" customHeight="1">
      <c r="A296" s="396"/>
      <c r="B296" s="33"/>
      <c r="C296" s="150" t="s">
        <v>23</v>
      </c>
      <c r="D296" s="158">
        <v>-0.34799999999999998</v>
      </c>
      <c r="E296" s="158">
        <v>-0.28800000000000003</v>
      </c>
      <c r="H296" s="461"/>
      <c r="I296" s="461"/>
    </row>
    <row r="297" spans="1:9" ht="11.25" customHeight="1">
      <c r="A297" s="396"/>
      <c r="B297" s="33"/>
      <c r="C297" s="150" t="s">
        <v>24</v>
      </c>
      <c r="D297" s="158">
        <v>-0.85400000000000009</v>
      </c>
      <c r="E297" s="158">
        <v>-0.84899999999999998</v>
      </c>
      <c r="H297" s="461"/>
      <c r="I297" s="461"/>
    </row>
    <row r="298" spans="1:9" ht="11.25" customHeight="1">
      <c r="A298" s="396"/>
      <c r="B298" s="33"/>
      <c r="C298" s="150" t="s">
        <v>25</v>
      </c>
      <c r="D298" s="158">
        <v>-1.0009999999999999</v>
      </c>
      <c r="E298" s="158">
        <v>-1.089</v>
      </c>
      <c r="H298" s="461"/>
      <c r="I298" s="461"/>
    </row>
    <row r="299" spans="1:9" ht="11.25" customHeight="1">
      <c r="A299" s="396"/>
      <c r="B299" s="33">
        <v>2019</v>
      </c>
      <c r="C299" s="150" t="s">
        <v>17</v>
      </c>
      <c r="D299" s="158">
        <v>-1.1100000000000001</v>
      </c>
      <c r="E299" s="158">
        <v>-1.244</v>
      </c>
      <c r="H299" s="461"/>
      <c r="I299" s="461"/>
    </row>
    <row r="300" spans="1:9" ht="11.25" customHeight="1">
      <c r="A300" s="396"/>
      <c r="B300" s="33"/>
      <c r="C300" s="150" t="s">
        <v>18</v>
      </c>
      <c r="D300" s="158">
        <v>-1.343</v>
      </c>
      <c r="E300" s="158">
        <v>-1.5230000000000001</v>
      </c>
      <c r="H300" s="461"/>
      <c r="I300" s="461"/>
    </row>
    <row r="301" spans="1:9" ht="11.25" customHeight="1">
      <c r="A301" s="396"/>
      <c r="B301" s="33"/>
      <c r="C301" s="150" t="s">
        <v>19</v>
      </c>
      <c r="D301" s="158">
        <v>-1.17</v>
      </c>
      <c r="E301" s="158">
        <v>-1.5209999999999999</v>
      </c>
      <c r="H301" s="461"/>
      <c r="I301" s="461"/>
    </row>
    <row r="302" spans="1:9" ht="11.25" customHeight="1">
      <c r="A302" s="396"/>
      <c r="B302" s="33"/>
      <c r="C302" s="150" t="s">
        <v>20</v>
      </c>
      <c r="D302" s="158">
        <v>-1.167</v>
      </c>
      <c r="E302" s="158">
        <v>-1.4500000000000002</v>
      </c>
      <c r="H302" s="461"/>
      <c r="I302" s="461"/>
    </row>
    <row r="303" spans="1:9" ht="11.25" customHeight="1">
      <c r="A303" s="396"/>
      <c r="B303" s="33"/>
      <c r="C303" s="150" t="s">
        <v>19</v>
      </c>
      <c r="D303" s="158">
        <v>-0.92800000000000005</v>
      </c>
      <c r="E303" s="158">
        <v>-1.2409999999999999</v>
      </c>
      <c r="H303" s="461"/>
      <c r="I303" s="461"/>
    </row>
    <row r="304" spans="1:9" ht="11.25" customHeight="1">
      <c r="A304" s="396"/>
      <c r="B304" s="33"/>
      <c r="C304" s="150" t="s">
        <v>21</v>
      </c>
      <c r="D304" s="158">
        <v>-0.59300000000000008</v>
      </c>
      <c r="E304" s="158">
        <v>-0.94500000000000006</v>
      </c>
      <c r="H304" s="461"/>
      <c r="I304" s="461"/>
    </row>
    <row r="305" spans="1:9" ht="11.25" customHeight="1">
      <c r="A305" s="396"/>
      <c r="B305" s="33"/>
      <c r="C305" s="150" t="s">
        <v>21</v>
      </c>
      <c r="D305" s="158">
        <v>-0.40400000000000003</v>
      </c>
      <c r="E305" s="158">
        <v>-0.80700000000000005</v>
      </c>
      <c r="H305" s="461"/>
      <c r="I305" s="461"/>
    </row>
    <row r="306" spans="1:9" ht="11.25" customHeight="1">
      <c r="A306" s="396"/>
      <c r="B306" s="33"/>
      <c r="C306" s="150" t="s">
        <v>20</v>
      </c>
      <c r="D306" s="158">
        <v>-5.5999999999999994E-2</v>
      </c>
      <c r="E306" s="158">
        <v>-0.51400000000000001</v>
      </c>
      <c r="H306" s="461"/>
      <c r="I306" s="461"/>
    </row>
    <row r="307" spans="1:9" ht="11.25" customHeight="1">
      <c r="A307" s="396"/>
      <c r="B307" s="33"/>
      <c r="C307" s="150" t="s">
        <v>22</v>
      </c>
      <c r="D307" s="158">
        <v>-0.252</v>
      </c>
      <c r="E307" s="158">
        <v>-0.78800000000000003</v>
      </c>
      <c r="H307" s="461"/>
      <c r="I307" s="461"/>
    </row>
    <row r="308" spans="1:9" ht="11.25" customHeight="1">
      <c r="A308" s="396"/>
      <c r="B308" s="33"/>
      <c r="C308" s="150" t="s">
        <v>23</v>
      </c>
      <c r="D308" s="158">
        <v>-0.183</v>
      </c>
      <c r="E308" s="158">
        <v>-0.77200000000000002</v>
      </c>
      <c r="H308" s="461"/>
      <c r="I308" s="461"/>
    </row>
    <row r="309" spans="1:9" ht="11.25" customHeight="1">
      <c r="A309" s="396"/>
      <c r="B309" s="33"/>
      <c r="C309" s="150" t="s">
        <v>24</v>
      </c>
      <c r="D309" s="158">
        <v>0.22899999999999998</v>
      </c>
      <c r="E309" s="158">
        <v>-0.29599999999999999</v>
      </c>
      <c r="H309" s="461"/>
      <c r="I309" s="461"/>
    </row>
    <row r="310" spans="1:9" ht="11.25" customHeight="1">
      <c r="A310" s="396"/>
      <c r="B310" s="33"/>
      <c r="C310" s="150" t="s">
        <v>25</v>
      </c>
      <c r="D310" s="158">
        <v>0.377</v>
      </c>
      <c r="E310" s="158">
        <v>-0.19900000000000001</v>
      </c>
      <c r="H310" s="461"/>
      <c r="I310" s="461"/>
    </row>
    <row r="311" spans="1:9" ht="11.25" customHeight="1">
      <c r="A311" s="396"/>
      <c r="B311" s="33">
        <v>2020</v>
      </c>
      <c r="C311" s="150" t="s">
        <v>17</v>
      </c>
      <c r="D311" s="158">
        <v>0.39400000000000002</v>
      </c>
      <c r="E311" s="158">
        <v>-3.7999999999999999E-2</v>
      </c>
      <c r="H311" s="461"/>
      <c r="I311" s="461"/>
    </row>
    <row r="312" spans="1:9" ht="11.25" customHeight="1">
      <c r="A312" s="396"/>
      <c r="B312" s="455"/>
      <c r="C312" s="150" t="s">
        <v>18</v>
      </c>
      <c r="D312" s="158">
        <v>0.747</v>
      </c>
      <c r="E312" s="158">
        <v>0.42799999999999999</v>
      </c>
      <c r="H312" s="461"/>
      <c r="I312" s="461"/>
    </row>
    <row r="313" spans="1:9" ht="11.25" customHeight="1">
      <c r="A313" s="396"/>
      <c r="B313" s="455"/>
      <c r="C313" s="150" t="s">
        <v>19</v>
      </c>
      <c r="D313" s="158">
        <v>0.01</v>
      </c>
      <c r="E313" s="158">
        <v>-0.28300000000000003</v>
      </c>
      <c r="H313" s="461"/>
      <c r="I313" s="461"/>
    </row>
    <row r="314" spans="1:9" ht="11.25" customHeight="1">
      <c r="A314" s="396"/>
      <c r="B314" s="455"/>
      <c r="C314" s="150" t="s">
        <v>20</v>
      </c>
      <c r="D314" s="158">
        <v>-1.6930000000000001</v>
      </c>
      <c r="E314" s="158">
        <v>-1.9550000000000001</v>
      </c>
      <c r="H314" s="461"/>
      <c r="I314" s="461"/>
    </row>
    <row r="315" spans="1:9" ht="11.25" customHeight="1">
      <c r="A315" s="396"/>
      <c r="B315" s="455"/>
      <c r="C315" s="150" t="s">
        <v>19</v>
      </c>
      <c r="D315" s="158">
        <v>-3.4060000000000001</v>
      </c>
      <c r="E315" s="158">
        <v>-3.6150000000000002</v>
      </c>
      <c r="H315" s="461"/>
      <c r="I315" s="461"/>
    </row>
    <row r="316" spans="1:9" ht="11.25" customHeight="1">
      <c r="A316" s="396"/>
      <c r="B316" s="455"/>
      <c r="C316" s="150" t="s">
        <v>21</v>
      </c>
      <c r="D316" s="158">
        <v>-4.75</v>
      </c>
      <c r="E316" s="158">
        <v>-4.9910000000000005</v>
      </c>
      <c r="H316" s="461"/>
      <c r="I316" s="461"/>
    </row>
    <row r="317" spans="1:9" ht="11.25" customHeight="1">
      <c r="A317" s="396"/>
      <c r="B317" s="33"/>
      <c r="C317" s="150" t="s">
        <v>21</v>
      </c>
      <c r="D317" s="158">
        <v>-5.7850000000000001</v>
      </c>
      <c r="E317" s="158">
        <v>-6.0249999999999995</v>
      </c>
      <c r="H317" s="461"/>
      <c r="I317" s="461"/>
    </row>
    <row r="318" spans="1:9" ht="11.25" customHeight="1">
      <c r="A318" s="396"/>
      <c r="B318" s="33"/>
      <c r="C318" s="150" t="s">
        <v>20</v>
      </c>
      <c r="D318" s="158">
        <v>-6.7100000000000009</v>
      </c>
      <c r="E318" s="158">
        <v>-6.9349999999999996</v>
      </c>
      <c r="H318" s="461"/>
      <c r="I318" s="461"/>
    </row>
    <row r="319" spans="1:9" ht="11.25" customHeight="1">
      <c r="A319" s="396"/>
      <c r="B319" s="33"/>
      <c r="C319" s="150" t="s">
        <v>22</v>
      </c>
      <c r="D319" s="158">
        <v>-7.3510000000000009</v>
      </c>
      <c r="E319" s="158">
        <v>-7.5990000000000002</v>
      </c>
      <c r="H319" s="461"/>
      <c r="I319" s="461"/>
    </row>
    <row r="320" spans="1:9" ht="11.25" customHeight="1">
      <c r="A320" s="396"/>
      <c r="B320" s="33"/>
      <c r="C320" s="150" t="s">
        <v>23</v>
      </c>
      <c r="D320" s="158">
        <v>-8.42</v>
      </c>
      <c r="E320" s="158">
        <v>-8.5269999999999992</v>
      </c>
      <c r="H320" s="461"/>
      <c r="I320" s="461"/>
    </row>
    <row r="321" spans="1:9" ht="11.25" customHeight="1">
      <c r="A321" s="396"/>
      <c r="B321" s="33"/>
      <c r="C321" s="150" t="s">
        <v>24</v>
      </c>
      <c r="D321" s="158">
        <v>-9.49</v>
      </c>
      <c r="E321" s="158">
        <v>-9.6280000000000001</v>
      </c>
      <c r="H321" s="461"/>
      <c r="I321" s="461"/>
    </row>
    <row r="322" spans="1:9" ht="11.25" customHeight="1">
      <c r="A322" s="396"/>
      <c r="B322" s="33"/>
      <c r="C322" s="152" t="s">
        <v>25</v>
      </c>
      <c r="D322" s="159">
        <v>-10.474</v>
      </c>
      <c r="E322" s="159">
        <v>-10.546999999999999</v>
      </c>
      <c r="H322" s="461"/>
      <c r="I322" s="461"/>
    </row>
    <row r="323" spans="1:9" ht="11.25" customHeight="1">
      <c r="B323" s="17"/>
    </row>
    <row r="324" spans="1:9" ht="11.25" customHeight="1">
      <c r="B324" s="17"/>
      <c r="C324" s="157" t="s">
        <v>403</v>
      </c>
      <c r="D324" s="17"/>
      <c r="E324" s="17"/>
      <c r="F324" s="17"/>
      <c r="G324" s="17"/>
    </row>
    <row r="325" spans="1:9" ht="11.25" customHeight="1">
      <c r="B325" s="17"/>
      <c r="C325" s="155"/>
      <c r="D325" s="156" t="s">
        <v>122</v>
      </c>
      <c r="E325" s="156" t="s">
        <v>15</v>
      </c>
      <c r="F325" s="156" t="s">
        <v>16</v>
      </c>
      <c r="G325" s="165" t="s">
        <v>76</v>
      </c>
    </row>
    <row r="326" spans="1:9" ht="11.25" customHeight="1">
      <c r="B326" s="17"/>
      <c r="C326" s="150" t="s">
        <v>2</v>
      </c>
      <c r="D326" s="166">
        <v>-4.4649999999999999</v>
      </c>
      <c r="E326" s="166">
        <v>-0.49300000000000005</v>
      </c>
      <c r="F326" s="166">
        <v>-2.847</v>
      </c>
      <c r="G326" s="166">
        <v>-1.125</v>
      </c>
      <c r="H326" s="395">
        <f>D326-SUM(E326:G326)</f>
        <v>0</v>
      </c>
    </row>
    <row r="327" spans="1:9" ht="11.25" customHeight="1">
      <c r="B327" s="17"/>
      <c r="C327" s="150" t="s">
        <v>3</v>
      </c>
      <c r="D327" s="166">
        <v>-2.867</v>
      </c>
      <c r="E327" s="166">
        <v>-0.13</v>
      </c>
      <c r="F327" s="166">
        <v>-2.903</v>
      </c>
      <c r="G327" s="166">
        <v>0.16600000000000001</v>
      </c>
      <c r="H327" s="395">
        <f t="shared" ref="H327:H337" si="75">D327-SUM(E327:G327)</f>
        <v>0</v>
      </c>
    </row>
    <row r="328" spans="1:9" ht="11.25" customHeight="1">
      <c r="B328" s="17"/>
      <c r="C328" s="150" t="s">
        <v>4</v>
      </c>
      <c r="D328" s="166">
        <v>-7.5550000000000006</v>
      </c>
      <c r="E328" s="166">
        <v>0.37</v>
      </c>
      <c r="F328" s="166">
        <v>-0.38800000000000001</v>
      </c>
      <c r="G328" s="166">
        <v>-7.5370000000000008</v>
      </c>
      <c r="H328" s="395">
        <f t="shared" si="75"/>
        <v>0</v>
      </c>
    </row>
    <row r="329" spans="1:9" ht="11.25" customHeight="1">
      <c r="B329" s="17"/>
      <c r="C329" s="150" t="s">
        <v>5</v>
      </c>
      <c r="D329" s="166">
        <v>-27.933000000000003</v>
      </c>
      <c r="E329" s="166">
        <v>9.4E-2</v>
      </c>
      <c r="F329" s="166">
        <v>-1.0009999999999999</v>
      </c>
      <c r="G329" s="166">
        <v>-27.026</v>
      </c>
      <c r="H329" s="395">
        <f t="shared" si="75"/>
        <v>0</v>
      </c>
    </row>
    <row r="330" spans="1:9" ht="11.25" customHeight="1">
      <c r="B330" s="17"/>
      <c r="C330" s="150" t="s">
        <v>6</v>
      </c>
      <c r="D330" s="166">
        <v>-31.413000000000004</v>
      </c>
      <c r="E330" s="166">
        <v>-0.33700000000000002</v>
      </c>
      <c r="F330" s="166">
        <v>1.35</v>
      </c>
      <c r="G330" s="166">
        <v>-32.426000000000002</v>
      </c>
      <c r="H330" s="395">
        <f t="shared" si="75"/>
        <v>0</v>
      </c>
    </row>
    <row r="331" spans="1:9" ht="11.25" customHeight="1">
      <c r="B331" s="17"/>
      <c r="C331" s="150" t="s">
        <v>7</v>
      </c>
      <c r="D331" s="166">
        <v>-33.141999999999996</v>
      </c>
      <c r="E331" s="166">
        <v>0.436</v>
      </c>
      <c r="F331" s="166">
        <v>-1.089</v>
      </c>
      <c r="G331" s="166">
        <v>-32.489000000000004</v>
      </c>
      <c r="H331" s="395">
        <f t="shared" si="75"/>
        <v>0</v>
      </c>
    </row>
    <row r="332" spans="1:9" ht="11.25" customHeight="1">
      <c r="B332" s="17"/>
      <c r="C332" s="150" t="s">
        <v>8</v>
      </c>
      <c r="D332" s="166">
        <v>-26.485999999999997</v>
      </c>
      <c r="E332" s="166">
        <v>0.156</v>
      </c>
      <c r="F332" s="166">
        <v>-2.0110000000000001</v>
      </c>
      <c r="G332" s="166">
        <v>-24.631</v>
      </c>
      <c r="H332" s="395">
        <f t="shared" si="75"/>
        <v>0</v>
      </c>
    </row>
    <row r="333" spans="1:9" ht="11.25" customHeight="1">
      <c r="B333" s="17"/>
      <c r="C333" s="150" t="s">
        <v>9</v>
      </c>
      <c r="D333" s="166">
        <v>-19.683999999999997</v>
      </c>
      <c r="E333" s="166">
        <v>-6.0999999999999999E-2</v>
      </c>
      <c r="F333" s="166">
        <v>0.45900000000000002</v>
      </c>
      <c r="G333" s="166">
        <v>-20.082000000000001</v>
      </c>
      <c r="H333" s="395">
        <f t="shared" si="75"/>
        <v>0</v>
      </c>
    </row>
    <row r="334" spans="1:9" ht="11.25" customHeight="1">
      <c r="B334" s="17"/>
      <c r="C334" s="150" t="s">
        <v>10</v>
      </c>
      <c r="D334" s="166">
        <v>-29.542000000000002</v>
      </c>
      <c r="E334" s="166">
        <v>0.38600000000000001</v>
      </c>
      <c r="F334" s="166">
        <v>-1.0980000000000001</v>
      </c>
      <c r="G334" s="166">
        <v>-28.83</v>
      </c>
      <c r="H334" s="395">
        <f t="shared" si="75"/>
        <v>0</v>
      </c>
    </row>
    <row r="335" spans="1:9" ht="11.25" customHeight="1">
      <c r="B335" s="17"/>
      <c r="C335" s="150" t="s">
        <v>11</v>
      </c>
      <c r="D335" s="166">
        <v>-24.97</v>
      </c>
      <c r="E335" s="166">
        <v>-0.25600000000000001</v>
      </c>
      <c r="F335" s="166">
        <v>-1.7690000000000001</v>
      </c>
      <c r="G335" s="166">
        <v>-22.945</v>
      </c>
      <c r="H335" s="395">
        <f t="shared" si="75"/>
        <v>0</v>
      </c>
    </row>
    <row r="336" spans="1:9" ht="11.25" customHeight="1">
      <c r="B336" s="17"/>
      <c r="C336" s="150" t="s">
        <v>12</v>
      </c>
      <c r="D336" s="166">
        <v>-11.698</v>
      </c>
      <c r="E336" s="166">
        <v>0.193</v>
      </c>
      <c r="F336" s="166">
        <v>-4.3419999999999996</v>
      </c>
      <c r="G336" s="166">
        <v>-7.5490000000000004</v>
      </c>
      <c r="H336" s="395">
        <f t="shared" si="75"/>
        <v>0</v>
      </c>
    </row>
    <row r="337" spans="2:9" ht="11.25" customHeight="1">
      <c r="B337" s="17"/>
      <c r="C337" s="152" t="s">
        <v>13</v>
      </c>
      <c r="D337" s="167">
        <v>3.5860000000000003</v>
      </c>
      <c r="E337" s="167">
        <v>-1.514</v>
      </c>
      <c r="F337" s="167">
        <v>0.99799999999999989</v>
      </c>
      <c r="G337" s="167">
        <v>4.1020000000000003</v>
      </c>
      <c r="H337" s="395">
        <f t="shared" si="75"/>
        <v>0</v>
      </c>
    </row>
    <row r="338" spans="2:9" ht="11.25" customHeight="1">
      <c r="B338" s="17"/>
    </row>
    <row r="339" spans="2:9" ht="11.25" customHeight="1">
      <c r="B339" s="17"/>
      <c r="C339" s="157" t="s">
        <v>404</v>
      </c>
      <c r="D339" s="17"/>
      <c r="E339" s="17"/>
      <c r="F339" s="17"/>
      <c r="G339" s="17"/>
    </row>
    <row r="340" spans="2:9" ht="11.25" customHeight="1">
      <c r="B340" s="17"/>
      <c r="C340" s="155"/>
      <c r="D340" s="156" t="s">
        <v>122</v>
      </c>
      <c r="E340" s="156" t="s">
        <v>15</v>
      </c>
      <c r="F340" s="156" t="s">
        <v>16</v>
      </c>
      <c r="G340" s="165" t="s">
        <v>76</v>
      </c>
      <c r="I340" s="462"/>
    </row>
    <row r="341" spans="2:9" ht="11.25" customHeight="1">
      <c r="B341" s="17"/>
      <c r="C341" s="150" t="s">
        <v>2</v>
      </c>
      <c r="D341" s="166">
        <v>0.21199999999999999</v>
      </c>
      <c r="E341" s="166">
        <v>-0.91699999999999993</v>
      </c>
      <c r="F341" s="166">
        <v>-5.2999999999999999E-2</v>
      </c>
      <c r="G341" s="166">
        <v>1.1820000000000002</v>
      </c>
      <c r="H341" s="395">
        <f t="shared" ref="H341:H352" si="76">D341-SUM(E341:G341)</f>
        <v>0</v>
      </c>
    </row>
    <row r="342" spans="2:9" ht="11.25" customHeight="1">
      <c r="B342" s="17"/>
      <c r="C342" s="150" t="s">
        <v>3</v>
      </c>
      <c r="D342" s="166">
        <v>4.0209999999999999</v>
      </c>
      <c r="E342" s="166">
        <v>-0.45599999999999996</v>
      </c>
      <c r="F342" s="166">
        <v>-0.20500000000000002</v>
      </c>
      <c r="G342" s="166">
        <v>4.6820000000000004</v>
      </c>
      <c r="H342" s="395">
        <f t="shared" si="76"/>
        <v>0</v>
      </c>
    </row>
    <row r="343" spans="2:9" ht="11.25" customHeight="1">
      <c r="B343" s="17"/>
      <c r="C343" s="150" t="s">
        <v>4</v>
      </c>
      <c r="D343" s="166">
        <v>-7.6390000000000002</v>
      </c>
      <c r="E343" s="166">
        <v>0.47499999999999998</v>
      </c>
      <c r="F343" s="166">
        <v>-1.8000000000000002E-2</v>
      </c>
      <c r="G343" s="166">
        <v>-8.0960000000000001</v>
      </c>
      <c r="H343" s="395">
        <f t="shared" si="76"/>
        <v>0</v>
      </c>
    </row>
    <row r="344" spans="2:9" ht="11.25" customHeight="1">
      <c r="B344" s="17"/>
      <c r="C344" s="150" t="s">
        <v>5</v>
      </c>
      <c r="D344" s="166">
        <v>-21.773999999999997</v>
      </c>
      <c r="E344" s="166">
        <v>-5.3999999999999999E-2</v>
      </c>
      <c r="F344" s="166">
        <v>-5.6999999999999995E-2</v>
      </c>
      <c r="G344" s="166">
        <v>-21.663</v>
      </c>
      <c r="H344" s="395">
        <f t="shared" si="76"/>
        <v>0</v>
      </c>
    </row>
    <row r="345" spans="2:9" ht="11.25" customHeight="1">
      <c r="B345" s="17"/>
      <c r="C345" s="150" t="s">
        <v>6</v>
      </c>
      <c r="D345" s="166">
        <v>-19.783999999999999</v>
      </c>
      <c r="E345" s="166">
        <v>-0.32200000000000001</v>
      </c>
      <c r="F345" s="166">
        <v>-7.4E-37</v>
      </c>
      <c r="G345" s="166">
        <v>-19.462</v>
      </c>
      <c r="H345" s="395">
        <f t="shared" si="76"/>
        <v>0</v>
      </c>
    </row>
    <row r="346" spans="2:9" ht="11.25" customHeight="1">
      <c r="B346" s="17"/>
      <c r="C346" s="150" t="s">
        <v>7</v>
      </c>
      <c r="D346" s="166">
        <v>-15.673999999999999</v>
      </c>
      <c r="E346" s="166">
        <v>0.56200000000000006</v>
      </c>
      <c r="F346" s="166">
        <v>-0.10100000000000001</v>
      </c>
      <c r="G346" s="166">
        <v>-16.134999999999998</v>
      </c>
      <c r="H346" s="395">
        <f t="shared" si="76"/>
        <v>0</v>
      </c>
    </row>
    <row r="347" spans="2:9" ht="11.25" customHeight="1">
      <c r="B347" s="17"/>
      <c r="C347" s="150" t="s">
        <v>8</v>
      </c>
      <c r="D347" s="166">
        <v>-11.239000000000001</v>
      </c>
      <c r="E347" s="166">
        <v>6.9999999999999993E-2</v>
      </c>
      <c r="F347" s="166">
        <v>0.69899999999999995</v>
      </c>
      <c r="G347" s="166">
        <v>-12.008000000000001</v>
      </c>
      <c r="H347" s="395">
        <f t="shared" si="76"/>
        <v>0</v>
      </c>
    </row>
    <row r="348" spans="2:9" ht="11.25" customHeight="1">
      <c r="B348" s="17"/>
      <c r="C348" s="150" t="s">
        <v>9</v>
      </c>
      <c r="D348" s="166">
        <v>-9.6579999999999995</v>
      </c>
      <c r="E348" s="166">
        <v>-0.122</v>
      </c>
      <c r="F348" s="166">
        <v>0.54799999999999993</v>
      </c>
      <c r="G348" s="166">
        <v>-10.084</v>
      </c>
      <c r="H348" s="395">
        <f t="shared" si="76"/>
        <v>0</v>
      </c>
    </row>
    <row r="349" spans="2:9" ht="11.25" customHeight="1">
      <c r="B349" s="17"/>
      <c r="C349" s="150" t="s">
        <v>10</v>
      </c>
      <c r="D349" s="166">
        <v>-9.0139999999999993</v>
      </c>
      <c r="E349" s="166">
        <v>0.439</v>
      </c>
      <c r="F349" s="166">
        <v>0.38700000000000001</v>
      </c>
      <c r="G349" s="166">
        <v>-9.84</v>
      </c>
      <c r="H349" s="395">
        <f t="shared" si="76"/>
        <v>0</v>
      </c>
    </row>
    <row r="350" spans="2:9" ht="11.25" customHeight="1">
      <c r="B350" s="17"/>
      <c r="C350" s="150" t="s">
        <v>11</v>
      </c>
      <c r="D350" s="166">
        <v>-12.826000000000001</v>
      </c>
      <c r="E350" s="166">
        <v>-0.48299999999999998</v>
      </c>
      <c r="F350" s="166">
        <v>-6.0999999999999999E-2</v>
      </c>
      <c r="G350" s="166">
        <v>-12.282</v>
      </c>
      <c r="H350" s="395">
        <f t="shared" si="76"/>
        <v>0</v>
      </c>
    </row>
    <row r="351" spans="2:9" ht="11.25" customHeight="1">
      <c r="B351" s="17"/>
      <c r="C351" s="150" t="s">
        <v>12</v>
      </c>
      <c r="D351" s="166">
        <v>-11.238</v>
      </c>
      <c r="E351" s="166">
        <v>0.10200000000000001</v>
      </c>
      <c r="F351" s="166">
        <v>9.5000000000000001E-2</v>
      </c>
      <c r="G351" s="166">
        <v>-11.434999999999999</v>
      </c>
      <c r="H351" s="395">
        <f t="shared" si="76"/>
        <v>0</v>
      </c>
    </row>
    <row r="352" spans="2:9" ht="11.25" customHeight="1">
      <c r="B352" s="17"/>
      <c r="C352" s="152" t="s">
        <v>13</v>
      </c>
      <c r="D352" s="167">
        <v>-11.004</v>
      </c>
      <c r="E352" s="167">
        <v>-2.3E-2</v>
      </c>
      <c r="F352" s="167">
        <v>5.5999999999999994E-2</v>
      </c>
      <c r="G352" s="167">
        <v>-11.036999999999999</v>
      </c>
      <c r="H352" s="395">
        <f t="shared" si="76"/>
        <v>0</v>
      </c>
    </row>
    <row r="353" spans="2:15" ht="11.25" customHeight="1">
      <c r="B353" s="17"/>
    </row>
    <row r="354" spans="2:15" ht="11.25" customHeight="1">
      <c r="B354" s="17"/>
      <c r="C354" s="547" t="s">
        <v>262</v>
      </c>
      <c r="D354" s="547"/>
      <c r="E354" s="547"/>
      <c r="F354" s="547"/>
      <c r="G354" s="17"/>
      <c r="H354" s="17"/>
      <c r="I354" s="17"/>
    </row>
    <row r="355" spans="2:15" ht="11.25" customHeight="1">
      <c r="B355" s="17"/>
      <c r="C355" s="151"/>
      <c r="D355" s="549">
        <v>2019</v>
      </c>
      <c r="E355" s="549"/>
      <c r="F355" s="549"/>
      <c r="G355" s="549"/>
      <c r="H355" s="549">
        <v>2020</v>
      </c>
      <c r="I355" s="549"/>
      <c r="J355" s="549"/>
      <c r="K355" s="549"/>
      <c r="L355" s="549" t="s">
        <v>405</v>
      </c>
      <c r="M355" s="549"/>
      <c r="N355" s="549"/>
      <c r="O355" s="549"/>
    </row>
    <row r="356" spans="2:15" ht="11.25" customHeight="1">
      <c r="C356" s="150"/>
      <c r="D356" s="153" t="s">
        <v>247</v>
      </c>
      <c r="E356" s="153" t="s">
        <v>36</v>
      </c>
      <c r="F356" s="153" t="s">
        <v>42</v>
      </c>
      <c r="G356" s="153" t="s">
        <v>39</v>
      </c>
      <c r="H356" s="153" t="s">
        <v>247</v>
      </c>
      <c r="I356" s="153" t="s">
        <v>36</v>
      </c>
      <c r="J356" s="153" t="s">
        <v>42</v>
      </c>
      <c r="K356" s="153" t="s">
        <v>39</v>
      </c>
      <c r="L356" s="153" t="s">
        <v>247</v>
      </c>
      <c r="M356" s="153" t="s">
        <v>36</v>
      </c>
      <c r="N356" s="153" t="s">
        <v>42</v>
      </c>
      <c r="O356" s="153" t="s">
        <v>39</v>
      </c>
    </row>
    <row r="357" spans="2:15" ht="11.25" customHeight="1">
      <c r="C357" s="152"/>
      <c r="D357" s="154" t="s">
        <v>89</v>
      </c>
      <c r="E357" s="154" t="s">
        <v>89</v>
      </c>
      <c r="F357" s="154" t="s">
        <v>89</v>
      </c>
      <c r="G357" s="154" t="s">
        <v>89</v>
      </c>
      <c r="H357" s="154" t="s">
        <v>89</v>
      </c>
      <c r="I357" s="154" t="s">
        <v>89</v>
      </c>
      <c r="J357" s="154" t="s">
        <v>89</v>
      </c>
      <c r="K357" s="154" t="s">
        <v>89</v>
      </c>
      <c r="L357" s="154"/>
      <c r="M357" s="154"/>
      <c r="N357" s="154"/>
      <c r="O357" s="154"/>
    </row>
    <row r="358" spans="2:15" ht="11.25" customHeight="1">
      <c r="C358" s="150" t="s">
        <v>2</v>
      </c>
      <c r="D358" s="463">
        <v>477.795703</v>
      </c>
      <c r="E358" s="463">
        <v>755.34934400000009</v>
      </c>
      <c r="F358" s="463">
        <v>17.830239000000002</v>
      </c>
      <c r="G358" s="463">
        <v>18.530186</v>
      </c>
      <c r="H358" s="463">
        <v>456.46404999999999</v>
      </c>
      <c r="I358" s="463">
        <v>756.95346400000005</v>
      </c>
      <c r="J358" s="463">
        <v>17.835113</v>
      </c>
      <c r="K358" s="463">
        <v>17.812714</v>
      </c>
      <c r="L358" s="158">
        <f>((H358/D358)-1)*100</f>
        <v>-4.4645970790574534</v>
      </c>
      <c r="M358" s="158">
        <f>((I358/E358)-1)*100</f>
        <v>0.21236796096297805</v>
      </c>
      <c r="N358" s="158">
        <f t="shared" ref="N358:O358" si="77">((J358/F358)-1)*100</f>
        <v>2.7335584228560528E-2</v>
      </c>
      <c r="O358" s="158">
        <f t="shared" si="77"/>
        <v>-3.8719093267601368</v>
      </c>
    </row>
    <row r="359" spans="2:15" ht="11.25" customHeight="1">
      <c r="C359" s="150" t="s">
        <v>3</v>
      </c>
      <c r="D359" s="463">
        <v>415.344403</v>
      </c>
      <c r="E359" s="463">
        <v>678.5724009999999</v>
      </c>
      <c r="F359" s="463">
        <v>16.019527</v>
      </c>
      <c r="G359" s="463">
        <v>15.963179999999999</v>
      </c>
      <c r="H359" s="463">
        <v>403.435857</v>
      </c>
      <c r="I359" s="463">
        <v>705.861132</v>
      </c>
      <c r="J359" s="463">
        <v>15.770011</v>
      </c>
      <c r="K359" s="463">
        <v>15.817299999999999</v>
      </c>
      <c r="L359" s="158">
        <f t="shared" ref="L359:L369" si="78">((H359/D359)-1)*100</f>
        <v>-2.867149747049802</v>
      </c>
      <c r="M359" s="158">
        <f t="shared" ref="M359:M369" si="79">((I359/E359)-1)*100</f>
        <v>4.0214914369911314</v>
      </c>
      <c r="N359" s="158">
        <f t="shared" ref="N359:N369" si="80">((J359/F359)-1)*100</f>
        <v>-1.5575740781859526</v>
      </c>
      <c r="O359" s="158">
        <f t="shared" ref="O359:O368" si="81">((K359/G359)-1)*100</f>
        <v>-0.91385300422597293</v>
      </c>
    </row>
    <row r="360" spans="2:15" ht="11.25" customHeight="1">
      <c r="C360" s="150" t="s">
        <v>4</v>
      </c>
      <c r="D360" s="463">
        <v>436.81619300000006</v>
      </c>
      <c r="E360" s="463">
        <v>738.61334099999999</v>
      </c>
      <c r="F360" s="463">
        <v>16.598234999999999</v>
      </c>
      <c r="G360" s="463">
        <v>16.622098999999999</v>
      </c>
      <c r="H360" s="463">
        <v>403.814595</v>
      </c>
      <c r="I360" s="463">
        <v>682.19336899999996</v>
      </c>
      <c r="J360" s="463">
        <v>16.608196</v>
      </c>
      <c r="K360" s="463">
        <v>15.73569</v>
      </c>
      <c r="L360" s="158">
        <f t="shared" si="78"/>
        <v>-7.5550308181913106</v>
      </c>
      <c r="M360" s="158">
        <f t="shared" si="79"/>
        <v>-7.6386342986458526</v>
      </c>
      <c r="N360" s="158">
        <f t="shared" si="80"/>
        <v>6.0012404933429409E-2</v>
      </c>
      <c r="O360" s="158">
        <f t="shared" si="81"/>
        <v>-5.332713997191318</v>
      </c>
    </row>
    <row r="361" spans="2:15" ht="11.25" customHeight="1">
      <c r="B361" s="17"/>
      <c r="C361" s="150" t="s">
        <v>5</v>
      </c>
      <c r="D361" s="463">
        <v>446.40791300000001</v>
      </c>
      <c r="E361" s="463">
        <v>701.14453500000002</v>
      </c>
      <c r="F361" s="463">
        <v>15.221093999999999</v>
      </c>
      <c r="G361" s="463">
        <v>15.384124999999999</v>
      </c>
      <c r="H361" s="463">
        <v>321.71236499999998</v>
      </c>
      <c r="I361" s="463">
        <v>548.48013000000003</v>
      </c>
      <c r="J361" s="463">
        <v>15.531111000000001</v>
      </c>
      <c r="K361" s="463">
        <v>14.737720999999999</v>
      </c>
      <c r="L361" s="158">
        <f t="shared" si="78"/>
        <v>-27.933095352635473</v>
      </c>
      <c r="M361" s="158">
        <f t="shared" si="79"/>
        <v>-21.773599789949159</v>
      </c>
      <c r="N361" s="158">
        <f t="shared" si="80"/>
        <v>2.0367589872318126</v>
      </c>
      <c r="O361" s="158">
        <f t="shared" si="81"/>
        <v>-4.2017599310978042</v>
      </c>
    </row>
    <row r="362" spans="2:15" ht="11.25" customHeight="1">
      <c r="B362" s="17"/>
      <c r="C362" s="150" t="s">
        <v>6</v>
      </c>
      <c r="D362" s="463">
        <v>477.01037400000001</v>
      </c>
      <c r="E362" s="463">
        <v>724.43555100000003</v>
      </c>
      <c r="F362" s="463">
        <v>16.753540000000001</v>
      </c>
      <c r="G362" s="463">
        <v>16.956697999999999</v>
      </c>
      <c r="H362" s="463">
        <v>327.16740899999996</v>
      </c>
      <c r="I362" s="463">
        <v>581.11590200000001</v>
      </c>
      <c r="J362" s="463">
        <v>15.827470999999999</v>
      </c>
      <c r="K362" s="463">
        <v>15.573759000000001</v>
      </c>
      <c r="L362" s="158">
        <f t="shared" si="78"/>
        <v>-31.412936314881911</v>
      </c>
      <c r="M362" s="158">
        <f t="shared" si="79"/>
        <v>-19.783630000234488</v>
      </c>
      <c r="N362" s="158">
        <f t="shared" si="80"/>
        <v>-5.5276019277120003</v>
      </c>
      <c r="O362" s="158">
        <f t="shared" si="81"/>
        <v>-8.1557093250112622</v>
      </c>
    </row>
    <row r="363" spans="2:15" ht="11.25" customHeight="1">
      <c r="B363" s="17"/>
      <c r="C363" s="150" t="s">
        <v>7</v>
      </c>
      <c r="D363" s="463">
        <v>539.72227099999998</v>
      </c>
      <c r="E363" s="463">
        <v>714.68901300000005</v>
      </c>
      <c r="F363" s="463">
        <v>16.642239</v>
      </c>
      <c r="G363" s="463">
        <v>17.069632000000002</v>
      </c>
      <c r="H363" s="463">
        <v>360.84778299999999</v>
      </c>
      <c r="I363" s="463">
        <v>602.66584799999998</v>
      </c>
      <c r="J363" s="463">
        <v>15.839422000000001</v>
      </c>
      <c r="K363" s="463">
        <v>16.708380000000002</v>
      </c>
      <c r="L363" s="158">
        <f t="shared" si="78"/>
        <v>-33.141950519955479</v>
      </c>
      <c r="M363" s="158">
        <f t="shared" si="79"/>
        <v>-15.674393052408664</v>
      </c>
      <c r="N363" s="158">
        <f t="shared" si="80"/>
        <v>-4.8239723032459718</v>
      </c>
      <c r="O363" s="158">
        <f t="shared" si="81"/>
        <v>-2.1163432228650247</v>
      </c>
    </row>
    <row r="364" spans="2:15" ht="11.25" customHeight="1">
      <c r="B364" s="17"/>
      <c r="C364" s="150" t="s">
        <v>8</v>
      </c>
      <c r="D364" s="463">
        <v>719.464877</v>
      </c>
      <c r="E364" s="463">
        <v>765.15524500000004</v>
      </c>
      <c r="F364" s="463">
        <v>18.185252000000002</v>
      </c>
      <c r="G364" s="463">
        <v>19.981724999999997</v>
      </c>
      <c r="H364" s="463">
        <v>528.91088400000001</v>
      </c>
      <c r="I364" s="463">
        <v>679.16076499999997</v>
      </c>
      <c r="J364" s="463">
        <v>17.917496</v>
      </c>
      <c r="K364" s="463">
        <v>21.140910999999999</v>
      </c>
      <c r="L364" s="158">
        <f t="shared" si="78"/>
        <v>-26.485517096340484</v>
      </c>
      <c r="M364" s="158">
        <f t="shared" si="79"/>
        <v>-11.238827749262835</v>
      </c>
      <c r="N364" s="158">
        <f t="shared" si="80"/>
        <v>-1.4723799263271276</v>
      </c>
      <c r="O364" s="158">
        <f t="shared" si="81"/>
        <v>5.8012308747117824</v>
      </c>
    </row>
    <row r="365" spans="2:15" ht="11.25" customHeight="1">
      <c r="B365" s="17"/>
      <c r="C365" s="150" t="s">
        <v>9</v>
      </c>
      <c r="D365" s="463">
        <v>705.09907299999998</v>
      </c>
      <c r="E365" s="463">
        <v>788.634096</v>
      </c>
      <c r="F365" s="463">
        <v>18.65652</v>
      </c>
      <c r="G365" s="463">
        <v>21.285859000000002</v>
      </c>
      <c r="H365" s="463">
        <v>566.30901300000005</v>
      </c>
      <c r="I365" s="463">
        <v>712.46704699999998</v>
      </c>
      <c r="J365" s="463">
        <v>18.096778999999998</v>
      </c>
      <c r="K365" s="463">
        <v>22.335712999999998</v>
      </c>
      <c r="L365" s="158">
        <f t="shared" si="78"/>
        <v>-19.683767191678037</v>
      </c>
      <c r="M365" s="158">
        <f t="shared" si="79"/>
        <v>-9.6580973846203122</v>
      </c>
      <c r="N365" s="158">
        <f t="shared" si="80"/>
        <v>-3.0002433465619704</v>
      </c>
      <c r="O365" s="158">
        <f t="shared" si="81"/>
        <v>4.9321664678883659</v>
      </c>
    </row>
    <row r="366" spans="2:15" ht="11.25" customHeight="1">
      <c r="B366" s="17"/>
      <c r="C366" s="150" t="s">
        <v>10</v>
      </c>
      <c r="D366" s="463">
        <v>572.62398899999994</v>
      </c>
      <c r="E366" s="463">
        <v>752.66165699999999</v>
      </c>
      <c r="F366" s="463">
        <v>17.603891999999998</v>
      </c>
      <c r="G366" s="463">
        <v>18.638026</v>
      </c>
      <c r="H366" s="463">
        <v>403.45763599999998</v>
      </c>
      <c r="I366" s="463">
        <v>684.81878799999993</v>
      </c>
      <c r="J366" s="463">
        <v>16.830054000000001</v>
      </c>
      <c r="K366" s="463">
        <v>18.793899</v>
      </c>
      <c r="L366" s="158">
        <f t="shared" si="78"/>
        <v>-29.542309831521919</v>
      </c>
      <c r="M366" s="158">
        <f t="shared" si="79"/>
        <v>-9.0137272663007533</v>
      </c>
      <c r="N366" s="158">
        <f t="shared" si="80"/>
        <v>-4.39583473927242</v>
      </c>
      <c r="O366" s="158">
        <f t="shared" si="81"/>
        <v>0.83631710783105273</v>
      </c>
    </row>
    <row r="367" spans="2:15" ht="11.25" customHeight="1">
      <c r="B367" s="17"/>
      <c r="C367" s="150" t="s">
        <v>11</v>
      </c>
      <c r="D367" s="463">
        <v>490.42699599999997</v>
      </c>
      <c r="E367" s="463">
        <v>773.78035799999998</v>
      </c>
      <c r="F367" s="463">
        <v>17.669151999999997</v>
      </c>
      <c r="G367" s="463">
        <v>17.507116000000003</v>
      </c>
      <c r="H367" s="463">
        <v>367.96583399999997</v>
      </c>
      <c r="I367" s="463">
        <v>674.53157900000008</v>
      </c>
      <c r="J367" s="463">
        <v>16.095768</v>
      </c>
      <c r="K367" s="463">
        <v>16.551482</v>
      </c>
      <c r="L367" s="158">
        <f t="shared" si="78"/>
        <v>-24.970314236127411</v>
      </c>
      <c r="M367" s="158">
        <f t="shared" si="79"/>
        <v>-12.826479500788768</v>
      </c>
      <c r="N367" s="158">
        <f t="shared" si="80"/>
        <v>-8.9046944641146162</v>
      </c>
      <c r="O367" s="158">
        <f t="shared" si="81"/>
        <v>-5.4585461134775359</v>
      </c>
    </row>
    <row r="368" spans="2:15" ht="11.25" customHeight="1">
      <c r="C368" s="150" t="s">
        <v>12</v>
      </c>
      <c r="D368" s="463">
        <v>412.70169599999997</v>
      </c>
      <c r="E368" s="463">
        <v>734.42427500000008</v>
      </c>
      <c r="F368" s="463">
        <v>17.157330999999999</v>
      </c>
      <c r="G368" s="463">
        <v>16.251094999999999</v>
      </c>
      <c r="H368" s="463">
        <v>364.42581000000001</v>
      </c>
      <c r="I368" s="463">
        <v>651.89183200000002</v>
      </c>
      <c r="J368" s="463">
        <v>15.792686999999999</v>
      </c>
      <c r="K368" s="463">
        <v>15.63569</v>
      </c>
      <c r="L368" s="158">
        <f t="shared" si="78"/>
        <v>-11.697525468855829</v>
      </c>
      <c r="M368" s="158">
        <f t="shared" si="79"/>
        <v>-11.237706297221727</v>
      </c>
      <c r="N368" s="158">
        <f t="shared" si="80"/>
        <v>-7.9537079514290454</v>
      </c>
      <c r="O368" s="158">
        <f t="shared" si="81"/>
        <v>-3.7868525167073286</v>
      </c>
    </row>
    <row r="369" spans="3:15" ht="11.25" customHeight="1">
      <c r="C369" s="152" t="s">
        <v>13</v>
      </c>
      <c r="D369" s="357">
        <v>421.81228499999997</v>
      </c>
      <c r="E369" s="357">
        <v>747.51831800000002</v>
      </c>
      <c r="F369" s="357">
        <v>17.711219</v>
      </c>
      <c r="G369" s="357">
        <v>16.714883999999998</v>
      </c>
      <c r="H369" s="357">
        <v>436.94036900000003</v>
      </c>
      <c r="I369" s="357">
        <v>665.26356499999997</v>
      </c>
      <c r="J369" s="357">
        <v>17.053993999999999</v>
      </c>
      <c r="K369" s="357">
        <v>17.166954</v>
      </c>
      <c r="L369" s="159">
        <f t="shared" si="78"/>
        <v>3.586449360999544</v>
      </c>
      <c r="M369" s="159">
        <f t="shared" si="79"/>
        <v>-11.003710680973578</v>
      </c>
      <c r="N369" s="159">
        <f t="shared" si="80"/>
        <v>-3.7107835434703862</v>
      </c>
      <c r="O369" s="159">
        <f>((K369/G369)-1)*100</f>
        <v>2.7045954970432495</v>
      </c>
    </row>
    <row r="370" spans="3:15" ht="11.25" customHeight="1">
      <c r="D370" s="464">
        <f>SUM(D358:D369)-G21</f>
        <v>0</v>
      </c>
      <c r="E370" s="464">
        <f>SUM(E358:E369)-G38</f>
        <v>0</v>
      </c>
      <c r="F370" s="464">
        <f>SUM(F358:F369)-G46</f>
        <v>0</v>
      </c>
      <c r="G370" s="464">
        <f>SUM(G358:G369)-G58</f>
        <v>0</v>
      </c>
      <c r="H370" s="464">
        <f>SUM(H358:H369)-H21</f>
        <v>0</v>
      </c>
      <c r="I370" s="464">
        <f>SUM(I358:I369)-H38</f>
        <v>0</v>
      </c>
      <c r="J370" s="464">
        <f>SUM(J358:J369)-H46</f>
        <v>0</v>
      </c>
      <c r="K370" s="464">
        <f>SUM(K358:K369)-H58</f>
        <v>0</v>
      </c>
    </row>
    <row r="371" spans="3:15" ht="11.25" customHeight="1">
      <c r="C371" s="197" t="s">
        <v>406</v>
      </c>
      <c r="D371" s="197"/>
      <c r="E371" s="197"/>
      <c r="F371" s="197"/>
      <c r="G371" s="17"/>
      <c r="H371" s="414"/>
      <c r="I371" s="414"/>
      <c r="J371" s="414"/>
    </row>
    <row r="372" spans="3:15" ht="11.25" customHeight="1">
      <c r="C372" s="198"/>
      <c r="D372" s="199"/>
      <c r="E372" s="200" t="s">
        <v>31</v>
      </c>
      <c r="F372" s="200" t="s">
        <v>14</v>
      </c>
      <c r="G372" s="17"/>
      <c r="H372" s="414"/>
      <c r="I372" s="414"/>
      <c r="J372" s="526"/>
    </row>
    <row r="373" spans="3:15" ht="11.25" customHeight="1">
      <c r="C373" s="201" t="s">
        <v>28</v>
      </c>
      <c r="D373" s="202"/>
      <c r="E373" s="203">
        <f>H131</f>
        <v>241.19999999999996</v>
      </c>
      <c r="F373" s="204">
        <f>E373/$E$384*100</f>
        <v>11.827195697489802</v>
      </c>
      <c r="G373" s="17"/>
      <c r="H373" s="19"/>
      <c r="I373" s="521"/>
      <c r="J373" s="17"/>
    </row>
    <row r="374" spans="3:15" ht="11.25" customHeight="1">
      <c r="C374" s="205" t="s">
        <v>250</v>
      </c>
      <c r="D374" s="206"/>
      <c r="E374" s="203">
        <f>H132</f>
        <v>139.4</v>
      </c>
      <c r="F374" s="204">
        <f>E374/$E$384*100</f>
        <v>6.8354522397598618</v>
      </c>
      <c r="G374" s="17"/>
      <c r="H374" s="19"/>
      <c r="I374" s="521"/>
      <c r="J374" s="558"/>
    </row>
    <row r="375" spans="3:15" ht="11.25" customHeight="1">
      <c r="C375" s="205" t="s">
        <v>49</v>
      </c>
      <c r="D375" s="206"/>
      <c r="E375" s="203">
        <f>H133</f>
        <v>605.4</v>
      </c>
      <c r="F375" s="204">
        <f t="shared" ref="F375:F383" si="82">E375/$E$384*100</f>
        <v>29.685672783003014</v>
      </c>
      <c r="G375" s="17"/>
      <c r="H375" s="19"/>
      <c r="I375" s="521"/>
      <c r="J375" s="558"/>
    </row>
    <row r="376" spans="3:15" ht="11.25" customHeight="1">
      <c r="C376" s="205" t="s">
        <v>44</v>
      </c>
      <c r="D376" s="206"/>
      <c r="E376" s="203">
        <f>H135</f>
        <v>857.95</v>
      </c>
      <c r="F376" s="204">
        <f t="shared" si="82"/>
        <v>42.069413551664084</v>
      </c>
      <c r="G376" s="17"/>
      <c r="H376" s="19"/>
      <c r="I376" s="521"/>
      <c r="J376" s="17"/>
    </row>
    <row r="377" spans="3:15" ht="11.25" customHeight="1">
      <c r="C377" s="205" t="s">
        <v>46</v>
      </c>
      <c r="D377" s="206"/>
      <c r="E377" s="504" t="str">
        <f>H136</f>
        <v>-</v>
      </c>
      <c r="F377" s="204"/>
      <c r="G377" s="17"/>
      <c r="H377" s="414"/>
      <c r="I377" s="521"/>
      <c r="J377" s="17"/>
    </row>
    <row r="378" spans="3:15" ht="11.25" customHeight="1">
      <c r="C378" s="205" t="s">
        <v>73</v>
      </c>
      <c r="D378" s="206"/>
      <c r="E378" s="203">
        <f>H140</f>
        <v>11.523</v>
      </c>
      <c r="F378" s="204">
        <f t="shared" si="82"/>
        <v>0.56502809296092449</v>
      </c>
      <c r="G378" s="17"/>
      <c r="H378" s="19"/>
      <c r="I378" s="521"/>
      <c r="J378" s="17"/>
    </row>
    <row r="379" spans="3:15" ht="11.25" customHeight="1">
      <c r="C379" s="205" t="s">
        <v>90</v>
      </c>
      <c r="D379" s="206"/>
      <c r="E379" s="203">
        <f>H141</f>
        <v>37.400000000000006</v>
      </c>
      <c r="F379" s="204">
        <f t="shared" si="82"/>
        <v>1.8339018204233777</v>
      </c>
      <c r="G379" s="17"/>
      <c r="H379" s="19"/>
      <c r="I379" s="521"/>
      <c r="J379" s="17"/>
    </row>
    <row r="380" spans="3:15" ht="11.25" customHeight="1">
      <c r="C380" s="205" t="s">
        <v>91</v>
      </c>
      <c r="D380" s="206"/>
      <c r="E380" s="203">
        <f>H142</f>
        <v>37.400000000000006</v>
      </c>
      <c r="F380" s="204">
        <f t="shared" si="82"/>
        <v>1.8339018204233777</v>
      </c>
      <c r="G380" s="17"/>
      <c r="H380" s="19"/>
      <c r="I380" s="521"/>
      <c r="J380" s="17"/>
    </row>
    <row r="381" spans="3:15" ht="11.25" customHeight="1">
      <c r="C381" s="205" t="s">
        <v>50</v>
      </c>
      <c r="D381" s="206"/>
      <c r="E381" s="203">
        <f>H137</f>
        <v>3.6374999999999909</v>
      </c>
      <c r="F381" s="204">
        <f t="shared" si="82"/>
        <v>0.17836411421898446</v>
      </c>
      <c r="G381" s="17"/>
      <c r="H381" s="19"/>
      <c r="I381" s="521"/>
      <c r="J381" s="17"/>
    </row>
    <row r="382" spans="3:15" ht="11.25" customHeight="1">
      <c r="C382" s="205" t="s">
        <v>51</v>
      </c>
      <c r="D382" s="206"/>
      <c r="E382" s="203">
        <f>H138</f>
        <v>103.32712499999984</v>
      </c>
      <c r="F382" s="204">
        <f t="shared" si="82"/>
        <v>5.0666257389468869</v>
      </c>
      <c r="G382" s="17"/>
      <c r="H382" s="19"/>
      <c r="I382" s="521"/>
      <c r="J382" s="17"/>
    </row>
    <row r="383" spans="3:15" ht="11.25" customHeight="1">
      <c r="C383" s="205" t="s">
        <v>75</v>
      </c>
      <c r="D383" s="206"/>
      <c r="E383" s="203">
        <f>H139</f>
        <v>2.13</v>
      </c>
      <c r="F383" s="204">
        <f t="shared" si="82"/>
        <v>0.10444414110967364</v>
      </c>
      <c r="G383" s="17"/>
      <c r="H383" s="19"/>
      <c r="I383" s="521"/>
      <c r="J383" s="17"/>
    </row>
    <row r="384" spans="3:15" ht="11.25" customHeight="1">
      <c r="C384" s="207" t="s">
        <v>32</v>
      </c>
      <c r="D384" s="208"/>
      <c r="E384" s="209">
        <f>SUM(E373:E383)</f>
        <v>2039.3676250000001</v>
      </c>
      <c r="F384" s="210">
        <f>SUM(F373:F383)</f>
        <v>99.999999999999986</v>
      </c>
      <c r="G384" s="17"/>
      <c r="H384" s="19"/>
      <c r="I384" s="521"/>
      <c r="J384" s="17"/>
    </row>
    <row r="385" spans="3:7" ht="11.25" customHeight="1">
      <c r="C385" s="17"/>
      <c r="D385" s="17"/>
      <c r="E385" s="355"/>
      <c r="F385" s="17"/>
      <c r="G385" s="17"/>
    </row>
    <row r="386" spans="3:7" ht="11.25" customHeight="1">
      <c r="C386" s="197" t="s">
        <v>326</v>
      </c>
      <c r="D386" s="197"/>
      <c r="E386" s="197"/>
      <c r="F386" s="197"/>
      <c r="G386" s="17"/>
    </row>
    <row r="387" spans="3:7" ht="11.25" customHeight="1">
      <c r="C387" s="198"/>
      <c r="D387" s="199"/>
      <c r="E387" s="200" t="s">
        <v>1</v>
      </c>
      <c r="F387" s="200" t="s">
        <v>14</v>
      </c>
      <c r="G387" s="17"/>
    </row>
    <row r="388" spans="3:7" ht="11.25" customHeight="1">
      <c r="C388" s="201" t="s">
        <v>28</v>
      </c>
      <c r="D388" s="202"/>
      <c r="E388" s="203">
        <f>G7</f>
        <v>1999.939695</v>
      </c>
      <c r="F388" s="204">
        <f>E388/$E$400*100</f>
        <v>32.70426586423271</v>
      </c>
      <c r="G388" s="391">
        <f>E388/SUM($E$388:$E$398)*100</f>
        <v>45.243560944095634</v>
      </c>
    </row>
    <row r="389" spans="3:7" ht="11.25" customHeight="1">
      <c r="C389" s="205" t="s">
        <v>250</v>
      </c>
      <c r="D389" s="206"/>
      <c r="E389" s="203">
        <f>G8</f>
        <v>463.23745500000001</v>
      </c>
      <c r="F389" s="204">
        <f>E389/$E$400*100</f>
        <v>7.5751488529710569</v>
      </c>
      <c r="G389" s="391">
        <f t="shared" ref="G389:G398" si="83">E389/SUM($E$388:$E$398)*100</f>
        <v>10.479571998734821</v>
      </c>
    </row>
    <row r="390" spans="3:7" ht="11.25" customHeight="1">
      <c r="C390" s="205" t="s">
        <v>49</v>
      </c>
      <c r="D390" s="206"/>
      <c r="E390" s="203">
        <f>G9</f>
        <v>441.49074099999996</v>
      </c>
      <c r="F390" s="204">
        <f t="shared" ref="F390:F399" si="84">E390/$E$400*100</f>
        <v>7.2195329720984924</v>
      </c>
      <c r="G390" s="391">
        <f t="shared" si="83"/>
        <v>9.9876077746871452</v>
      </c>
    </row>
    <row r="391" spans="3:7" ht="11.25" customHeight="1">
      <c r="C391" s="205" t="s">
        <v>44</v>
      </c>
      <c r="D391" s="206"/>
      <c r="E391" s="203">
        <f>G11</f>
        <v>1045.1970490000001</v>
      </c>
      <c r="F391" s="204">
        <f t="shared" si="84"/>
        <v>17.091716443483794</v>
      </c>
      <c r="G391" s="391">
        <f t="shared" si="83"/>
        <v>23.644931146296596</v>
      </c>
    </row>
    <row r="392" spans="3:7" ht="11.25" customHeight="1">
      <c r="C392" s="205" t="s">
        <v>46</v>
      </c>
      <c r="D392" s="206"/>
      <c r="E392" s="203">
        <f>G12</f>
        <v>16.897098999999997</v>
      </c>
      <c r="F392" s="204">
        <f t="shared" si="84"/>
        <v>0.27631194051091651</v>
      </c>
      <c r="G392" s="391">
        <f t="shared" si="83"/>
        <v>0.38225399010589528</v>
      </c>
    </row>
    <row r="393" spans="3:7" ht="11.25" customHeight="1">
      <c r="C393" s="205" t="s">
        <v>73</v>
      </c>
      <c r="D393" s="206"/>
      <c r="E393" s="203">
        <f>G16</f>
        <v>34.42747</v>
      </c>
      <c r="F393" s="204">
        <f t="shared" si="84"/>
        <v>0.56297954119706373</v>
      </c>
      <c r="G393" s="391">
        <f t="shared" si="83"/>
        <v>0.77883415234479059</v>
      </c>
    </row>
    <row r="394" spans="3:7" ht="11.25" customHeight="1">
      <c r="C394" s="205" t="s">
        <v>90</v>
      </c>
      <c r="D394" s="206"/>
      <c r="E394" s="203">
        <f>G17</f>
        <v>145.46326099999999</v>
      </c>
      <c r="F394" s="204">
        <f t="shared" si="84"/>
        <v>2.3787063045529839</v>
      </c>
      <c r="G394" s="391">
        <f t="shared" si="83"/>
        <v>3.2907371810430455</v>
      </c>
    </row>
    <row r="395" spans="3:7" ht="11.25" customHeight="1">
      <c r="C395" s="205" t="s">
        <v>91</v>
      </c>
      <c r="D395" s="206"/>
      <c r="E395" s="203">
        <f>G18</f>
        <v>145.46326099999999</v>
      </c>
      <c r="F395" s="204">
        <f t="shared" si="84"/>
        <v>2.3787063045529839</v>
      </c>
      <c r="G395" s="391">
        <f t="shared" si="83"/>
        <v>3.2907371810430455</v>
      </c>
    </row>
    <row r="396" spans="3:7" ht="11.25" customHeight="1">
      <c r="C396" s="205" t="s">
        <v>50</v>
      </c>
      <c r="D396" s="206"/>
      <c r="E396" s="203">
        <f>G13</f>
        <v>6.0848199999999997</v>
      </c>
      <c r="F396" s="204">
        <f t="shared" si="84"/>
        <v>9.9502785765748031E-2</v>
      </c>
      <c r="G396" s="391">
        <f t="shared" si="83"/>
        <v>0.13765361285248753</v>
      </c>
    </row>
    <row r="397" spans="3:7" ht="11.25" customHeight="1">
      <c r="C397" s="205" t="s">
        <v>51</v>
      </c>
      <c r="D397" s="206"/>
      <c r="E397" s="203">
        <f>G14</f>
        <v>121.04503299999999</v>
      </c>
      <c r="F397" s="204">
        <f t="shared" si="84"/>
        <v>1.9794041543721754</v>
      </c>
      <c r="G397" s="391">
        <f t="shared" si="83"/>
        <v>2.7383367314560787</v>
      </c>
    </row>
    <row r="398" spans="3:7" ht="11.25" customHeight="1">
      <c r="C398" s="205" t="s">
        <v>75</v>
      </c>
      <c r="D398" s="206"/>
      <c r="E398" s="203">
        <f>G15</f>
        <v>1.139367</v>
      </c>
      <c r="F398" s="204">
        <f t="shared" si="84"/>
        <v>1.8631642433065077E-2</v>
      </c>
      <c r="G398" s="391">
        <f t="shared" si="83"/>
        <v>2.5775287340447237E-2</v>
      </c>
    </row>
    <row r="399" spans="3:7" ht="11.25" customHeight="1">
      <c r="C399" s="205" t="s">
        <v>63</v>
      </c>
      <c r="D399" s="206"/>
      <c r="E399" s="203">
        <f>G20</f>
        <v>1694.8405220000002</v>
      </c>
      <c r="F399" s="204">
        <f t="shared" si="84"/>
        <v>27.715093193828999</v>
      </c>
      <c r="G399" s="391"/>
    </row>
    <row r="400" spans="3:7" ht="11.25" customHeight="1">
      <c r="C400" s="213" t="s">
        <v>32</v>
      </c>
      <c r="D400" s="208"/>
      <c r="E400" s="209">
        <f>SUM(E388:E399)</f>
        <v>6115.225773000001</v>
      </c>
      <c r="F400" s="210">
        <f>SUM(F388:F399)</f>
        <v>99.999999999999972</v>
      </c>
      <c r="G400" s="505">
        <f>SUM(G388:G399)</f>
        <v>99.999999999999972</v>
      </c>
    </row>
    <row r="401" spans="3:8" ht="11.25" customHeight="1">
      <c r="C401" s="17"/>
      <c r="D401" s="17"/>
      <c r="E401" s="355"/>
      <c r="F401" s="17"/>
      <c r="G401" s="17"/>
    </row>
    <row r="402" spans="3:8" ht="11.25" customHeight="1">
      <c r="C402" s="197" t="s">
        <v>407</v>
      </c>
      <c r="D402" s="197"/>
      <c r="E402" s="197"/>
      <c r="F402" s="197"/>
      <c r="G402" s="17"/>
    </row>
    <row r="403" spans="3:8" ht="11.25" customHeight="1">
      <c r="C403" s="198"/>
      <c r="D403" s="199"/>
      <c r="E403" s="200" t="s">
        <v>1</v>
      </c>
      <c r="F403" s="200" t="s">
        <v>14</v>
      </c>
      <c r="G403" s="17"/>
    </row>
    <row r="404" spans="3:8" ht="11.25" customHeight="1">
      <c r="C404" s="201" t="s">
        <v>28</v>
      </c>
      <c r="D404" s="202"/>
      <c r="E404" s="203">
        <f>H7</f>
        <v>221.661767</v>
      </c>
      <c r="F404" s="204">
        <f>E404/$E$416*100</f>
        <v>4.4857621751412458</v>
      </c>
      <c r="G404" s="391">
        <f>E404/SUM($E$404:$E$414)*100</f>
        <v>6.3063210637569842</v>
      </c>
      <c r="H404" s="422"/>
    </row>
    <row r="405" spans="3:8" ht="11.25" customHeight="1">
      <c r="C405" s="205" t="s">
        <v>250</v>
      </c>
      <c r="D405" s="206"/>
      <c r="E405" s="203">
        <f>H8</f>
        <v>282.30966100000001</v>
      </c>
      <c r="F405" s="204">
        <f t="shared" ref="F405:F415" si="85">E405/$E$416*100</f>
        <v>5.7130916897849495</v>
      </c>
      <c r="G405" s="391">
        <f t="shared" ref="G405:G414" si="86">E405/SUM($E$404:$E$414)*100</f>
        <v>8.0317656299581586</v>
      </c>
      <c r="H405" s="422"/>
    </row>
    <row r="406" spans="3:8" ht="11.25" customHeight="1">
      <c r="C406" s="205" t="s">
        <v>49</v>
      </c>
      <c r="D406" s="206"/>
      <c r="E406" s="203">
        <f>H9</f>
        <v>210.54753500000001</v>
      </c>
      <c r="F406" s="204">
        <f t="shared" si="85"/>
        <v>4.2608438133231497</v>
      </c>
      <c r="G406" s="391">
        <f t="shared" si="86"/>
        <v>5.9901189675737401</v>
      </c>
      <c r="H406" s="422"/>
    </row>
    <row r="407" spans="3:8" ht="11.25" customHeight="1">
      <c r="C407" s="205" t="s">
        <v>44</v>
      </c>
      <c r="D407" s="206"/>
      <c r="E407" s="203">
        <f>H11</f>
        <v>2412.1366460000004</v>
      </c>
      <c r="F407" s="204">
        <f t="shared" si="85"/>
        <v>48.814333091095811</v>
      </c>
      <c r="G407" s="391">
        <f t="shared" si="86"/>
        <v>68.625764132476334</v>
      </c>
      <c r="H407" s="422"/>
    </row>
    <row r="408" spans="3:8" ht="11.25" customHeight="1">
      <c r="C408" s="205" t="s">
        <v>46</v>
      </c>
      <c r="D408" s="206"/>
      <c r="E408" s="203">
        <f>H12</f>
        <v>3.9038110000000001</v>
      </c>
      <c r="F408" s="204">
        <f t="shared" si="85"/>
        <v>7.900129986196637E-2</v>
      </c>
      <c r="G408" s="391">
        <f t="shared" si="86"/>
        <v>0.11106419420641997</v>
      </c>
      <c r="H408" s="422"/>
    </row>
    <row r="409" spans="3:8" ht="11.25" customHeight="1">
      <c r="C409" s="205" t="s">
        <v>73</v>
      </c>
      <c r="D409" s="206"/>
      <c r="E409" s="203">
        <f>H16</f>
        <v>33.823183</v>
      </c>
      <c r="F409" s="204">
        <f t="shared" si="85"/>
        <v>0.68447868569179271</v>
      </c>
      <c r="G409" s="391">
        <f t="shared" si="86"/>
        <v>0.96227623862714728</v>
      </c>
      <c r="H409" s="422"/>
    </row>
    <row r="410" spans="3:8" ht="11.25" customHeight="1">
      <c r="C410" s="205" t="s">
        <v>90</v>
      </c>
      <c r="D410" s="206"/>
      <c r="E410" s="203">
        <f>H17</f>
        <v>114.0013445</v>
      </c>
      <c r="F410" s="204">
        <f t="shared" si="85"/>
        <v>2.3070416066535571</v>
      </c>
      <c r="G410" s="391">
        <f t="shared" si="86"/>
        <v>3.2433607737006196</v>
      </c>
      <c r="H410" s="422"/>
    </row>
    <row r="411" spans="3:8" ht="11.25" customHeight="1">
      <c r="C411" s="205" t="s">
        <v>91</v>
      </c>
      <c r="D411" s="206"/>
      <c r="E411" s="203">
        <f>H18</f>
        <v>114.0013445</v>
      </c>
      <c r="F411" s="204">
        <f t="shared" si="85"/>
        <v>2.3070416066535571</v>
      </c>
      <c r="G411" s="391">
        <f t="shared" si="86"/>
        <v>3.2433607737006196</v>
      </c>
      <c r="H411" s="422"/>
    </row>
    <row r="412" spans="3:8" ht="11.25" customHeight="1">
      <c r="C412" s="205" t="s">
        <v>50</v>
      </c>
      <c r="D412" s="206"/>
      <c r="E412" s="203">
        <f>H13</f>
        <v>3.6404490000000003</v>
      </c>
      <c r="F412" s="204">
        <f t="shared" si="85"/>
        <v>7.367165138916705E-2</v>
      </c>
      <c r="G412" s="391">
        <f t="shared" si="86"/>
        <v>0.10357149327530647</v>
      </c>
      <c r="H412" s="422"/>
    </row>
    <row r="413" spans="3:8" ht="11.25" customHeight="1">
      <c r="C413" s="205" t="s">
        <v>51</v>
      </c>
      <c r="D413" s="206"/>
      <c r="E413" s="203">
        <f>H14</f>
        <v>118.258939</v>
      </c>
      <c r="F413" s="204">
        <f t="shared" si="85"/>
        <v>2.3932024120268602</v>
      </c>
      <c r="G413" s="391">
        <f t="shared" si="86"/>
        <v>3.364490178377276</v>
      </c>
      <c r="H413" s="422"/>
    </row>
    <row r="414" spans="3:8" ht="11.25" customHeight="1">
      <c r="C414" s="205" t="s">
        <v>75</v>
      </c>
      <c r="D414" s="206"/>
      <c r="E414" s="203">
        <f>H15</f>
        <v>0.62939999999999996</v>
      </c>
      <c r="F414" s="204">
        <f t="shared" si="85"/>
        <v>1.2737147913441924E-2</v>
      </c>
      <c r="G414" s="391">
        <f t="shared" si="86"/>
        <v>1.7906554347410959E-2</v>
      </c>
      <c r="H414" s="422"/>
    </row>
    <row r="415" spans="3:8" ht="11.25" customHeight="1">
      <c r="C415" s="205" t="s">
        <v>63</v>
      </c>
      <c r="D415" s="206"/>
      <c r="E415" s="203">
        <f>H20</f>
        <v>1426.537525</v>
      </c>
      <c r="F415" s="204">
        <f t="shared" si="85"/>
        <v>28.868794820464501</v>
      </c>
      <c r="G415" s="391"/>
      <c r="H415" s="422"/>
    </row>
    <row r="416" spans="3:8" ht="11.25" customHeight="1">
      <c r="C416" s="213" t="s">
        <v>32</v>
      </c>
      <c r="D416" s="208"/>
      <c r="E416" s="209">
        <f>SUM(E404:E415)</f>
        <v>4941.4516050000002</v>
      </c>
      <c r="F416" s="210">
        <f>SUM(F404:F415)</f>
        <v>100</v>
      </c>
      <c r="G416" s="505">
        <f>SUM(G404:G415)</f>
        <v>100.00000000000001</v>
      </c>
      <c r="H416" s="422"/>
    </row>
    <row r="417" spans="3:11" ht="11.25" customHeight="1"/>
    <row r="418" spans="3:11" ht="11.25" customHeight="1">
      <c r="C418" s="197" t="s">
        <v>327</v>
      </c>
      <c r="D418" s="197"/>
      <c r="E418" s="197"/>
      <c r="F418" s="197"/>
      <c r="G418" s="518"/>
      <c r="H418" s="518"/>
      <c r="I418" s="518"/>
      <c r="J418" s="518"/>
    </row>
    <row r="419" spans="3:11" ht="11.25" customHeight="1">
      <c r="C419" s="198"/>
      <c r="D419" s="199"/>
      <c r="E419" s="200" t="s">
        <v>31</v>
      </c>
      <c r="F419" s="200" t="s">
        <v>14</v>
      </c>
      <c r="G419" s="518"/>
      <c r="H419" s="518"/>
      <c r="J419" s="520"/>
      <c r="K419" s="518"/>
    </row>
    <row r="420" spans="3:11" ht="11.25" customHeight="1">
      <c r="C420" s="205" t="s">
        <v>250</v>
      </c>
      <c r="D420" s="206"/>
      <c r="E420" s="203">
        <f>H148</f>
        <v>495.92</v>
      </c>
      <c r="F420" s="204">
        <f>E420/$E$430*100</f>
        <v>16.373329098208046</v>
      </c>
      <c r="G420" s="523"/>
      <c r="H420" s="524"/>
      <c r="I420" s="521"/>
      <c r="J420" s="525"/>
    </row>
    <row r="421" spans="3:11" ht="11.25" customHeight="1">
      <c r="C421" s="205" t="s">
        <v>49</v>
      </c>
      <c r="D421" s="206"/>
      <c r="E421" s="203">
        <f>H149</f>
        <v>557.1400000000001</v>
      </c>
      <c r="F421" s="204">
        <f t="shared" ref="F421:F429" si="87">E421/$E$430*100</f>
        <v>18.394572862106052</v>
      </c>
      <c r="G421" s="523"/>
      <c r="H421" s="524"/>
      <c r="I421" s="521"/>
      <c r="J421" s="525"/>
    </row>
    <row r="422" spans="3:11" ht="11.25" customHeight="1">
      <c r="C422" s="205" t="s">
        <v>52</v>
      </c>
      <c r="D422" s="206"/>
      <c r="E422" s="203">
        <f>H150</f>
        <v>482.64</v>
      </c>
      <c r="F422" s="204">
        <f t="shared" si="87"/>
        <v>15.934875697610767</v>
      </c>
      <c r="G422" s="523"/>
      <c r="H422" s="524"/>
      <c r="I422" s="521"/>
      <c r="J422" s="525"/>
    </row>
    <row r="423" spans="3:11" ht="11.25" customHeight="1">
      <c r="C423" s="205" t="s">
        <v>44</v>
      </c>
      <c r="D423" s="206"/>
      <c r="E423" s="203">
        <f>H152</f>
        <v>864.2</v>
      </c>
      <c r="F423" s="204">
        <f t="shared" si="87"/>
        <v>28.532487108145254</v>
      </c>
      <c r="G423" s="523"/>
      <c r="H423" s="524"/>
      <c r="I423" s="521"/>
      <c r="J423" s="518"/>
    </row>
    <row r="424" spans="3:11" ht="11.25" customHeight="1">
      <c r="C424" s="205" t="s">
        <v>73</v>
      </c>
      <c r="D424" s="206"/>
      <c r="E424" s="203"/>
      <c r="F424" s="204">
        <f t="shared" si="87"/>
        <v>0</v>
      </c>
      <c r="G424" s="523"/>
      <c r="H424" s="523"/>
      <c r="I424" s="521"/>
      <c r="J424" s="518"/>
    </row>
    <row r="425" spans="3:11" ht="11.25" customHeight="1">
      <c r="C425" s="201" t="s">
        <v>26</v>
      </c>
      <c r="D425" s="202"/>
      <c r="E425" s="203">
        <f>H147</f>
        <v>2.02</v>
      </c>
      <c r="F425" s="204">
        <f t="shared" si="87"/>
        <v>6.6692460030610287E-2</v>
      </c>
      <c r="G425" s="523"/>
      <c r="H425" s="523"/>
      <c r="I425" s="521"/>
      <c r="J425" s="518"/>
    </row>
    <row r="426" spans="3:11" ht="11.25" customHeight="1">
      <c r="C426" s="205" t="s">
        <v>68</v>
      </c>
      <c r="D426" s="206"/>
      <c r="E426" s="203">
        <f>H154</f>
        <v>11.39</v>
      </c>
      <c r="F426" s="204">
        <f t="shared" si="87"/>
        <v>0.3760530295785402</v>
      </c>
      <c r="G426" s="523"/>
      <c r="H426" s="524"/>
      <c r="I426" s="521"/>
      <c r="J426" s="518"/>
    </row>
    <row r="427" spans="3:11" ht="11.25" customHeight="1">
      <c r="C427" s="205" t="s">
        <v>50</v>
      </c>
      <c r="D427" s="206"/>
      <c r="E427" s="203">
        <f>H155</f>
        <v>444.71500000000003</v>
      </c>
      <c r="F427" s="204">
        <f t="shared" si="87"/>
        <v>14.682741268570719</v>
      </c>
      <c r="G427" s="523"/>
      <c r="H427" s="524"/>
      <c r="I427" s="521"/>
      <c r="J427" s="518"/>
    </row>
    <row r="428" spans="3:11" ht="11.25" customHeight="1">
      <c r="C428" s="205" t="s">
        <v>51</v>
      </c>
      <c r="D428" s="206"/>
      <c r="E428" s="203">
        <f>H156</f>
        <v>167.10714499999966</v>
      </c>
      <c r="F428" s="204">
        <f t="shared" si="87"/>
        <v>5.5172210835355822</v>
      </c>
      <c r="G428" s="523"/>
      <c r="H428" s="524"/>
      <c r="I428" s="521"/>
      <c r="J428" s="518"/>
    </row>
    <row r="429" spans="3:11" ht="11.25" customHeight="1">
      <c r="C429" s="205" t="s">
        <v>75</v>
      </c>
      <c r="D429" s="206"/>
      <c r="E429" s="203">
        <f>H157</f>
        <v>3.6960000000000002</v>
      </c>
      <c r="F429" s="204">
        <f t="shared" si="87"/>
        <v>0.12202739221442357</v>
      </c>
      <c r="G429" s="523"/>
      <c r="H429" s="524"/>
      <c r="I429" s="521"/>
      <c r="J429" s="518"/>
    </row>
    <row r="430" spans="3:11" ht="11.25" customHeight="1">
      <c r="C430" s="207" t="s">
        <v>32</v>
      </c>
      <c r="D430" s="208"/>
      <c r="E430" s="209">
        <f>SUM(E420:E429)</f>
        <v>3028.8281449999999</v>
      </c>
      <c r="F430" s="210">
        <f>SUM(F420:F429)</f>
        <v>100</v>
      </c>
      <c r="G430" s="518"/>
      <c r="H430" s="519"/>
      <c r="I430" s="518"/>
      <c r="J430" s="519"/>
    </row>
    <row r="431" spans="3:11" ht="11.25" customHeight="1"/>
    <row r="432" spans="3:11" ht="11.25" customHeight="1">
      <c r="C432" s="197" t="s">
        <v>328</v>
      </c>
    </row>
    <row r="433" spans="3:7" ht="11.25" customHeight="1">
      <c r="C433" s="198"/>
      <c r="D433" s="199"/>
      <c r="E433" s="200" t="s">
        <v>1</v>
      </c>
      <c r="F433" s="200" t="s">
        <v>14</v>
      </c>
    </row>
    <row r="434" spans="3:7" ht="11.25" customHeight="1">
      <c r="C434" s="205" t="s">
        <v>250</v>
      </c>
      <c r="D434" s="206"/>
      <c r="E434" s="203">
        <f>G26</f>
        <v>1949.9451159999999</v>
      </c>
      <c r="F434" s="204">
        <f>E434/$E$444*100</f>
        <v>21.971266706897783</v>
      </c>
      <c r="G434" s="453"/>
    </row>
    <row r="435" spans="3:7" ht="11.25" customHeight="1">
      <c r="C435" s="205" t="s">
        <v>49</v>
      </c>
      <c r="D435" s="206"/>
      <c r="E435" s="203">
        <f>G27</f>
        <v>228.93631500000001</v>
      </c>
      <c r="F435" s="204">
        <f t="shared" ref="F435:F443" si="88">E435/$E$444*100</f>
        <v>2.5795704681563789</v>
      </c>
      <c r="G435" s="453"/>
    </row>
    <row r="436" spans="3:7" ht="11.25" customHeight="1">
      <c r="C436" s="205" t="s">
        <v>52</v>
      </c>
      <c r="D436" s="206"/>
      <c r="E436" s="203">
        <f>G28</f>
        <v>2189.0106679999999</v>
      </c>
      <c r="F436" s="204">
        <f t="shared" si="88"/>
        <v>24.664969704138318</v>
      </c>
      <c r="G436" s="453"/>
    </row>
    <row r="437" spans="3:7" ht="11.25" customHeight="1">
      <c r="C437" s="205" t="s">
        <v>44</v>
      </c>
      <c r="D437" s="206"/>
      <c r="E437" s="203">
        <f>G30</f>
        <v>3053.51755</v>
      </c>
      <c r="F437" s="204">
        <f t="shared" si="88"/>
        <v>34.405916317720141</v>
      </c>
      <c r="G437" s="453"/>
    </row>
    <row r="438" spans="3:7" ht="11.25" customHeight="1">
      <c r="C438" s="205" t="s">
        <v>73</v>
      </c>
      <c r="D438" s="206"/>
      <c r="E438" s="203"/>
      <c r="F438" s="204">
        <f t="shared" si="88"/>
        <v>0</v>
      </c>
      <c r="G438" s="453"/>
    </row>
    <row r="439" spans="3:7" ht="11.25" customHeight="1">
      <c r="C439" s="201" t="s">
        <v>26</v>
      </c>
      <c r="D439" s="202"/>
      <c r="E439" s="203">
        <f>G25</f>
        <v>3.5095189999999996</v>
      </c>
      <c r="F439" s="204">
        <f t="shared" si="88"/>
        <v>3.9543973483777375E-2</v>
      </c>
      <c r="G439" s="453"/>
    </row>
    <row r="440" spans="3:7" ht="11.25" customHeight="1">
      <c r="C440" s="205" t="s">
        <v>68</v>
      </c>
      <c r="D440" s="206"/>
      <c r="E440" s="203">
        <f>G32</f>
        <v>23.248718</v>
      </c>
      <c r="F440" s="204">
        <f t="shared" si="88"/>
        <v>0.26195803132104939</v>
      </c>
      <c r="G440" s="453"/>
    </row>
    <row r="441" spans="3:7" ht="11.25" customHeight="1">
      <c r="C441" s="205" t="s">
        <v>50</v>
      </c>
      <c r="D441" s="206"/>
      <c r="E441" s="203">
        <f>G33</f>
        <v>1138.116575</v>
      </c>
      <c r="F441" s="204">
        <f t="shared" si="88"/>
        <v>12.823880327545606</v>
      </c>
      <c r="G441" s="453"/>
    </row>
    <row r="442" spans="3:7" ht="11.25" customHeight="1">
      <c r="C442" s="205" t="s">
        <v>51</v>
      </c>
      <c r="D442" s="206"/>
      <c r="E442" s="203">
        <f>G34</f>
        <v>278.920098</v>
      </c>
      <c r="F442" s="204">
        <f t="shared" si="88"/>
        <v>3.1427694106812321</v>
      </c>
      <c r="G442" s="453"/>
    </row>
    <row r="443" spans="3:7" ht="11.25" customHeight="1">
      <c r="C443" s="205" t="s">
        <v>75</v>
      </c>
      <c r="D443" s="206"/>
      <c r="E443" s="203">
        <f>G35</f>
        <v>9.7735750000000099</v>
      </c>
      <c r="F443" s="204">
        <f t="shared" si="88"/>
        <v>0.11012506005572555</v>
      </c>
      <c r="G443" s="453"/>
    </row>
    <row r="444" spans="3:7" ht="11.25" customHeight="1">
      <c r="C444" s="207" t="s">
        <v>32</v>
      </c>
      <c r="D444" s="208"/>
      <c r="E444" s="209">
        <f>SUM(E434:E443)</f>
        <v>8874.978133999999</v>
      </c>
      <c r="F444" s="210">
        <f>SUM(F434:F443)</f>
        <v>100</v>
      </c>
      <c r="G444" s="453"/>
    </row>
    <row r="445" spans="3:7" ht="11.25" customHeight="1"/>
    <row r="446" spans="3:7" ht="11.25" customHeight="1">
      <c r="C446" s="197" t="s">
        <v>408</v>
      </c>
    </row>
    <row r="447" spans="3:7" ht="11.25" customHeight="1">
      <c r="C447" s="198"/>
      <c r="D447" s="199"/>
      <c r="E447" s="200" t="s">
        <v>1</v>
      </c>
      <c r="F447" s="200" t="s">
        <v>14</v>
      </c>
    </row>
    <row r="448" spans="3:7" ht="11.25" customHeight="1">
      <c r="C448" s="205" t="s">
        <v>250</v>
      </c>
      <c r="D448" s="206"/>
      <c r="E448" s="203">
        <f>H26</f>
        <v>1717.4092620000001</v>
      </c>
      <c r="F448" s="204">
        <f>E448/$E$458*100</f>
        <v>21.615129792665062</v>
      </c>
      <c r="G448" s="422"/>
    </row>
    <row r="449" spans="3:7" ht="11.25" customHeight="1">
      <c r="C449" s="205" t="s">
        <v>49</v>
      </c>
      <c r="D449" s="206"/>
      <c r="E449" s="203">
        <f>H27</f>
        <v>195.760693</v>
      </c>
      <c r="F449" s="204">
        <f t="shared" ref="F449:F457" si="89">E449/$E$458*100</f>
        <v>2.4638232022630482</v>
      </c>
      <c r="G449" s="422"/>
    </row>
    <row r="450" spans="3:7" ht="11.25" customHeight="1">
      <c r="C450" s="205" t="s">
        <v>52</v>
      </c>
      <c r="D450" s="206"/>
      <c r="E450" s="203">
        <f>H28</f>
        <v>1387.6050789999999</v>
      </c>
      <c r="F450" s="204">
        <f t="shared" si="89"/>
        <v>17.464249522340268</v>
      </c>
      <c r="G450" s="422"/>
    </row>
    <row r="451" spans="3:7" ht="11.25" customHeight="1">
      <c r="C451" s="205" t="s">
        <v>44</v>
      </c>
      <c r="D451" s="206"/>
      <c r="E451" s="203">
        <f>H30</f>
        <v>3254.2698949999999</v>
      </c>
      <c r="F451" s="204">
        <f t="shared" si="89"/>
        <v>40.957893798052361</v>
      </c>
      <c r="G451" s="422"/>
    </row>
    <row r="452" spans="3:7" ht="11.25" customHeight="1">
      <c r="C452" s="205" t="s">
        <v>73</v>
      </c>
      <c r="D452" s="206"/>
      <c r="E452" s="203"/>
      <c r="F452" s="204">
        <f t="shared" si="89"/>
        <v>0</v>
      </c>
      <c r="G452" s="422"/>
    </row>
    <row r="453" spans="3:7" ht="11.25" customHeight="1">
      <c r="C453" s="201" t="s">
        <v>26</v>
      </c>
      <c r="D453" s="202"/>
      <c r="E453" s="203">
        <f>H25</f>
        <v>3.4808159999999999</v>
      </c>
      <c r="F453" s="204">
        <f t="shared" si="89"/>
        <v>4.3809178912175457E-2</v>
      </c>
      <c r="G453" s="422"/>
    </row>
    <row r="454" spans="3:7" ht="11.25" customHeight="1">
      <c r="C454" s="205" t="s">
        <v>68</v>
      </c>
      <c r="D454" s="206"/>
      <c r="E454" s="203">
        <f>H32</f>
        <v>19.540226999999998</v>
      </c>
      <c r="F454" s="204">
        <f t="shared" si="89"/>
        <v>0.24593121286144443</v>
      </c>
      <c r="G454" s="422"/>
    </row>
    <row r="455" spans="3:7" ht="11.25" customHeight="1">
      <c r="C455" s="205" t="s">
        <v>50</v>
      </c>
      <c r="D455" s="206"/>
      <c r="E455" s="203">
        <f>H33</f>
        <v>1100.2950619999999</v>
      </c>
      <c r="F455" s="204">
        <f t="shared" si="89"/>
        <v>13.848196292863854</v>
      </c>
      <c r="G455" s="422"/>
    </row>
    <row r="456" spans="3:7" ht="11.25" customHeight="1">
      <c r="C456" s="205" t="s">
        <v>51</v>
      </c>
      <c r="D456" s="206"/>
      <c r="E456" s="203">
        <f>H34</f>
        <v>257.85846700000002</v>
      </c>
      <c r="F456" s="204">
        <f t="shared" si="89"/>
        <v>3.2453791624786525</v>
      </c>
      <c r="G456" s="422"/>
    </row>
    <row r="457" spans="3:7" ht="11.25" customHeight="1">
      <c r="C457" s="205" t="s">
        <v>75</v>
      </c>
      <c r="D457" s="206"/>
      <c r="E457" s="203">
        <f>H35</f>
        <v>9.1839200000000005</v>
      </c>
      <c r="F457" s="204">
        <f t="shared" si="89"/>
        <v>0.11558783756311926</v>
      </c>
      <c r="G457" s="422"/>
    </row>
    <row r="458" spans="3:7" ht="11.25" customHeight="1">
      <c r="C458" s="207" t="s">
        <v>32</v>
      </c>
      <c r="D458" s="208"/>
      <c r="E458" s="209">
        <f>SUM(E448:E457)</f>
        <v>7945.4034210000009</v>
      </c>
      <c r="F458" s="210">
        <f>SUM(F448:F457)</f>
        <v>99.999999999999986</v>
      </c>
    </row>
    <row r="459" spans="3:7" ht="11.25" customHeight="1"/>
    <row r="460" spans="3:7" ht="11.25" customHeight="1"/>
    <row r="461" spans="3:7" ht="11.25" customHeight="1"/>
  </sheetData>
  <mergeCells count="5">
    <mergeCell ref="L355:O355"/>
    <mergeCell ref="C354:F354"/>
    <mergeCell ref="D355:G355"/>
    <mergeCell ref="H355:K355"/>
    <mergeCell ref="J374:J375"/>
  </mergeCells>
  <pageMargins left="0.7" right="0.7" top="0.75" bottom="0.75" header="0.3" footer="0.3"/>
  <pageSetup paperSize="9" orientation="portrait" r:id="rId1"/>
  <ignoredErrors>
    <ignoredError sqref="H52 D151:F151 D172:H172 D165:H165 D10:H10 D29:H29 D44:H44 D52:G52 D134:F134" formulaRange="1"/>
    <ignoredError sqref="I45 D72:H72 D191:H19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20</vt:i4>
      </vt:variant>
    </vt:vector>
  </HeadingPairs>
  <TitlesOfParts>
    <vt:vector size="65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C35</vt:lpstr>
      <vt:lpstr>C36</vt:lpstr>
      <vt:lpstr>C37</vt:lpstr>
      <vt:lpstr>C38</vt:lpstr>
      <vt:lpstr>Data 1</vt:lpstr>
      <vt:lpstr>Data 1 CCAA</vt:lpstr>
      <vt:lpstr>Data 2</vt:lpstr>
      <vt:lpstr>Data 3</vt:lpstr>
      <vt:lpstr>Data 4</vt:lpstr>
      <vt:lpstr>Data 5</vt:lpstr>
      <vt:lpstr>'C10'!Área_de_impresión</vt:lpstr>
      <vt:lpstr>'C15'!Área_de_impresión</vt:lpstr>
      <vt:lpstr>'C16'!Área_de_impresión</vt:lpstr>
      <vt:lpstr>'C17'!Área_de_impresión</vt:lpstr>
      <vt:lpstr>'C18'!Área_de_impresión</vt:lpstr>
      <vt:lpstr>'C20'!Área_de_impresión</vt:lpstr>
      <vt:lpstr>'C22'!Área_de_impresión</vt:lpstr>
      <vt:lpstr>'C23'!Área_de_impresión</vt:lpstr>
      <vt:lpstr>'C26'!Área_de_impresión</vt:lpstr>
      <vt:lpstr>'C28'!Área_de_impresión</vt:lpstr>
      <vt:lpstr>'C29'!Área_de_impresión</vt:lpstr>
      <vt:lpstr>'C3'!Área_de_impresión</vt:lpstr>
      <vt:lpstr>'C30'!Área_de_impresión</vt:lpstr>
      <vt:lpstr>'C31'!Área_de_impresión</vt:lpstr>
      <vt:lpstr>'C4'!Área_de_impresión</vt:lpstr>
      <vt:lpstr>'C7'!Área_de_impresión</vt:lpstr>
      <vt:lpstr>'C8'!Área_de_impresión</vt:lpstr>
      <vt:lpstr>'Data 1'!Área_de_impresión</vt:lpstr>
      <vt:lpstr>'Data 1 CCAA'!Área_de_impresión</vt:lpstr>
      <vt:lpstr>Indice!Área_de_impresión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DE HEREDIA</dc:creator>
  <cp:lastModifiedBy>Sevilla Penas, Marta</cp:lastModifiedBy>
  <cp:lastPrinted>2016-12-14T13:44:14Z</cp:lastPrinted>
  <dcterms:created xsi:type="dcterms:W3CDTF">2002-12-11T10:33:24Z</dcterms:created>
  <dcterms:modified xsi:type="dcterms:W3CDTF">2021-03-11T06:29:27Z</dcterms:modified>
</cp:coreProperties>
</file>