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Cierre anual\2020\ENVIADOS\"/>
    </mc:Choice>
  </mc:AlternateContent>
  <xr:revisionPtr revIDLastSave="0" documentId="8_{2FB2B626-CBF5-456C-BBAB-4463991CDFC7}" xr6:coauthVersionLast="44" xr6:coauthVersionMax="44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SUMEN" sheetId="30" state="hidden" r:id="rId1"/>
    <sheet name="DEMANDA" sheetId="25" r:id="rId2"/>
    <sheet name="PRODUCCION" sheetId="29" r:id="rId3"/>
    <sheet name="Data 1" sheetId="2" state="hidden" r:id="rId4"/>
  </sheets>
  <definedNames>
    <definedName name="_xlnm.Print_Area" localSheetId="1">DEMANDA!$A$1:$M$15</definedName>
    <definedName name="_xlnm.Print_Area" localSheetId="2">PRODUCCION!$A$1:$T$29</definedName>
    <definedName name="_xlnm.Print_Area" localSheetId="0">RESUMEN!$A$1:$L$14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UADRO_ANTERIOR">#N/A</definedName>
    <definedName name="CUADRO_PROXIMO">#N/A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PRINCIPAL">#N/A</definedName>
    <definedName name="rosa">#N/A</definedName>
    <definedName name="rosa2">#N/A</definedName>
    <definedName name="VV">#N/A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29" l="1"/>
  <c r="D61" i="30"/>
  <c r="M369" i="2"/>
  <c r="G188" i="2" l="1"/>
  <c r="F188" i="2"/>
  <c r="D11" i="30"/>
  <c r="G157" i="2" l="1"/>
  <c r="K157" i="2"/>
  <c r="C157" i="2"/>
  <c r="I157" i="2" l="1"/>
  <c r="H157" i="2"/>
  <c r="H158" i="2" s="1"/>
  <c r="D157" i="2"/>
  <c r="D158" i="2" s="1"/>
  <c r="E157" i="2"/>
  <c r="E158" i="2" s="1"/>
  <c r="J157" i="2"/>
  <c r="J158" i="2" s="1"/>
  <c r="F157" i="2"/>
  <c r="F158" i="2" s="1"/>
  <c r="H278" i="2"/>
  <c r="H287" i="2" s="1"/>
  <c r="H288" i="2" s="1"/>
  <c r="H286" i="2"/>
  <c r="L250" i="2"/>
  <c r="L251" i="2"/>
  <c r="L252" i="2"/>
  <c r="I251" i="2"/>
  <c r="H251" i="2"/>
  <c r="I158" i="2" l="1"/>
  <c r="G158" i="2"/>
  <c r="K158" i="2"/>
  <c r="L336" i="2"/>
  <c r="L340" i="2"/>
  <c r="L344" i="2"/>
  <c r="L339" i="2"/>
  <c r="L334" i="2"/>
  <c r="L337" i="2"/>
  <c r="L341" i="2"/>
  <c r="L345" i="2"/>
  <c r="L343" i="2"/>
  <c r="L338" i="2"/>
  <c r="L342" i="2"/>
  <c r="L346" i="2"/>
  <c r="L335" i="2"/>
  <c r="E52" i="30" l="1"/>
  <c r="L26" i="29"/>
  <c r="M378" i="2"/>
  <c r="K378" i="2" l="1"/>
  <c r="H378" i="2"/>
  <c r="E378" i="2"/>
  <c r="F378" i="2"/>
  <c r="G378" i="2"/>
  <c r="I378" i="2"/>
  <c r="L378" i="2"/>
  <c r="J378" i="2"/>
  <c r="C325" i="2" l="1"/>
  <c r="K303" i="2"/>
  <c r="J303" i="2"/>
  <c r="I303" i="2"/>
  <c r="H303" i="2"/>
  <c r="G303" i="2"/>
  <c r="F303" i="2"/>
  <c r="E303" i="2"/>
  <c r="D303" i="2"/>
  <c r="C303" i="2"/>
  <c r="C286" i="2"/>
  <c r="D286" i="2"/>
  <c r="E286" i="2"/>
  <c r="F286" i="2"/>
  <c r="G286" i="2"/>
  <c r="I286" i="2"/>
  <c r="J286" i="2"/>
  <c r="K286" i="2"/>
  <c r="L286" i="2"/>
  <c r="K278" i="2"/>
  <c r="J278" i="2"/>
  <c r="I278" i="2"/>
  <c r="G278" i="2"/>
  <c r="F278" i="2"/>
  <c r="E278" i="2"/>
  <c r="D278" i="2"/>
  <c r="C278" i="2"/>
  <c r="J259" i="2"/>
  <c r="I259" i="2"/>
  <c r="H259" i="2"/>
  <c r="G259" i="2"/>
  <c r="F259" i="2"/>
  <c r="E259" i="2"/>
  <c r="D259" i="2"/>
  <c r="C259" i="2"/>
  <c r="K259" i="2"/>
  <c r="M238" i="2"/>
  <c r="M239" i="2"/>
  <c r="M240" i="2"/>
  <c r="M242" i="2"/>
  <c r="F252" i="2" l="1"/>
  <c r="G252" i="2"/>
  <c r="G335" i="2" l="1"/>
  <c r="G339" i="2"/>
  <c r="G343" i="2"/>
  <c r="G334" i="2"/>
  <c r="G346" i="2"/>
  <c r="G336" i="2"/>
  <c r="G340" i="2"/>
  <c r="G344" i="2"/>
  <c r="G338" i="2"/>
  <c r="G337" i="2"/>
  <c r="G341" i="2"/>
  <c r="G345" i="2"/>
  <c r="G342" i="2"/>
  <c r="F338" i="2"/>
  <c r="F342" i="2"/>
  <c r="F341" i="2"/>
  <c r="F335" i="2"/>
  <c r="F339" i="2"/>
  <c r="F343" i="2"/>
  <c r="F336" i="2"/>
  <c r="F340" i="2"/>
  <c r="F344" i="2"/>
  <c r="F337" i="2"/>
  <c r="F334" i="2"/>
  <c r="C84" i="2" l="1"/>
  <c r="D74" i="2"/>
  <c r="E74" i="2"/>
  <c r="F74" i="2"/>
  <c r="G74" i="2"/>
  <c r="H74" i="2"/>
  <c r="I74" i="2"/>
  <c r="J74" i="2"/>
  <c r="K74" i="2"/>
  <c r="C74" i="2"/>
  <c r="C79" i="2" s="1"/>
  <c r="K51" i="2"/>
  <c r="E51" i="2"/>
  <c r="F51" i="2"/>
  <c r="G51" i="2"/>
  <c r="H51" i="2"/>
  <c r="I51" i="2"/>
  <c r="J51" i="2"/>
  <c r="D51" i="2"/>
  <c r="C51" i="2"/>
  <c r="D66" i="2"/>
  <c r="D67" i="2" s="1"/>
  <c r="E66" i="2"/>
  <c r="E67" i="2" s="1"/>
  <c r="F66" i="2"/>
  <c r="F67" i="2" s="1"/>
  <c r="G66" i="2"/>
  <c r="H66" i="2"/>
  <c r="H67" i="2" s="1"/>
  <c r="I66" i="2"/>
  <c r="I67" i="2" s="1"/>
  <c r="J66" i="2"/>
  <c r="J67" i="2" s="1"/>
  <c r="K66" i="2"/>
  <c r="K67" i="2" s="1"/>
  <c r="G67" i="2"/>
  <c r="C66" i="2"/>
  <c r="C67" i="2" s="1"/>
  <c r="L74" i="2" l="1"/>
  <c r="L66" i="2"/>
  <c r="L67" i="2" s="1"/>
  <c r="D32" i="2"/>
  <c r="E32" i="2"/>
  <c r="F32" i="2"/>
  <c r="G32" i="2"/>
  <c r="H32" i="2"/>
  <c r="I32" i="2"/>
  <c r="J32" i="2"/>
  <c r="K32" i="2"/>
  <c r="C32" i="2"/>
  <c r="D60" i="30"/>
  <c r="K84" i="2"/>
  <c r="L192" i="2" l="1"/>
  <c r="N301" i="2"/>
  <c r="L308" i="2"/>
  <c r="L268" i="2"/>
  <c r="D67" i="30" l="1"/>
  <c r="E10" i="30"/>
  <c r="D13" i="30"/>
  <c r="D12" i="30"/>
  <c r="D10" i="30"/>
  <c r="D314" i="2" l="1"/>
  <c r="E314" i="2"/>
  <c r="F314" i="2"/>
  <c r="G314" i="2"/>
  <c r="H314" i="2"/>
  <c r="I314" i="2"/>
  <c r="J314" i="2"/>
  <c r="K314" i="2"/>
  <c r="L314" i="2"/>
  <c r="D315" i="2"/>
  <c r="E315" i="2"/>
  <c r="F315" i="2"/>
  <c r="G315" i="2"/>
  <c r="H315" i="2"/>
  <c r="I315" i="2"/>
  <c r="J315" i="2"/>
  <c r="K315" i="2"/>
  <c r="L315" i="2"/>
  <c r="N315" i="2" s="1"/>
  <c r="D316" i="2"/>
  <c r="E316" i="2"/>
  <c r="F316" i="2"/>
  <c r="G316" i="2"/>
  <c r="H316" i="2"/>
  <c r="I316" i="2"/>
  <c r="J316" i="2"/>
  <c r="K316" i="2"/>
  <c r="L316" i="2"/>
  <c r="D317" i="2"/>
  <c r="E317" i="2"/>
  <c r="F317" i="2"/>
  <c r="G317" i="2"/>
  <c r="H317" i="2"/>
  <c r="I317" i="2"/>
  <c r="J317" i="2"/>
  <c r="K317" i="2"/>
  <c r="L317" i="2"/>
  <c r="D319" i="2"/>
  <c r="E319" i="2"/>
  <c r="F319" i="2"/>
  <c r="G319" i="2"/>
  <c r="H319" i="2"/>
  <c r="I319" i="2"/>
  <c r="J319" i="2"/>
  <c r="K319" i="2"/>
  <c r="L319" i="2"/>
  <c r="D320" i="2"/>
  <c r="E320" i="2"/>
  <c r="F320" i="2"/>
  <c r="G320" i="2"/>
  <c r="H320" i="2"/>
  <c r="I320" i="2"/>
  <c r="J320" i="2"/>
  <c r="K320" i="2"/>
  <c r="L320" i="2"/>
  <c r="D321" i="2"/>
  <c r="E321" i="2"/>
  <c r="F321" i="2"/>
  <c r="G321" i="2"/>
  <c r="H321" i="2"/>
  <c r="I321" i="2"/>
  <c r="J321" i="2"/>
  <c r="K321" i="2"/>
  <c r="L321" i="2"/>
  <c r="D322" i="2"/>
  <c r="E322" i="2"/>
  <c r="F322" i="2"/>
  <c r="G322" i="2"/>
  <c r="H322" i="2"/>
  <c r="I322" i="2"/>
  <c r="J322" i="2"/>
  <c r="D323" i="2"/>
  <c r="E323" i="2"/>
  <c r="F323" i="2"/>
  <c r="G323" i="2"/>
  <c r="H323" i="2"/>
  <c r="I323" i="2"/>
  <c r="J323" i="2"/>
  <c r="K323" i="2"/>
  <c r="L323" i="2"/>
  <c r="D324" i="2"/>
  <c r="E324" i="2"/>
  <c r="F324" i="2"/>
  <c r="G324" i="2"/>
  <c r="H324" i="2"/>
  <c r="I324" i="2"/>
  <c r="J324" i="2"/>
  <c r="K324" i="2"/>
  <c r="L324" i="2"/>
  <c r="D325" i="2"/>
  <c r="E325" i="2"/>
  <c r="F325" i="2"/>
  <c r="G325" i="2"/>
  <c r="H325" i="2"/>
  <c r="I325" i="2"/>
  <c r="J325" i="2"/>
  <c r="K325" i="2"/>
  <c r="L325" i="2"/>
  <c r="D326" i="2"/>
  <c r="E326" i="2"/>
  <c r="F326" i="2"/>
  <c r="G326" i="2"/>
  <c r="H326" i="2"/>
  <c r="I326" i="2"/>
  <c r="J326" i="2"/>
  <c r="D327" i="2"/>
  <c r="E327" i="2"/>
  <c r="F327" i="2"/>
  <c r="G327" i="2"/>
  <c r="H327" i="2"/>
  <c r="I327" i="2"/>
  <c r="J327" i="2"/>
  <c r="C327" i="2"/>
  <c r="C326" i="2"/>
  <c r="C324" i="2"/>
  <c r="C323" i="2"/>
  <c r="C322" i="2"/>
  <c r="C321" i="2"/>
  <c r="C320" i="2"/>
  <c r="C319" i="2"/>
  <c r="C317" i="2"/>
  <c r="C316" i="2"/>
  <c r="C315" i="2"/>
  <c r="C314" i="2"/>
  <c r="L326" i="2"/>
  <c r="L322" i="2"/>
  <c r="K326" i="2"/>
  <c r="K322" i="2"/>
  <c r="H308" i="2"/>
  <c r="N320" i="2" l="1"/>
  <c r="N325" i="2"/>
  <c r="N324" i="2"/>
  <c r="N316" i="2"/>
  <c r="N319" i="2"/>
  <c r="N314" i="2"/>
  <c r="N323" i="2"/>
  <c r="N321" i="2"/>
  <c r="N317" i="2"/>
  <c r="N322" i="2"/>
  <c r="N326" i="2"/>
  <c r="L327" i="2"/>
  <c r="L328" i="2" s="1"/>
  <c r="K327" i="2"/>
  <c r="N307" i="2"/>
  <c r="M307" i="2"/>
  <c r="N306" i="2"/>
  <c r="M306" i="2"/>
  <c r="N304" i="2"/>
  <c r="N308" i="2" s="1"/>
  <c r="M304" i="2"/>
  <c r="M302" i="2"/>
  <c r="N302" i="2"/>
  <c r="M301" i="2"/>
  <c r="N327" i="2" l="1"/>
  <c r="N328" i="2" s="1"/>
  <c r="D308" i="2"/>
  <c r="E308" i="2"/>
  <c r="F308" i="2"/>
  <c r="G308" i="2"/>
  <c r="I308" i="2"/>
  <c r="J308" i="2"/>
  <c r="K308" i="2"/>
  <c r="D309" i="2"/>
  <c r="E309" i="2"/>
  <c r="E310" i="2" s="1"/>
  <c r="F309" i="2"/>
  <c r="G309" i="2"/>
  <c r="G310" i="2" s="1"/>
  <c r="H309" i="2"/>
  <c r="I309" i="2"/>
  <c r="J309" i="2"/>
  <c r="K309" i="2"/>
  <c r="C309" i="2"/>
  <c r="C308" i="2"/>
  <c r="L303" i="2"/>
  <c r="N283" i="2"/>
  <c r="N293" i="2"/>
  <c r="N292" i="2"/>
  <c r="M293" i="2"/>
  <c r="M292" i="2"/>
  <c r="D294" i="2"/>
  <c r="D318" i="2" s="1"/>
  <c r="E294" i="2"/>
  <c r="E318" i="2" s="1"/>
  <c r="E329" i="2" s="1"/>
  <c r="F294" i="2"/>
  <c r="F318" i="2" s="1"/>
  <c r="F329" i="2" s="1"/>
  <c r="G294" i="2"/>
  <c r="H294" i="2"/>
  <c r="H318" i="2" s="1"/>
  <c r="I294" i="2"/>
  <c r="I318" i="2" s="1"/>
  <c r="I329" i="2" s="1"/>
  <c r="J294" i="2"/>
  <c r="J318" i="2" s="1"/>
  <c r="J329" i="2" s="1"/>
  <c r="K294" i="2"/>
  <c r="M294" i="2" s="1"/>
  <c r="L294" i="2"/>
  <c r="L296" i="2" s="1"/>
  <c r="L297" i="2" s="1"/>
  <c r="D296" i="2"/>
  <c r="D297" i="2" s="1"/>
  <c r="J296" i="2"/>
  <c r="J297" i="2" s="1"/>
  <c r="C294" i="2"/>
  <c r="C318" i="2" s="1"/>
  <c r="C329" i="2" s="1"/>
  <c r="N284" i="2"/>
  <c r="N282" i="2"/>
  <c r="N281" i="2"/>
  <c r="N279" i="2"/>
  <c r="N277" i="2"/>
  <c r="N276" i="2"/>
  <c r="N275" i="2"/>
  <c r="N274" i="2"/>
  <c r="M284" i="2"/>
  <c r="M283" i="2"/>
  <c r="M282" i="2"/>
  <c r="M281" i="2"/>
  <c r="M279" i="2"/>
  <c r="M277" i="2"/>
  <c r="M276" i="2"/>
  <c r="M275" i="2"/>
  <c r="M274" i="2"/>
  <c r="L278" i="2"/>
  <c r="L287" i="2" s="1"/>
  <c r="I287" i="2"/>
  <c r="M286" i="2"/>
  <c r="D287" i="2"/>
  <c r="E287" i="2"/>
  <c r="F287" i="2"/>
  <c r="F288" i="2" s="1"/>
  <c r="G287" i="2"/>
  <c r="G288" i="2" s="1"/>
  <c r="J287" i="2"/>
  <c r="K287" i="2"/>
  <c r="C287" i="2"/>
  <c r="M327" i="2"/>
  <c r="M326" i="2"/>
  <c r="M325" i="2"/>
  <c r="M324" i="2"/>
  <c r="M323" i="2"/>
  <c r="M322" i="2"/>
  <c r="M321" i="2"/>
  <c r="M320" i="2"/>
  <c r="I328" i="2"/>
  <c r="E328" i="2"/>
  <c r="M319" i="2"/>
  <c r="M317" i="2"/>
  <c r="M316" i="2"/>
  <c r="H329" i="2"/>
  <c r="D329" i="2"/>
  <c r="M314" i="2"/>
  <c r="K328" i="2"/>
  <c r="M328" i="2" s="1"/>
  <c r="J328" i="2"/>
  <c r="H328" i="2"/>
  <c r="G328" i="2"/>
  <c r="F328" i="2"/>
  <c r="D328" i="2"/>
  <c r="C328" i="2"/>
  <c r="N267" i="2"/>
  <c r="N266" i="2"/>
  <c r="N265" i="2"/>
  <c r="N264" i="2"/>
  <c r="N263" i="2"/>
  <c r="N262" i="2"/>
  <c r="N260" i="2"/>
  <c r="N258" i="2"/>
  <c r="N257" i="2"/>
  <c r="N256" i="2"/>
  <c r="M267" i="2"/>
  <c r="M266" i="2"/>
  <c r="M265" i="2"/>
  <c r="M264" i="2"/>
  <c r="M263" i="2"/>
  <c r="M262" i="2"/>
  <c r="M260" i="2"/>
  <c r="M258" i="2"/>
  <c r="M257" i="2"/>
  <c r="M256" i="2"/>
  <c r="C310" i="2" l="1"/>
  <c r="D310" i="2"/>
  <c r="F310" i="2"/>
  <c r="L309" i="2"/>
  <c r="M309" i="2" s="1"/>
  <c r="M303" i="2"/>
  <c r="N303" i="2"/>
  <c r="N309" i="2" s="1"/>
  <c r="N310" i="2" s="1"/>
  <c r="K310" i="2"/>
  <c r="E296" i="2"/>
  <c r="E297" i="2" s="1"/>
  <c r="I296" i="2"/>
  <c r="I297" i="2" s="1"/>
  <c r="C296" i="2"/>
  <c r="C297" i="2" s="1"/>
  <c r="H296" i="2"/>
  <c r="H297" i="2" s="1"/>
  <c r="F296" i="2"/>
  <c r="F297" i="2" s="1"/>
  <c r="K296" i="2"/>
  <c r="K318" i="2"/>
  <c r="K329" i="2" s="1"/>
  <c r="K330" i="2" s="1"/>
  <c r="G296" i="2"/>
  <c r="G297" i="2" s="1"/>
  <c r="G318" i="2"/>
  <c r="G329" i="2" s="1"/>
  <c r="G330" i="2" s="1"/>
  <c r="N294" i="2"/>
  <c r="N296" i="2" s="1"/>
  <c r="N297" i="2" s="1"/>
  <c r="N278" i="2"/>
  <c r="N287" i="2" s="1"/>
  <c r="M287" i="2"/>
  <c r="M278" i="2"/>
  <c r="E288" i="2"/>
  <c r="C288" i="2"/>
  <c r="D288" i="2"/>
  <c r="N286" i="2"/>
  <c r="N268" i="2"/>
  <c r="J330" i="2"/>
  <c r="C330" i="2"/>
  <c r="M308" i="2"/>
  <c r="J310" i="2"/>
  <c r="L310" i="2"/>
  <c r="I310" i="2"/>
  <c r="H310" i="2"/>
  <c r="K288" i="2"/>
  <c r="J288" i="2"/>
  <c r="I288" i="2"/>
  <c r="L288" i="2"/>
  <c r="F330" i="2"/>
  <c r="E330" i="2"/>
  <c r="I330" i="2"/>
  <c r="H330" i="2"/>
  <c r="D330" i="2"/>
  <c r="M315" i="2"/>
  <c r="K297" i="2" l="1"/>
  <c r="M297" i="2" s="1"/>
  <c r="M296" i="2"/>
  <c r="N288" i="2"/>
  <c r="M288" i="2"/>
  <c r="M310" i="2"/>
  <c r="L259" i="2" l="1"/>
  <c r="J269" i="2"/>
  <c r="H269" i="2"/>
  <c r="D268" i="2"/>
  <c r="E268" i="2"/>
  <c r="F268" i="2"/>
  <c r="G268" i="2"/>
  <c r="H268" i="2"/>
  <c r="I268" i="2"/>
  <c r="J268" i="2"/>
  <c r="K268" i="2"/>
  <c r="I269" i="2"/>
  <c r="K269" i="2"/>
  <c r="L269" i="2" l="1"/>
  <c r="L318" i="2"/>
  <c r="M259" i="2"/>
  <c r="N259" i="2"/>
  <c r="N269" i="2" s="1"/>
  <c r="N270" i="2" s="1"/>
  <c r="L270" i="2"/>
  <c r="K270" i="2"/>
  <c r="J270" i="2"/>
  <c r="I270" i="2"/>
  <c r="H270" i="2"/>
  <c r="N318" i="2" l="1"/>
  <c r="N329" i="2" s="1"/>
  <c r="N330" i="2" s="1"/>
  <c r="L329" i="2"/>
  <c r="M318" i="2"/>
  <c r="C269" i="2"/>
  <c r="C268" i="2"/>
  <c r="D269" i="2"/>
  <c r="D270" i="2" s="1"/>
  <c r="E269" i="2"/>
  <c r="E270" i="2" s="1"/>
  <c r="F269" i="2"/>
  <c r="F270" i="2" s="1"/>
  <c r="G269" i="2"/>
  <c r="G270" i="2" s="1"/>
  <c r="C270" i="2" l="1"/>
  <c r="M329" i="2"/>
  <c r="L330" i="2"/>
  <c r="D39" i="30" s="1"/>
  <c r="M270" i="2"/>
  <c r="M269" i="2"/>
  <c r="M268" i="2"/>
  <c r="M330" i="2" l="1"/>
  <c r="D40" i="30"/>
  <c r="C21" i="29"/>
  <c r="C26" i="29"/>
  <c r="D24" i="30"/>
  <c r="N13" i="25"/>
  <c r="F379" i="2" l="1"/>
  <c r="E379" i="2" l="1"/>
  <c r="G379" i="2" l="1"/>
  <c r="H379" i="2" l="1"/>
  <c r="I379" i="2" l="1"/>
  <c r="J379" i="2" l="1"/>
  <c r="K379" i="2" l="1"/>
  <c r="L379" i="2" l="1"/>
  <c r="D8" i="30" l="1"/>
  <c r="C13" i="25"/>
  <c r="N238" i="2"/>
  <c r="N239" i="2"/>
  <c r="N240" i="2"/>
  <c r="N241" i="2"/>
  <c r="N242" i="2"/>
  <c r="N243" i="2"/>
  <c r="N244" i="2"/>
  <c r="N245" i="2"/>
  <c r="N246" i="2"/>
  <c r="N247" i="2"/>
  <c r="N248" i="2"/>
  <c r="N249" i="2"/>
  <c r="N237" i="2"/>
  <c r="N251" i="2" l="1"/>
  <c r="N252" i="2"/>
  <c r="N250" i="2"/>
  <c r="F346" i="2"/>
  <c r="F345" i="2"/>
  <c r="E346" i="2"/>
  <c r="E345" i="2"/>
  <c r="D346" i="2"/>
  <c r="D345" i="2"/>
  <c r="C346" i="2"/>
  <c r="C345" i="2"/>
  <c r="K251" i="2"/>
  <c r="J251" i="2"/>
  <c r="G251" i="2"/>
  <c r="F251" i="2"/>
  <c r="E251" i="2"/>
  <c r="D251" i="2"/>
  <c r="C251" i="2"/>
  <c r="K250" i="2"/>
  <c r="J250" i="2"/>
  <c r="I250" i="2"/>
  <c r="H250" i="2"/>
  <c r="G250" i="2"/>
  <c r="F250" i="2"/>
  <c r="E250" i="2"/>
  <c r="D250" i="2"/>
  <c r="C250" i="2"/>
  <c r="M250" i="2" l="1"/>
  <c r="M251" i="2"/>
  <c r="J41" i="2" l="1"/>
  <c r="I41" i="2"/>
  <c r="H41" i="2"/>
  <c r="G41" i="2"/>
  <c r="F41" i="2"/>
  <c r="E41" i="2"/>
  <c r="D41" i="2"/>
  <c r="K41" i="2"/>
  <c r="F33" i="29" l="1"/>
  <c r="E13" i="25" l="1"/>
  <c r="G13" i="25"/>
  <c r="E8" i="25"/>
  <c r="J192" i="2" l="1"/>
  <c r="J193" i="2"/>
  <c r="J194" i="2"/>
  <c r="J195" i="2"/>
  <c r="J196" i="2"/>
  <c r="J197" i="2"/>
  <c r="J198" i="2"/>
  <c r="J199" i="2"/>
  <c r="J200" i="2"/>
  <c r="J201" i="2"/>
  <c r="J202" i="2"/>
  <c r="J203" i="2"/>
  <c r="J204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D84" i="2" l="1"/>
  <c r="D105" i="2" s="1"/>
  <c r="E84" i="2"/>
  <c r="E105" i="2" s="1"/>
  <c r="F84" i="2"/>
  <c r="F105" i="2" s="1"/>
  <c r="G84" i="2"/>
  <c r="G105" i="2" s="1"/>
  <c r="H84" i="2"/>
  <c r="H105" i="2" s="1"/>
  <c r="I84" i="2"/>
  <c r="I105" i="2" s="1"/>
  <c r="J84" i="2"/>
  <c r="J105" i="2" s="1"/>
  <c r="D85" i="2"/>
  <c r="D106" i="2" s="1"/>
  <c r="E85" i="2"/>
  <c r="E106" i="2" s="1"/>
  <c r="F85" i="2"/>
  <c r="F106" i="2" s="1"/>
  <c r="G85" i="2"/>
  <c r="G106" i="2" s="1"/>
  <c r="H85" i="2"/>
  <c r="H106" i="2" s="1"/>
  <c r="I85" i="2"/>
  <c r="I106" i="2" s="1"/>
  <c r="J85" i="2"/>
  <c r="J106" i="2" s="1"/>
  <c r="D86" i="2"/>
  <c r="D107" i="2" s="1"/>
  <c r="E86" i="2"/>
  <c r="E107" i="2" s="1"/>
  <c r="F86" i="2"/>
  <c r="F107" i="2" s="1"/>
  <c r="G86" i="2"/>
  <c r="G107" i="2" s="1"/>
  <c r="H86" i="2"/>
  <c r="H107" i="2" s="1"/>
  <c r="I86" i="2"/>
  <c r="I107" i="2" s="1"/>
  <c r="J86" i="2"/>
  <c r="J107" i="2" s="1"/>
  <c r="D87" i="2"/>
  <c r="D108" i="2" s="1"/>
  <c r="E87" i="2"/>
  <c r="E108" i="2" s="1"/>
  <c r="F87" i="2"/>
  <c r="F108" i="2" s="1"/>
  <c r="G87" i="2"/>
  <c r="G108" i="2" s="1"/>
  <c r="H87" i="2"/>
  <c r="H108" i="2" s="1"/>
  <c r="I87" i="2"/>
  <c r="I108" i="2" s="1"/>
  <c r="J87" i="2"/>
  <c r="J108" i="2" s="1"/>
  <c r="D89" i="2"/>
  <c r="D110" i="2" s="1"/>
  <c r="E89" i="2"/>
  <c r="E110" i="2" s="1"/>
  <c r="F89" i="2"/>
  <c r="F110" i="2" s="1"/>
  <c r="G89" i="2"/>
  <c r="G110" i="2" s="1"/>
  <c r="H89" i="2"/>
  <c r="H110" i="2" s="1"/>
  <c r="I89" i="2"/>
  <c r="I110" i="2" s="1"/>
  <c r="J89" i="2"/>
  <c r="J110" i="2" s="1"/>
  <c r="D90" i="2"/>
  <c r="D111" i="2" s="1"/>
  <c r="E90" i="2"/>
  <c r="E111" i="2" s="1"/>
  <c r="F90" i="2"/>
  <c r="F111" i="2" s="1"/>
  <c r="G90" i="2"/>
  <c r="G111" i="2" s="1"/>
  <c r="H90" i="2"/>
  <c r="H111" i="2" s="1"/>
  <c r="I90" i="2"/>
  <c r="I111" i="2" s="1"/>
  <c r="J90" i="2"/>
  <c r="J111" i="2" s="1"/>
  <c r="D91" i="2"/>
  <c r="D112" i="2" s="1"/>
  <c r="E91" i="2"/>
  <c r="E112" i="2" s="1"/>
  <c r="F91" i="2"/>
  <c r="F112" i="2" s="1"/>
  <c r="G91" i="2"/>
  <c r="G112" i="2" s="1"/>
  <c r="H91" i="2"/>
  <c r="H112" i="2" s="1"/>
  <c r="I91" i="2"/>
  <c r="I112" i="2" s="1"/>
  <c r="J91" i="2"/>
  <c r="J112" i="2" s="1"/>
  <c r="D92" i="2"/>
  <c r="D113" i="2" s="1"/>
  <c r="E92" i="2"/>
  <c r="E113" i="2" s="1"/>
  <c r="F92" i="2"/>
  <c r="F113" i="2" s="1"/>
  <c r="G92" i="2"/>
  <c r="G113" i="2" s="1"/>
  <c r="H92" i="2"/>
  <c r="H113" i="2" s="1"/>
  <c r="I92" i="2"/>
  <c r="I113" i="2" s="1"/>
  <c r="J92" i="2"/>
  <c r="J113" i="2" s="1"/>
  <c r="D93" i="2"/>
  <c r="D114" i="2" s="1"/>
  <c r="E93" i="2"/>
  <c r="E114" i="2" s="1"/>
  <c r="F93" i="2"/>
  <c r="F114" i="2" s="1"/>
  <c r="G93" i="2"/>
  <c r="G114" i="2" s="1"/>
  <c r="H93" i="2"/>
  <c r="H114" i="2" s="1"/>
  <c r="I93" i="2"/>
  <c r="I114" i="2" s="1"/>
  <c r="J93" i="2"/>
  <c r="J114" i="2" s="1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D95" i="2"/>
  <c r="D116" i="2" s="1"/>
  <c r="E95" i="2"/>
  <c r="E116" i="2" s="1"/>
  <c r="F95" i="2"/>
  <c r="F116" i="2" s="1"/>
  <c r="G95" i="2"/>
  <c r="G116" i="2" s="1"/>
  <c r="H95" i="2"/>
  <c r="H116" i="2" s="1"/>
  <c r="I95" i="2"/>
  <c r="I116" i="2" s="1"/>
  <c r="J95" i="2"/>
  <c r="J116" i="2" s="1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I118" i="2" s="1"/>
  <c r="J97" i="2"/>
  <c r="J118" i="2" s="1"/>
  <c r="D99" i="2"/>
  <c r="E99" i="2"/>
  <c r="F99" i="2"/>
  <c r="G99" i="2"/>
  <c r="H99" i="2"/>
  <c r="I99" i="2"/>
  <c r="J99" i="2"/>
  <c r="D100" i="2"/>
  <c r="E100" i="2"/>
  <c r="F100" i="2"/>
  <c r="G100" i="2"/>
  <c r="H100" i="2"/>
  <c r="I100" i="2"/>
  <c r="J100" i="2"/>
  <c r="C99" i="2"/>
  <c r="C85" i="2"/>
  <c r="C106" i="2" s="1"/>
  <c r="C105" i="2"/>
  <c r="C100" i="2"/>
  <c r="C97" i="2"/>
  <c r="C118" i="2" s="1"/>
  <c r="C96" i="2"/>
  <c r="C117" i="2" s="1"/>
  <c r="C95" i="2"/>
  <c r="C116" i="2" s="1"/>
  <c r="C94" i="2"/>
  <c r="C115" i="2" s="1"/>
  <c r="C93" i="2"/>
  <c r="C114" i="2" s="1"/>
  <c r="C92" i="2"/>
  <c r="C113" i="2" s="1"/>
  <c r="C91" i="2"/>
  <c r="C112" i="2" s="1"/>
  <c r="C90" i="2"/>
  <c r="C111" i="2" s="1"/>
  <c r="C89" i="2"/>
  <c r="C110" i="2" s="1"/>
  <c r="C87" i="2"/>
  <c r="C108" i="2" s="1"/>
  <c r="C86" i="2"/>
  <c r="C107" i="2" s="1"/>
  <c r="J79" i="2"/>
  <c r="J80" i="2" s="1"/>
  <c r="I79" i="2"/>
  <c r="I80" i="2" s="1"/>
  <c r="H79" i="2"/>
  <c r="H80" i="2" s="1"/>
  <c r="G79" i="2"/>
  <c r="G80" i="2" s="1"/>
  <c r="F79" i="2"/>
  <c r="F80" i="2" s="1"/>
  <c r="E79" i="2"/>
  <c r="E80" i="2" s="1"/>
  <c r="D79" i="2"/>
  <c r="D80" i="2" s="1"/>
  <c r="C80" i="2"/>
  <c r="J68" i="2"/>
  <c r="I68" i="2"/>
  <c r="H68" i="2"/>
  <c r="G68" i="2"/>
  <c r="F68" i="2"/>
  <c r="E68" i="2"/>
  <c r="D68" i="2"/>
  <c r="C68" i="2"/>
  <c r="J59" i="2"/>
  <c r="J60" i="2" s="1"/>
  <c r="I59" i="2"/>
  <c r="I60" i="2" s="1"/>
  <c r="H59" i="2"/>
  <c r="H60" i="2" s="1"/>
  <c r="G59" i="2"/>
  <c r="G60" i="2" s="1"/>
  <c r="F59" i="2"/>
  <c r="F60" i="2" s="1"/>
  <c r="E59" i="2"/>
  <c r="E60" i="2" s="1"/>
  <c r="C59" i="2"/>
  <c r="C60" i="2" s="1"/>
  <c r="K90" i="2"/>
  <c r="K111" i="2" s="1"/>
  <c r="J43" i="2"/>
  <c r="G43" i="2"/>
  <c r="F43" i="2"/>
  <c r="C41" i="2"/>
  <c r="C43" i="2" s="1"/>
  <c r="J21" i="2"/>
  <c r="J25" i="2" s="1"/>
  <c r="I21" i="2"/>
  <c r="I25" i="2" s="1"/>
  <c r="H21" i="2"/>
  <c r="H25" i="2" s="1"/>
  <c r="G21" i="2"/>
  <c r="G25" i="2" s="1"/>
  <c r="F21" i="2"/>
  <c r="F25" i="2" s="1"/>
  <c r="E21" i="2"/>
  <c r="E25" i="2" s="1"/>
  <c r="D21" i="2"/>
  <c r="D25" i="2" s="1"/>
  <c r="C21" i="2"/>
  <c r="C25" i="2" s="1"/>
  <c r="I119" i="2" l="1"/>
  <c r="E119" i="2"/>
  <c r="J119" i="2"/>
  <c r="F119" i="2"/>
  <c r="H119" i="2"/>
  <c r="D119" i="2"/>
  <c r="C119" i="2"/>
  <c r="G119" i="2"/>
  <c r="J88" i="2"/>
  <c r="F88" i="2"/>
  <c r="D43" i="2"/>
  <c r="D88" i="2"/>
  <c r="H43" i="2"/>
  <c r="H88" i="2"/>
  <c r="E43" i="2"/>
  <c r="E88" i="2"/>
  <c r="I43" i="2"/>
  <c r="I88" i="2"/>
  <c r="K79" i="2"/>
  <c r="C88" i="2"/>
  <c r="G88" i="2"/>
  <c r="M77" i="2"/>
  <c r="M73" i="2"/>
  <c r="M75" i="2"/>
  <c r="M76" i="2"/>
  <c r="M72" i="2"/>
  <c r="M64" i="2"/>
  <c r="K68" i="2"/>
  <c r="M65" i="2"/>
  <c r="D59" i="2"/>
  <c r="D60" i="2" s="1"/>
  <c r="K43" i="2"/>
  <c r="K59" i="2"/>
  <c r="K60" i="2" s="1"/>
  <c r="J98" i="2" l="1"/>
  <c r="J101" i="2" s="1"/>
  <c r="J109" i="2"/>
  <c r="C98" i="2"/>
  <c r="C101" i="2" s="1"/>
  <c r="C109" i="2"/>
  <c r="E98" i="2"/>
  <c r="E101" i="2" s="1"/>
  <c r="E109" i="2"/>
  <c r="D98" i="2"/>
  <c r="D101" i="2" s="1"/>
  <c r="D109" i="2"/>
  <c r="G98" i="2"/>
  <c r="G101" i="2" s="1"/>
  <c r="G109" i="2"/>
  <c r="I98" i="2"/>
  <c r="I101" i="2" s="1"/>
  <c r="I109" i="2"/>
  <c r="H98" i="2"/>
  <c r="H101" i="2" s="1"/>
  <c r="H109" i="2"/>
  <c r="F98" i="2"/>
  <c r="F101" i="2" s="1"/>
  <c r="F109" i="2"/>
  <c r="L68" i="2"/>
  <c r="L79" i="2"/>
  <c r="K80" i="2"/>
  <c r="M74" i="2"/>
  <c r="M66" i="2"/>
  <c r="G120" i="2" l="1"/>
  <c r="G121" i="2" s="1"/>
  <c r="G129" i="2" s="1"/>
  <c r="E120" i="2"/>
  <c r="E121" i="2" s="1"/>
  <c r="E129" i="2" s="1"/>
  <c r="H120" i="2"/>
  <c r="H121" i="2" s="1"/>
  <c r="F120" i="2"/>
  <c r="F121" i="2" s="1"/>
  <c r="I120" i="2"/>
  <c r="I121" i="2" s="1"/>
  <c r="I129" i="2" s="1"/>
  <c r="J120" i="2"/>
  <c r="J121" i="2" s="1"/>
  <c r="J129" i="2" s="1"/>
  <c r="D120" i="2"/>
  <c r="D121" i="2" s="1"/>
  <c r="C120" i="2"/>
  <c r="C121" i="2" s="1"/>
  <c r="C125" i="2" s="1"/>
  <c r="M67" i="2"/>
  <c r="L80" i="2"/>
  <c r="M80" i="2" s="1"/>
  <c r="D20" i="30" s="1"/>
  <c r="M79" i="2"/>
  <c r="M68" i="2"/>
  <c r="D19" i="30" s="1"/>
  <c r="C138" i="2" l="1"/>
  <c r="C133" i="2"/>
  <c r="C130" i="2"/>
  <c r="C135" i="2"/>
  <c r="C137" i="2"/>
  <c r="C127" i="2"/>
  <c r="C126" i="2"/>
  <c r="C134" i="2"/>
  <c r="C128" i="2"/>
  <c r="C131" i="2"/>
  <c r="C136" i="2"/>
  <c r="C132" i="2"/>
  <c r="F125" i="2"/>
  <c r="F138" i="2"/>
  <c r="F131" i="2"/>
  <c r="F132" i="2"/>
  <c r="F126" i="2"/>
  <c r="F128" i="2"/>
  <c r="F136" i="2"/>
  <c r="F133" i="2"/>
  <c r="F130" i="2"/>
  <c r="F137" i="2"/>
  <c r="F135" i="2"/>
  <c r="F134" i="2"/>
  <c r="F127" i="2"/>
  <c r="C129" i="2"/>
  <c r="D125" i="2"/>
  <c r="D136" i="2"/>
  <c r="D130" i="2"/>
  <c r="D126" i="2"/>
  <c r="D127" i="2"/>
  <c r="D135" i="2"/>
  <c r="D133" i="2"/>
  <c r="D134" i="2"/>
  <c r="D131" i="2"/>
  <c r="D132" i="2"/>
  <c r="D128" i="2"/>
  <c r="D137" i="2"/>
  <c r="D138" i="2"/>
  <c r="J125" i="2"/>
  <c r="J136" i="2"/>
  <c r="J135" i="2"/>
  <c r="J133" i="2"/>
  <c r="J126" i="2"/>
  <c r="J131" i="2"/>
  <c r="J130" i="2"/>
  <c r="J137" i="2"/>
  <c r="J134" i="2"/>
  <c r="J138" i="2"/>
  <c r="J132" i="2"/>
  <c r="J128" i="2"/>
  <c r="J127" i="2"/>
  <c r="E125" i="2"/>
  <c r="E128" i="2"/>
  <c r="E136" i="2"/>
  <c r="E137" i="2"/>
  <c r="E131" i="2"/>
  <c r="E127" i="2"/>
  <c r="E133" i="2"/>
  <c r="E130" i="2"/>
  <c r="E126" i="2"/>
  <c r="E134" i="2"/>
  <c r="E135" i="2"/>
  <c r="E138" i="2"/>
  <c r="E132" i="2"/>
  <c r="H125" i="2"/>
  <c r="H128" i="2"/>
  <c r="H134" i="2"/>
  <c r="H131" i="2"/>
  <c r="H132" i="2"/>
  <c r="H127" i="2"/>
  <c r="H137" i="2"/>
  <c r="H138" i="2"/>
  <c r="H135" i="2"/>
  <c r="H136" i="2"/>
  <c r="H133" i="2"/>
  <c r="H130" i="2"/>
  <c r="H126" i="2"/>
  <c r="D129" i="2"/>
  <c r="I125" i="2"/>
  <c r="I134" i="2"/>
  <c r="I133" i="2"/>
  <c r="I126" i="2"/>
  <c r="I135" i="2"/>
  <c r="I138" i="2"/>
  <c r="I137" i="2"/>
  <c r="I131" i="2"/>
  <c r="I127" i="2"/>
  <c r="I132" i="2"/>
  <c r="I130" i="2"/>
  <c r="I128" i="2"/>
  <c r="I136" i="2"/>
  <c r="G125" i="2"/>
  <c r="G131" i="2"/>
  <c r="G138" i="2"/>
  <c r="G132" i="2"/>
  <c r="G127" i="2"/>
  <c r="G135" i="2"/>
  <c r="G128" i="2"/>
  <c r="G136" i="2"/>
  <c r="G133" i="2"/>
  <c r="G126" i="2"/>
  <c r="G137" i="2"/>
  <c r="G134" i="2"/>
  <c r="G130" i="2"/>
  <c r="H129" i="2"/>
  <c r="F129" i="2"/>
  <c r="K12" i="25"/>
  <c r="L12" i="25"/>
  <c r="K100" i="2"/>
  <c r="K99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C147" i="2" l="1"/>
  <c r="I147" i="2"/>
  <c r="I140" i="2"/>
  <c r="J139" i="2"/>
  <c r="J147" i="2"/>
  <c r="J140" i="2"/>
  <c r="F139" i="2"/>
  <c r="F147" i="2"/>
  <c r="F140" i="2"/>
  <c r="C139" i="2"/>
  <c r="C148" i="2"/>
  <c r="I139" i="2"/>
  <c r="G140" i="2"/>
  <c r="G139" i="2"/>
  <c r="G147" i="2"/>
  <c r="D147" i="2"/>
  <c r="D139" i="2"/>
  <c r="D140" i="2"/>
  <c r="H147" i="2"/>
  <c r="H148" i="2"/>
  <c r="H139" i="2"/>
  <c r="E147" i="2"/>
  <c r="E140" i="2"/>
  <c r="E139" i="2"/>
  <c r="M24" i="2"/>
  <c r="K88" i="2"/>
  <c r="K109" i="2" s="1"/>
  <c r="K196" i="2"/>
  <c r="K95" i="2"/>
  <c r="K116" i="2" s="1"/>
  <c r="K202" i="2"/>
  <c r="K85" i="2"/>
  <c r="K106" i="2" s="1"/>
  <c r="K193" i="2"/>
  <c r="K87" i="2"/>
  <c r="K108" i="2" s="1"/>
  <c r="K195" i="2"/>
  <c r="K89" i="2"/>
  <c r="K110" i="2" s="1"/>
  <c r="K197" i="2"/>
  <c r="K92" i="2"/>
  <c r="K113" i="2" s="1"/>
  <c r="K199" i="2"/>
  <c r="K94" i="2"/>
  <c r="K115" i="2" s="1"/>
  <c r="K201" i="2"/>
  <c r="K96" i="2"/>
  <c r="K117" i="2" s="1"/>
  <c r="K203" i="2"/>
  <c r="K105" i="2"/>
  <c r="K192" i="2"/>
  <c r="K86" i="2"/>
  <c r="K107" i="2" s="1"/>
  <c r="K194" i="2"/>
  <c r="K91" i="2"/>
  <c r="K112" i="2" s="1"/>
  <c r="K198" i="2"/>
  <c r="K93" i="2"/>
  <c r="K114" i="2" s="1"/>
  <c r="K200" i="2"/>
  <c r="K97" i="2"/>
  <c r="K118" i="2" s="1"/>
  <c r="K204" i="2"/>
  <c r="L86" i="2"/>
  <c r="L107" i="2" s="1"/>
  <c r="L93" i="2"/>
  <c r="L114" i="2" s="1"/>
  <c r="L85" i="2"/>
  <c r="L99" i="2"/>
  <c r="L100" i="2"/>
  <c r="M9" i="2"/>
  <c r="M11" i="2"/>
  <c r="M8" i="2"/>
  <c r="M10" i="2"/>
  <c r="M14" i="2"/>
  <c r="M18" i="2"/>
  <c r="M23" i="2"/>
  <c r="M16" i="2"/>
  <c r="M20" i="2"/>
  <c r="M13" i="2"/>
  <c r="M15" i="2"/>
  <c r="M17" i="2"/>
  <c r="M19" i="2"/>
  <c r="M22" i="2"/>
  <c r="K21" i="2"/>
  <c r="L21" i="2"/>
  <c r="M200" i="2" l="1"/>
  <c r="M194" i="2"/>
  <c r="M203" i="2"/>
  <c r="M199" i="2"/>
  <c r="M195" i="2"/>
  <c r="M202" i="2"/>
  <c r="M204" i="2"/>
  <c r="M198" i="2"/>
  <c r="M192" i="2"/>
  <c r="M201" i="2"/>
  <c r="M197" i="2"/>
  <c r="M193" i="2"/>
  <c r="K119" i="2"/>
  <c r="K120" i="2"/>
  <c r="F141" i="2"/>
  <c r="J141" i="2"/>
  <c r="L106" i="2"/>
  <c r="M106" i="2" s="1"/>
  <c r="G148" i="2"/>
  <c r="D141" i="2"/>
  <c r="G141" i="2"/>
  <c r="E148" i="2"/>
  <c r="J148" i="2"/>
  <c r="I148" i="2"/>
  <c r="H140" i="2"/>
  <c r="H141" i="2" s="1"/>
  <c r="C140" i="2"/>
  <c r="C141" i="2" s="1"/>
  <c r="D148" i="2"/>
  <c r="I141" i="2"/>
  <c r="E141" i="2"/>
  <c r="F148" i="2"/>
  <c r="M114" i="2"/>
  <c r="M107" i="2"/>
  <c r="K98" i="2"/>
  <c r="K25" i="2"/>
  <c r="M99" i="2"/>
  <c r="M85" i="2"/>
  <c r="M86" i="2"/>
  <c r="M100" i="2"/>
  <c r="M93" i="2"/>
  <c r="L25" i="2"/>
  <c r="D6" i="30" s="1"/>
  <c r="M21" i="2"/>
  <c r="D378" i="2" l="1"/>
  <c r="D379" i="2" s="1"/>
  <c r="M25" i="2"/>
  <c r="H12" i="29"/>
  <c r="E26" i="30"/>
  <c r="K121" i="2"/>
  <c r="K101" i="2"/>
  <c r="C8" i="25"/>
  <c r="K131" i="2" l="1"/>
  <c r="K127" i="2"/>
  <c r="K134" i="2"/>
  <c r="K132" i="2"/>
  <c r="K126" i="2"/>
  <c r="K133" i="2"/>
  <c r="K137" i="2"/>
  <c r="K125" i="2"/>
  <c r="K129" i="2"/>
  <c r="K138" i="2"/>
  <c r="K130" i="2"/>
  <c r="K136" i="2"/>
  <c r="K128" i="2"/>
  <c r="K135" i="2"/>
  <c r="D7" i="30"/>
  <c r="C11" i="25"/>
  <c r="H14" i="29" l="1"/>
  <c r="E32" i="30"/>
  <c r="E29" i="30"/>
  <c r="E14" i="29"/>
  <c r="E35" i="30"/>
  <c r="K14" i="29"/>
  <c r="E33" i="30"/>
  <c r="I14" i="29"/>
  <c r="E37" i="30"/>
  <c r="M14" i="29"/>
  <c r="E30" i="30"/>
  <c r="F14" i="29"/>
  <c r="E31" i="30"/>
  <c r="G14" i="29"/>
  <c r="E34" i="30"/>
  <c r="J14" i="29"/>
  <c r="E28" i="30"/>
  <c r="D14" i="29"/>
  <c r="E27" i="30"/>
  <c r="C14" i="29"/>
  <c r="K147" i="2"/>
  <c r="K139" i="2"/>
  <c r="M245" i="2"/>
  <c r="M249" i="2"/>
  <c r="M246" i="2"/>
  <c r="M247" i="2"/>
  <c r="M248" i="2"/>
  <c r="F26" i="29" l="1"/>
  <c r="E44" i="30"/>
  <c r="I26" i="29"/>
  <c r="E48" i="30"/>
  <c r="L14" i="29"/>
  <c r="E36" i="30"/>
  <c r="K140" i="2"/>
  <c r="K141" i="2" s="1"/>
  <c r="K148" i="2"/>
  <c r="N376" i="2" l="1"/>
  <c r="M379" i="2"/>
  <c r="N375" i="2"/>
  <c r="N373" i="2"/>
  <c r="I33" i="29" l="1"/>
  <c r="D64" i="30"/>
  <c r="N377" i="2"/>
  <c r="N378" i="2" s="1"/>
  <c r="N379" i="2" s="1"/>
  <c r="M361" i="2" l="1"/>
  <c r="M362" i="2"/>
  <c r="M363" i="2"/>
  <c r="M360" i="2"/>
  <c r="M356" i="2"/>
  <c r="M357" i="2"/>
  <c r="M358" i="2"/>
  <c r="M355" i="2"/>
  <c r="C368" i="2" l="1"/>
  <c r="C367" i="2"/>
  <c r="C366" i="2"/>
  <c r="C365" i="2"/>
  <c r="C364" i="2"/>
  <c r="C359" i="2"/>
  <c r="E364" i="2"/>
  <c r="F364" i="2"/>
  <c r="G364" i="2"/>
  <c r="H364" i="2"/>
  <c r="I364" i="2"/>
  <c r="J364" i="2"/>
  <c r="K364" i="2"/>
  <c r="L364" i="2"/>
  <c r="D56" i="30" s="1"/>
  <c r="E365" i="2"/>
  <c r="F365" i="2"/>
  <c r="G365" i="2"/>
  <c r="H365" i="2"/>
  <c r="I365" i="2"/>
  <c r="J365" i="2"/>
  <c r="K365" i="2"/>
  <c r="L365" i="2"/>
  <c r="E366" i="2"/>
  <c r="F366" i="2"/>
  <c r="G366" i="2"/>
  <c r="H366" i="2"/>
  <c r="I366" i="2"/>
  <c r="J366" i="2"/>
  <c r="K366" i="2"/>
  <c r="L366" i="2"/>
  <c r="E367" i="2"/>
  <c r="F367" i="2"/>
  <c r="G367" i="2"/>
  <c r="H367" i="2"/>
  <c r="I367" i="2"/>
  <c r="J367" i="2"/>
  <c r="K367" i="2"/>
  <c r="L367" i="2"/>
  <c r="M367" i="2" s="1"/>
  <c r="E368" i="2"/>
  <c r="F368" i="2"/>
  <c r="G368" i="2"/>
  <c r="H368" i="2"/>
  <c r="H369" i="2" s="1"/>
  <c r="I368" i="2"/>
  <c r="J368" i="2"/>
  <c r="K368" i="2"/>
  <c r="L368" i="2"/>
  <c r="E369" i="2"/>
  <c r="F369" i="2"/>
  <c r="G369" i="2"/>
  <c r="E359" i="2"/>
  <c r="F359" i="2"/>
  <c r="G359" i="2"/>
  <c r="H359" i="2"/>
  <c r="I359" i="2"/>
  <c r="J359" i="2"/>
  <c r="K359" i="2"/>
  <c r="L359" i="2"/>
  <c r="D55" i="30" s="1"/>
  <c r="D368" i="2"/>
  <c r="D366" i="2"/>
  <c r="D367" i="2"/>
  <c r="D365" i="2"/>
  <c r="D364" i="2"/>
  <c r="D359" i="2"/>
  <c r="M368" i="2" l="1"/>
  <c r="C35" i="29"/>
  <c r="C33" i="29"/>
  <c r="K369" i="2"/>
  <c r="M366" i="2"/>
  <c r="M365" i="2"/>
  <c r="M359" i="2"/>
  <c r="M364" i="2"/>
  <c r="I369" i="2"/>
  <c r="D369" i="2"/>
  <c r="J369" i="2"/>
  <c r="C369" i="2"/>
  <c r="L369" i="2"/>
  <c r="C38" i="29" l="1"/>
  <c r="E58" i="30"/>
  <c r="D57" i="30"/>
  <c r="C37" i="29"/>
  <c r="K252" i="2"/>
  <c r="J252" i="2"/>
  <c r="I252" i="2"/>
  <c r="H252" i="2"/>
  <c r="E252" i="2"/>
  <c r="D252" i="2"/>
  <c r="C252" i="2"/>
  <c r="H336" i="2" l="1"/>
  <c r="H340" i="2"/>
  <c r="H344" i="2"/>
  <c r="H339" i="2"/>
  <c r="H343" i="2"/>
  <c r="H337" i="2"/>
  <c r="H341" i="2"/>
  <c r="H345" i="2"/>
  <c r="H338" i="2"/>
  <c r="H342" i="2"/>
  <c r="H346" i="2"/>
  <c r="H335" i="2"/>
  <c r="H334" i="2"/>
  <c r="I337" i="2"/>
  <c r="I341" i="2"/>
  <c r="I345" i="2"/>
  <c r="I336" i="2"/>
  <c r="I344" i="2"/>
  <c r="I338" i="2"/>
  <c r="I342" i="2"/>
  <c r="I346" i="2"/>
  <c r="I335" i="2"/>
  <c r="I339" i="2"/>
  <c r="I343" i="2"/>
  <c r="I334" i="2"/>
  <c r="I340" i="2"/>
  <c r="D336" i="2"/>
  <c r="D340" i="2"/>
  <c r="D344" i="2"/>
  <c r="D335" i="2"/>
  <c r="D337" i="2"/>
  <c r="D341" i="2"/>
  <c r="D334" i="2"/>
  <c r="D343" i="2"/>
  <c r="D338" i="2"/>
  <c r="D342" i="2"/>
  <c r="D339" i="2"/>
  <c r="J338" i="2"/>
  <c r="J342" i="2"/>
  <c r="J346" i="2"/>
  <c r="J341" i="2"/>
  <c r="J335" i="2"/>
  <c r="J339" i="2"/>
  <c r="J343" i="2"/>
  <c r="J334" i="2"/>
  <c r="J336" i="2"/>
  <c r="J340" i="2"/>
  <c r="J344" i="2"/>
  <c r="J337" i="2"/>
  <c r="J345" i="2"/>
  <c r="C342" i="2"/>
  <c r="C338" i="2"/>
  <c r="C334" i="2"/>
  <c r="C343" i="2"/>
  <c r="C335" i="2"/>
  <c r="C341" i="2"/>
  <c r="C337" i="2"/>
  <c r="C344" i="2"/>
  <c r="C340" i="2"/>
  <c r="C336" i="2"/>
  <c r="C339" i="2"/>
  <c r="E335" i="2"/>
  <c r="E339" i="2"/>
  <c r="E343" i="2"/>
  <c r="E338" i="2"/>
  <c r="E336" i="2"/>
  <c r="E340" i="2"/>
  <c r="E344" i="2"/>
  <c r="E337" i="2"/>
  <c r="E341" i="2"/>
  <c r="E334" i="2"/>
  <c r="E342" i="2"/>
  <c r="K335" i="2"/>
  <c r="K339" i="2"/>
  <c r="K343" i="2"/>
  <c r="K334" i="2"/>
  <c r="K342" i="2"/>
  <c r="K336" i="2"/>
  <c r="K340" i="2"/>
  <c r="K344" i="2"/>
  <c r="K337" i="2"/>
  <c r="K341" i="2"/>
  <c r="K345" i="2"/>
  <c r="K338" i="2"/>
  <c r="K346" i="2"/>
  <c r="G12" i="25"/>
  <c r="E12" i="25"/>
  <c r="G8" i="25"/>
  <c r="C348" i="2" l="1"/>
  <c r="C347" i="2"/>
  <c r="C349" i="2" l="1"/>
  <c r="G206" i="2" l="1"/>
  <c r="F206" i="2"/>
  <c r="E206" i="2"/>
  <c r="D206" i="2"/>
  <c r="C206" i="2"/>
  <c r="G205" i="2"/>
  <c r="F205" i="2"/>
  <c r="E205" i="2"/>
  <c r="D205" i="2"/>
  <c r="C205" i="2"/>
  <c r="C207" i="2" l="1"/>
  <c r="G207" i="2"/>
  <c r="F207" i="2"/>
  <c r="D207" i="2"/>
  <c r="E207" i="2"/>
  <c r="D220" i="2" l="1"/>
  <c r="D211" i="2"/>
  <c r="D218" i="2"/>
  <c r="D216" i="2"/>
  <c r="D223" i="2"/>
  <c r="D214" i="2"/>
  <c r="D221" i="2"/>
  <c r="D212" i="2"/>
  <c r="D219" i="2"/>
  <c r="D217" i="2"/>
  <c r="D215" i="2"/>
  <c r="D222" i="2"/>
  <c r="D213" i="2"/>
  <c r="F214" i="2"/>
  <c r="F221" i="2"/>
  <c r="F212" i="2"/>
  <c r="F232" i="2" s="1"/>
  <c r="F219" i="2"/>
  <c r="F217" i="2"/>
  <c r="F215" i="2"/>
  <c r="F222" i="2"/>
  <c r="F213" i="2"/>
  <c r="F220" i="2"/>
  <c r="F211" i="2"/>
  <c r="F218" i="2"/>
  <c r="F216" i="2"/>
  <c r="F223" i="2"/>
  <c r="G211" i="2"/>
  <c r="G218" i="2"/>
  <c r="G232" i="2" s="1"/>
  <c r="G216" i="2"/>
  <c r="G223" i="2"/>
  <c r="G214" i="2"/>
  <c r="G221" i="2"/>
  <c r="G212" i="2"/>
  <c r="G219" i="2"/>
  <c r="G217" i="2"/>
  <c r="G215" i="2"/>
  <c r="G233" i="2" s="1"/>
  <c r="G222" i="2"/>
  <c r="G213" i="2"/>
  <c r="G220" i="2"/>
  <c r="E217" i="2"/>
  <c r="E232" i="2" s="1"/>
  <c r="E215" i="2"/>
  <c r="E222" i="2"/>
  <c r="E213" i="2"/>
  <c r="E220" i="2"/>
  <c r="E211" i="2"/>
  <c r="E218" i="2"/>
  <c r="E216" i="2"/>
  <c r="E223" i="2"/>
  <c r="E214" i="2"/>
  <c r="E221" i="2"/>
  <c r="E212" i="2"/>
  <c r="E219" i="2"/>
  <c r="C211" i="2"/>
  <c r="C220" i="2"/>
  <c r="C213" i="2"/>
  <c r="C222" i="2"/>
  <c r="C215" i="2"/>
  <c r="C217" i="2"/>
  <c r="C219" i="2"/>
  <c r="C212" i="2"/>
  <c r="C232" i="2" s="1"/>
  <c r="C221" i="2"/>
  <c r="C214" i="2"/>
  <c r="C223" i="2"/>
  <c r="C216" i="2"/>
  <c r="C218" i="2"/>
  <c r="F348" i="2"/>
  <c r="D348" i="2"/>
  <c r="D347" i="2"/>
  <c r="E347" i="2"/>
  <c r="E348" i="2"/>
  <c r="G347" i="2"/>
  <c r="G348" i="2"/>
  <c r="F347" i="2"/>
  <c r="F224" i="2"/>
  <c r="D232" i="2"/>
  <c r="C224" i="2"/>
  <c r="D224" i="2"/>
  <c r="D225" i="2"/>
  <c r="E233" i="2"/>
  <c r="E224" i="2" l="1"/>
  <c r="C225" i="2"/>
  <c r="G224" i="2"/>
  <c r="F349" i="2"/>
  <c r="E349" i="2"/>
  <c r="D349" i="2"/>
  <c r="G349" i="2"/>
  <c r="G225" i="2"/>
  <c r="G226" i="2" s="1"/>
  <c r="C233" i="2"/>
  <c r="D226" i="2"/>
  <c r="C226" i="2"/>
  <c r="D233" i="2"/>
  <c r="F225" i="2"/>
  <c r="F226" i="2" s="1"/>
  <c r="F233" i="2"/>
  <c r="E225" i="2"/>
  <c r="E226" i="2" s="1"/>
  <c r="I205" i="2" l="1"/>
  <c r="J205" i="2"/>
  <c r="K205" i="2"/>
  <c r="L205" i="2"/>
  <c r="I206" i="2"/>
  <c r="I207" i="2" s="1"/>
  <c r="J206" i="2"/>
  <c r="K206" i="2"/>
  <c r="L206" i="2"/>
  <c r="H206" i="2"/>
  <c r="H205" i="2"/>
  <c r="I221" i="2" l="1"/>
  <c r="I212" i="2"/>
  <c r="I219" i="2"/>
  <c r="I217" i="2"/>
  <c r="I215" i="2"/>
  <c r="I222" i="2"/>
  <c r="I213" i="2"/>
  <c r="I220" i="2"/>
  <c r="I211" i="2"/>
  <c r="I218" i="2"/>
  <c r="I216" i="2"/>
  <c r="I223" i="2"/>
  <c r="I214" i="2"/>
  <c r="M206" i="2"/>
  <c r="M205" i="2"/>
  <c r="K207" i="2"/>
  <c r="J207" i="2"/>
  <c r="H207" i="2"/>
  <c r="L207" i="2"/>
  <c r="H215" i="2" l="1"/>
  <c r="H222" i="2"/>
  <c r="H213" i="2"/>
  <c r="H220" i="2"/>
  <c r="H211" i="2"/>
  <c r="H218" i="2"/>
  <c r="H216" i="2"/>
  <c r="H223" i="2"/>
  <c r="H214" i="2"/>
  <c r="H221" i="2"/>
  <c r="H212" i="2"/>
  <c r="H219" i="2"/>
  <c r="H217" i="2"/>
  <c r="J218" i="2"/>
  <c r="J216" i="2"/>
  <c r="J223" i="2"/>
  <c r="J214" i="2"/>
  <c r="J221" i="2"/>
  <c r="J212" i="2"/>
  <c r="J219" i="2"/>
  <c r="J217" i="2"/>
  <c r="J215" i="2"/>
  <c r="J222" i="2"/>
  <c r="J213" i="2"/>
  <c r="J220" i="2"/>
  <c r="J211" i="2"/>
  <c r="L211" i="2"/>
  <c r="L215" i="2"/>
  <c r="L213" i="2"/>
  <c r="L216" i="2"/>
  <c r="L219" i="2"/>
  <c r="L217" i="2"/>
  <c r="L214" i="2"/>
  <c r="L212" i="2"/>
  <c r="L221" i="2"/>
  <c r="L218" i="2"/>
  <c r="L220" i="2"/>
  <c r="L223" i="2"/>
  <c r="L222" i="2"/>
  <c r="K223" i="2"/>
  <c r="K211" i="2"/>
  <c r="K216" i="2"/>
  <c r="K219" i="2"/>
  <c r="K222" i="2"/>
  <c r="K214" i="2"/>
  <c r="K213" i="2"/>
  <c r="K218" i="2"/>
  <c r="K221" i="2"/>
  <c r="K215" i="2"/>
  <c r="K217" i="2"/>
  <c r="K220" i="2"/>
  <c r="K212" i="2"/>
  <c r="M207" i="2"/>
  <c r="I347" i="2"/>
  <c r="I348" i="2"/>
  <c r="I224" i="2"/>
  <c r="I232" i="2"/>
  <c r="I225" i="2"/>
  <c r="L232" i="2" l="1"/>
  <c r="I349" i="2"/>
  <c r="H348" i="2"/>
  <c r="H347" i="2"/>
  <c r="J347" i="2"/>
  <c r="J348" i="2"/>
  <c r="K348" i="2"/>
  <c r="K347" i="2"/>
  <c r="K232" i="2"/>
  <c r="J225" i="2"/>
  <c r="J224" i="2"/>
  <c r="H225" i="2"/>
  <c r="H224" i="2"/>
  <c r="K224" i="2"/>
  <c r="H232" i="2"/>
  <c r="J232" i="2"/>
  <c r="I233" i="2"/>
  <c r="I226" i="2"/>
  <c r="L224" i="2"/>
  <c r="K233" i="2" l="1"/>
  <c r="J349" i="2"/>
  <c r="H349" i="2"/>
  <c r="K349" i="2"/>
  <c r="J233" i="2"/>
  <c r="J226" i="2"/>
  <c r="H233" i="2"/>
  <c r="H226" i="2"/>
  <c r="L225" i="2"/>
  <c r="L226" i="2" s="1"/>
  <c r="K225" i="2"/>
  <c r="K226" i="2" s="1"/>
  <c r="L233" i="2"/>
  <c r="M243" i="2" l="1"/>
  <c r="M244" i="2"/>
  <c r="M237" i="2"/>
  <c r="M252" i="2" l="1"/>
  <c r="L347" i="2" l="1"/>
  <c r="L348" i="2"/>
  <c r="L349" i="2" l="1"/>
  <c r="M34" i="2" l="1"/>
  <c r="M31" i="2"/>
  <c r="M36" i="2" l="1"/>
  <c r="L32" i="2"/>
  <c r="L41" i="2" s="1"/>
  <c r="M30" i="2"/>
  <c r="M35" i="2"/>
  <c r="L96" i="2"/>
  <c r="M39" i="2"/>
  <c r="M40" i="2"/>
  <c r="L97" i="2"/>
  <c r="M33" i="2"/>
  <c r="M37" i="2"/>
  <c r="M42" i="2"/>
  <c r="L87" i="2"/>
  <c r="M29" i="2"/>
  <c r="L95" i="2"/>
  <c r="M38" i="2"/>
  <c r="L108" i="2" l="1"/>
  <c r="M87" i="2"/>
  <c r="L117" i="2"/>
  <c r="M96" i="2"/>
  <c r="M41" i="2"/>
  <c r="L43" i="2"/>
  <c r="M32" i="2"/>
  <c r="L118" i="2"/>
  <c r="M97" i="2"/>
  <c r="L116" i="2"/>
  <c r="M95" i="2"/>
  <c r="M118" i="2" l="1"/>
  <c r="M116" i="2"/>
  <c r="M43" i="2"/>
  <c r="M117" i="2"/>
  <c r="M108" i="2"/>
  <c r="D17" i="30" l="1"/>
  <c r="I12" i="25"/>
  <c r="M49" i="2" l="1"/>
  <c r="L84" i="2" l="1"/>
  <c r="M47" i="2"/>
  <c r="M55" i="2"/>
  <c r="L91" i="2"/>
  <c r="M50" i="2"/>
  <c r="M56" i="2"/>
  <c r="L92" i="2"/>
  <c r="M54" i="2"/>
  <c r="L90" i="2"/>
  <c r="L51" i="2" l="1"/>
  <c r="M48" i="2"/>
  <c r="M92" i="2"/>
  <c r="L113" i="2"/>
  <c r="L105" i="2"/>
  <c r="M84" i="2"/>
  <c r="L111" i="2"/>
  <c r="M90" i="2"/>
  <c r="M91" i="2"/>
  <c r="L112" i="2"/>
  <c r="M52" i="2"/>
  <c r="L89" i="2"/>
  <c r="M57" i="2"/>
  <c r="L94" i="2"/>
  <c r="L110" i="2" l="1"/>
  <c r="M89" i="2"/>
  <c r="M105" i="2"/>
  <c r="M112" i="2"/>
  <c r="M111" i="2"/>
  <c r="L115" i="2"/>
  <c r="M94" i="2"/>
  <c r="M113" i="2"/>
  <c r="M51" i="2"/>
  <c r="L88" i="2"/>
  <c r="L59" i="2"/>
  <c r="M115" i="2" l="1"/>
  <c r="M59" i="2"/>
  <c r="L60" i="2"/>
  <c r="L98" i="2"/>
  <c r="L109" i="2"/>
  <c r="M88" i="2"/>
  <c r="M110" i="2"/>
  <c r="L119" i="2"/>
  <c r="L120" i="2" l="1"/>
  <c r="M120" i="2" s="1"/>
  <c r="M109" i="2"/>
  <c r="M60" i="2"/>
  <c r="I8" i="25"/>
  <c r="D15" i="30"/>
  <c r="D42" i="30"/>
  <c r="M119" i="2"/>
  <c r="F21" i="29"/>
  <c r="L101" i="2"/>
  <c r="D26" i="30"/>
  <c r="M98" i="2"/>
  <c r="H6" i="29"/>
  <c r="L121" i="2" l="1"/>
  <c r="L125" i="2" s="1"/>
  <c r="J12" i="25"/>
  <c r="D18" i="30"/>
  <c r="M121" i="2"/>
  <c r="D22" i="30"/>
  <c r="N8" i="25"/>
  <c r="M101" i="2"/>
  <c r="L129" i="2"/>
  <c r="L130" i="2" l="1"/>
  <c r="L133" i="2"/>
  <c r="L126" i="2"/>
  <c r="M10" i="29" s="1"/>
  <c r="L137" i="2"/>
  <c r="L132" i="2"/>
  <c r="L127" i="2"/>
  <c r="L128" i="2"/>
  <c r="D33" i="30" s="1"/>
  <c r="L135" i="2"/>
  <c r="L134" i="2"/>
  <c r="L131" i="2"/>
  <c r="L138" i="2"/>
  <c r="L136" i="2"/>
  <c r="D36" i="30" s="1"/>
  <c r="N11" i="25"/>
  <c r="D23" i="30"/>
  <c r="E10" i="29"/>
  <c r="D29" i="30"/>
  <c r="D28" i="30"/>
  <c r="D10" i="29"/>
  <c r="F10" i="29"/>
  <c r="D30" i="30"/>
  <c r="J10" i="29"/>
  <c r="D34" i="30"/>
  <c r="K10" i="29"/>
  <c r="D35" i="30"/>
  <c r="D27" i="30"/>
  <c r="C10" i="29"/>
  <c r="L10" i="29"/>
  <c r="D37" i="30" l="1"/>
  <c r="I10" i="29"/>
  <c r="D31" i="30"/>
  <c r="L140" i="2"/>
  <c r="L148" i="2"/>
  <c r="G10" i="29"/>
  <c r="L139" i="2"/>
  <c r="L141" i="2" s="1"/>
  <c r="H10" i="29"/>
  <c r="L147" i="2"/>
  <c r="I23" i="29" s="1"/>
  <c r="D32" i="30"/>
  <c r="D47" i="30" l="1"/>
  <c r="F23" i="29"/>
  <c r="D43" i="30"/>
  <c r="L157" i="2" l="1"/>
  <c r="L158" i="2" s="1"/>
  <c r="L21" i="29" l="1"/>
  <c r="D51" i="30"/>
</calcChain>
</file>

<file path=xl/sharedStrings.xml><?xml version="1.0" encoding="utf-8"?>
<sst xmlns="http://schemas.openxmlformats.org/spreadsheetml/2006/main" count="540" uniqueCount="157">
  <si>
    <t>El Sistema Eléctrico Español</t>
  </si>
  <si>
    <t>Hidráulica</t>
  </si>
  <si>
    <t>Nuclear</t>
  </si>
  <si>
    <t>Carbón</t>
  </si>
  <si>
    <t>Hidroeólica</t>
  </si>
  <si>
    <t>Eólica</t>
  </si>
  <si>
    <t>Solar fotovoltaica</t>
  </si>
  <si>
    <t>Solar térmica</t>
  </si>
  <si>
    <t>Cogeneración</t>
  </si>
  <si>
    <t>Residuos no renovables</t>
  </si>
  <si>
    <t>Residuos renovables</t>
  </si>
  <si>
    <t>Generación</t>
  </si>
  <si>
    <t>Consumos en bombeo</t>
  </si>
  <si>
    <t>Demanda (b.c.)</t>
  </si>
  <si>
    <t>Melilla</t>
  </si>
  <si>
    <t>Laboralidad</t>
  </si>
  <si>
    <t>Temperatura</t>
  </si>
  <si>
    <t>Balance de energía eléctrica nacional (GWh)</t>
  </si>
  <si>
    <t>Turbinación bombeo</t>
  </si>
  <si>
    <t>-</t>
  </si>
  <si>
    <t>Fuel/gas</t>
  </si>
  <si>
    <t>Ciclo combinado</t>
  </si>
  <si>
    <t>Otras renovables</t>
  </si>
  <si>
    <t>Enlace Península-Baleares</t>
  </si>
  <si>
    <t>Saldo intercambios internacionales</t>
  </si>
  <si>
    <t>Total</t>
  </si>
  <si>
    <t>Motores diésel</t>
  </si>
  <si>
    <t>Turbina de gas</t>
  </si>
  <si>
    <t>Turbina de vapor</t>
  </si>
  <si>
    <t>Fuel / gas</t>
  </si>
  <si>
    <t>Generación auxiliar</t>
  </si>
  <si>
    <t>Componentes de la variación anual de la demanda eléctrica. Sistema eléctrico peninsular (%)</t>
  </si>
  <si>
    <t>Máximos instantáneos de demanda eléctrica. Sistema eléctrico peninsular (MW)</t>
  </si>
  <si>
    <t>18 enero (19:50)</t>
  </si>
  <si>
    <t>Histórico</t>
  </si>
  <si>
    <t>Fecha</t>
  </si>
  <si>
    <t>Variación anual</t>
  </si>
  <si>
    <t>Demanda corregida</t>
  </si>
  <si>
    <t>Potencia</t>
  </si>
  <si>
    <t>Generación renovable</t>
  </si>
  <si>
    <t>Generación no renovable</t>
  </si>
  <si>
    <t>Generación total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</si>
  <si>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</si>
  <si>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</si>
  <si>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Ceuta</t>
  </si>
  <si>
    <t>Baleares</t>
  </si>
  <si>
    <t>Canarias</t>
  </si>
  <si>
    <t>Corregida la laboralidad y temperatura</t>
  </si>
  <si>
    <t xml:space="preserve">PRODUCCIÓN RENOVABLE </t>
  </si>
  <si>
    <t xml:space="preserve">de la generación </t>
  </si>
  <si>
    <t>POTENCIA INSTALADA</t>
  </si>
  <si>
    <t>Otras no renovables</t>
  </si>
  <si>
    <t xml:space="preserve">INTERCAMBIOS </t>
  </si>
  <si>
    <t xml:space="preserve">Importaciones  </t>
  </si>
  <si>
    <t>Exportaciones</t>
  </si>
  <si>
    <t>Saldo</t>
  </si>
  <si>
    <t>Bombeo puro</t>
  </si>
  <si>
    <r>
      <t xml:space="preserve">Residuos no renovables </t>
    </r>
    <r>
      <rPr>
        <vertAlign val="superscript"/>
        <sz val="8"/>
        <color rgb="FF004563"/>
        <rFont val="Arial"/>
        <family val="2"/>
      </rPr>
      <t>(1)</t>
    </r>
  </si>
  <si>
    <r>
      <t xml:space="preserve">Residuos renovables </t>
    </r>
    <r>
      <rPr>
        <vertAlign val="superscript"/>
        <sz val="8"/>
        <color rgb="FF004563"/>
        <rFont val="Arial"/>
        <family val="2"/>
      </rPr>
      <t>(1)</t>
    </r>
  </si>
  <si>
    <t>Andorra</t>
  </si>
  <si>
    <t>Francia</t>
  </si>
  <si>
    <t>Portugal</t>
  </si>
  <si>
    <t>Marruecos</t>
  </si>
  <si>
    <t>Entradas</t>
  </si>
  <si>
    <t>Salidas</t>
  </si>
  <si>
    <t>ENLACE</t>
  </si>
  <si>
    <t xml:space="preserve">PENÍNSULA - BALEARES  
</t>
  </si>
  <si>
    <t xml:space="preserve">RED DE TRANSPORTE 
</t>
  </si>
  <si>
    <t>de circuito de líneas eléctricas</t>
  </si>
  <si>
    <t>Instalaciones de la red de transporte de energía eléctrica en España</t>
  </si>
  <si>
    <t>Circuito 400 kV (km)</t>
  </si>
  <si>
    <t>Peninsula</t>
  </si>
  <si>
    <t>Circuito ≤ 220 kV (km)</t>
  </si>
  <si>
    <t>Total km de circuito</t>
  </si>
  <si>
    <t>Balance de energía eléctrica sistema peninsular (GWh)</t>
  </si>
  <si>
    <t>Balance de energía eléctrica sistema Islas Baleares (GWh)</t>
  </si>
  <si>
    <t>Balance de energía eléctrica sistema Islas Canarias (GWh)</t>
  </si>
  <si>
    <t>Balance de energía eléctrica sistema Ceuta (GWh)</t>
  </si>
  <si>
    <t>Balance de energía eléctrica sistema Melilla (GWh)</t>
  </si>
  <si>
    <t>17 diciembre 2007 (18:53 h)</t>
  </si>
  <si>
    <t>24 enero (20:06 h)</t>
  </si>
  <si>
    <t>13 febrero (20:21 h)</t>
  </si>
  <si>
    <t>27 febrero (20:42 h)</t>
  </si>
  <si>
    <t>4 febrero (20:18 h)</t>
  </si>
  <si>
    <t>4 febrero (19:56 h)</t>
  </si>
  <si>
    <t>6 septiembre (13:32 h)</t>
  </si>
  <si>
    <t>8 febrero (20:24 h)</t>
  </si>
  <si>
    <t>Potencia renovable</t>
  </si>
  <si>
    <t>Potencia no renovable</t>
  </si>
  <si>
    <t>22 enero (20:08 h)</t>
  </si>
  <si>
    <t>Variación respecto</t>
  </si>
  <si>
    <t>al récord histórico de 2007</t>
  </si>
  <si>
    <t>DEMANDA DE ENERGÍA ELÉCTRICA PENINSULAR</t>
  </si>
  <si>
    <t>DEMANDA MÁXIMA INSTANTÁNEA PENINSULAR</t>
  </si>
  <si>
    <t>Saldo importador</t>
  </si>
  <si>
    <t>Renovables: hidráulica, hidroeólica, eólica, solar fotovoltaica, solar térmica, otras renovables y residuos renovables.</t>
  </si>
  <si>
    <t>DEMANDA DE ENERGÍA ELÉCTRICA NACIONAL</t>
  </si>
  <si>
    <t>DEMANDA DE ENERGÍA ELÉCTRICA SISTEMAS NO PENINSULARES</t>
  </si>
  <si>
    <t>Componentes de la variación anual de la demanda eléctrica. Sistema eléctrico nacional (%)</t>
  </si>
  <si>
    <t>ESTRUCTURA DE GENERACIÓN SISTEMA NACIONAL 2019</t>
  </si>
  <si>
    <t>Fuel + Gas</t>
  </si>
  <si>
    <t>NACIONAL</t>
  </si>
  <si>
    <t>Demanda de energía eléctrica peninsular</t>
  </si>
  <si>
    <t>Demanda máxima instantánea peninsular</t>
  </si>
  <si>
    <t>Demanda de energía eléctrica sistemas no peninsulares</t>
  </si>
  <si>
    <t>Demanda de energía eléctrica nacional</t>
  </si>
  <si>
    <t>Potencia instalada nacional</t>
  </si>
  <si>
    <t>Producción renovable nacional</t>
  </si>
  <si>
    <t>Estructura de generación sistema nacional</t>
  </si>
  <si>
    <t>Intercambios internacionales</t>
  </si>
  <si>
    <t>Red de transporte nacional</t>
  </si>
  <si>
    <t>Variación respecto al récord histórico de 2007
45.450 MW</t>
  </si>
  <si>
    <t>% de la generación</t>
  </si>
  <si>
    <t>km de circuito de líneas eléctricas</t>
  </si>
  <si>
    <t>km de fibra óptica instalados en la red de transporte de Red Eléctrica de España</t>
  </si>
  <si>
    <t>de fibra óptica instalados en la red de transporte de Red Eléctrica de España</t>
  </si>
  <si>
    <t>Previsión de cierre 2020</t>
  </si>
  <si>
    <t>%20/19</t>
  </si>
  <si>
    <r>
      <t>Generación 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eq.</t>
    </r>
  </si>
  <si>
    <r>
      <t>Generación 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eq.</t>
    </r>
  </si>
  <si>
    <t>20 enero (20:22 h)</t>
  </si>
  <si>
    <t>2020-2019</t>
  </si>
  <si>
    <t>Datos provisionales: previsión de puestas en servicio realizada el 11 de diciembre de 2020. Kilómetros de circuito y de capacidad de transformación acumulados a 31 de diciembre.</t>
  </si>
  <si>
    <t>Datos provisionales. Cierre de año con datos estimados el 11 de diciembre</t>
  </si>
  <si>
    <t>Variación respecto a 2019</t>
  </si>
  <si>
    <t>Variación respecto al máximo de 2019</t>
  </si>
  <si>
    <t>% en 2019</t>
  </si>
  <si>
    <t>TWh en 2019</t>
  </si>
  <si>
    <t>al máximo de 2019</t>
  </si>
  <si>
    <t>ESTRUCTURA DE GENERACIÓN SISTEMA NACIONAL 2020</t>
  </si>
  <si>
    <t>34.202 km</t>
  </si>
  <si>
    <r>
      <t>PRODUCCIÓN LIBRE DE CO</t>
    </r>
    <r>
      <rPr>
        <b/>
        <vertAlign val="subscript"/>
        <sz val="11"/>
        <color rgb="FF004563"/>
        <rFont val="Calibri"/>
        <family val="2"/>
      </rPr>
      <t>2</t>
    </r>
    <r>
      <rPr>
        <b/>
        <sz val="11"/>
        <color rgb="FF004563"/>
        <rFont val="Calibri"/>
        <family val="2"/>
      </rPr>
      <t xml:space="preserve"> eq.</t>
    </r>
  </si>
  <si>
    <t>INTERNACIONALES</t>
  </si>
  <si>
    <t xml:space="preserve">NACIONAL </t>
  </si>
  <si>
    <t>Intercambios internacionales físicos (GWh)</t>
  </si>
  <si>
    <t>Estructura potencia instalada peninsular (%)</t>
  </si>
  <si>
    <t>Potencia instalada nacional (MW)</t>
  </si>
  <si>
    <t>Potencia instalada Melilla (MW)</t>
  </si>
  <si>
    <t>Potencia instalada Ceuta (MW)</t>
  </si>
  <si>
    <t>Potencia instalada Islas Canarias (MW)</t>
  </si>
  <si>
    <t>Potencia instalada Islas Baleares (MW)</t>
  </si>
  <si>
    <t>Potencia instalada peninsular (MW)</t>
  </si>
  <si>
    <t>Estructura producción de generación peninsular (%)</t>
  </si>
  <si>
    <t>Estructura producción de generación peninsular (GWh)</t>
  </si>
  <si>
    <t>Estructura producción de generación nacional (%)</t>
  </si>
  <si>
    <t>Estructura producción de generación nacional (GWh)</t>
  </si>
  <si>
    <t>Variación (%)</t>
  </si>
  <si>
    <r>
      <t>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eq. asociadas a la generación eléctrica nacional (tCO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eq.)</t>
    </r>
  </si>
  <si>
    <t xml:space="preserve">REDUCCIÓN DE EMISIONES </t>
  </si>
  <si>
    <r>
      <t>CO</t>
    </r>
    <r>
      <rPr>
        <b/>
        <vertAlign val="subscript"/>
        <sz val="11"/>
        <color rgb="FF004563"/>
        <rFont val="Calibri"/>
        <family val="2"/>
      </rPr>
      <t>2</t>
    </r>
    <r>
      <rPr>
        <b/>
        <sz val="11"/>
        <color rgb="FF004563"/>
        <rFont val="Calibri"/>
        <family val="2"/>
      </rPr>
      <t xml:space="preserve"> eq. NACIONAL</t>
    </r>
  </si>
  <si>
    <r>
      <t>Producción libre de CO</t>
    </r>
    <r>
      <rPr>
        <b/>
        <vertAlign val="subscript"/>
        <sz val="11"/>
        <color rgb="FF004563"/>
        <rFont val="Calibri"/>
        <family val="2"/>
      </rPr>
      <t>2</t>
    </r>
    <r>
      <rPr>
        <b/>
        <sz val="11"/>
        <color rgb="FF004563"/>
        <rFont val="Calibri"/>
        <family val="2"/>
      </rPr>
      <t xml:space="preserve"> eq. nacional</t>
    </r>
  </si>
  <si>
    <r>
      <t>Reducción de emisiones CO</t>
    </r>
    <r>
      <rPr>
        <b/>
        <vertAlign val="subscript"/>
        <sz val="11"/>
        <color rgb="FF004563"/>
        <rFont val="Calibri"/>
        <family val="2"/>
      </rPr>
      <t>2</t>
    </r>
    <r>
      <rPr>
        <b/>
        <sz val="11"/>
        <color rgb="FF004563"/>
        <rFont val="Calibri"/>
        <family val="2"/>
      </rPr>
      <t xml:space="preserve"> eq. nacional</t>
    </r>
  </si>
  <si>
    <t>% en 2020</t>
  </si>
  <si>
    <t>de la demanda de las Islas Baleares</t>
  </si>
  <si>
    <t>% de la demanda de las Islas Baleares</t>
  </si>
  <si>
    <t>*Pendiente de nuevas incorporaciones y bajas hasta el 31 de diciembre.</t>
  </si>
  <si>
    <t>NACIONAL*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</si>
</sst>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#,##0.0"/>
    <numFmt numFmtId="166" formatCode="0.0\ \ \ \ _)"/>
    <numFmt numFmtId="167" formatCode="0.0%"/>
    <numFmt numFmtId="168" formatCode="0.0"/>
    <numFmt numFmtId="169" formatCode="0.00000"/>
    <numFmt numFmtId="170" formatCode="#,##0.0000"/>
    <numFmt numFmtId="171" formatCode="#,##0.00000"/>
  </numFmts>
  <fonts count="36">
    <font>
      <sz val="10"/>
      <name val="Geneva"/>
    </font>
    <font>
      <sz val="10"/>
      <name val="Geneva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10"/>
      <color rgb="FF004563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8"/>
      <color rgb="FF215967"/>
      <name val="Arial"/>
      <family val="2"/>
    </font>
    <font>
      <b/>
      <sz val="11"/>
      <name val="Calibri"/>
      <family val="2"/>
    </font>
    <font>
      <sz val="16"/>
      <color rgb="FF0070C0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2"/>
      <color rgb="FF0070C0"/>
      <name val="Calibri"/>
      <family val="2"/>
    </font>
    <font>
      <b/>
      <sz val="11"/>
      <color rgb="FF004563"/>
      <name val="Calibri"/>
      <family val="2"/>
    </font>
    <font>
      <sz val="11"/>
      <color rgb="FF004563"/>
      <name val="Calibri"/>
      <family val="2"/>
    </font>
    <font>
      <sz val="9"/>
      <color rgb="FF004563"/>
      <name val="Calibri"/>
      <family val="2"/>
    </font>
    <font>
      <b/>
      <sz val="10"/>
      <color rgb="FF004563"/>
      <name val="Calibri"/>
      <family val="2"/>
    </font>
    <font>
      <sz val="16"/>
      <color rgb="FF00B050"/>
      <name val="Calibri"/>
      <family val="2"/>
    </font>
    <font>
      <b/>
      <sz val="14"/>
      <color rgb="FF004563"/>
      <name val="Calibri"/>
      <family val="2"/>
    </font>
    <font>
      <b/>
      <sz val="16"/>
      <color rgb="FF004563"/>
      <name val="Calibri"/>
      <family val="2"/>
    </font>
    <font>
      <b/>
      <vertAlign val="subscript"/>
      <sz val="11"/>
      <color rgb="FF004563"/>
      <name val="Calibri"/>
      <family val="2"/>
    </font>
    <font>
      <sz val="8"/>
      <name val="Arial"/>
      <family val="2"/>
    </font>
    <font>
      <sz val="8"/>
      <color indexed="56"/>
      <name val="Arial"/>
      <family val="2"/>
    </font>
    <font>
      <sz val="10"/>
      <color rgb="FF004563"/>
      <name val="Calibri"/>
      <family val="2"/>
    </font>
    <font>
      <sz val="8"/>
      <color theme="0" tint="-0.499984740745262"/>
      <name val="Arial"/>
      <family val="2"/>
    </font>
    <font>
      <sz val="11"/>
      <color rgb="FF0070C0"/>
      <name val="Calibri"/>
      <family val="2"/>
    </font>
    <font>
      <vertAlign val="subscript"/>
      <sz val="8"/>
      <color rgb="FF004563"/>
      <name val="Arial"/>
      <family val="2"/>
    </font>
    <font>
      <sz val="14"/>
      <color rgb="FF004563"/>
      <name val="Calibri"/>
      <family val="2"/>
    </font>
    <font>
      <sz val="16"/>
      <color rgb="FF004563"/>
      <name val="Calibri"/>
      <family val="2"/>
    </font>
    <font>
      <b/>
      <sz val="12"/>
      <color rgb="FF00B050"/>
      <name val="Calibri"/>
      <family val="2"/>
    </font>
    <font>
      <b/>
      <sz val="16"/>
      <color rgb="FF00B050"/>
      <name val="Calibri"/>
      <family val="2"/>
    </font>
    <font>
      <b/>
      <vertAlign val="subscript"/>
      <sz val="8"/>
      <color rgb="FF0045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A0A0A0"/>
      </bottom>
      <diagonal/>
    </border>
  </borders>
  <cellStyleXfs count="11">
    <xf numFmtId="0" fontId="0" fillId="0" borderId="0"/>
    <xf numFmtId="164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164" fontId="1" fillId="0" borderId="0"/>
    <xf numFmtId="0" fontId="1" fillId="0" borderId="0"/>
    <xf numFmtId="0" fontId="9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4" fillId="0" borderId="0" xfId="0" applyFont="1" applyFill="1" applyBorder="1" applyAlignment="1" applyProtection="1">
      <alignment horizontal="left"/>
    </xf>
    <xf numFmtId="164" fontId="6" fillId="2" borderId="0" xfId="1" applyFont="1" applyFill="1" applyBorder="1" applyAlignment="1" applyProtection="1">
      <alignment horizontal="left"/>
    </xf>
    <xf numFmtId="165" fontId="5" fillId="2" borderId="0" xfId="1" applyNumberFormat="1" applyFont="1" applyFill="1" applyBorder="1" applyAlignment="1" applyProtection="1">
      <alignment horizontal="right" indent="1"/>
    </xf>
    <xf numFmtId="3" fontId="5" fillId="2" borderId="0" xfId="1" applyNumberFormat="1" applyFont="1" applyFill="1" applyBorder="1" applyAlignment="1" applyProtection="1">
      <alignment horizontal="right" indent="1"/>
    </xf>
    <xf numFmtId="0" fontId="5" fillId="2" borderId="0" xfId="0" applyNumberFormat="1" applyFont="1" applyFill="1" applyAlignment="1">
      <alignment horizontal="right"/>
    </xf>
    <xf numFmtId="0" fontId="10" fillId="0" borderId="0" xfId="2" applyFont="1" applyFill="1" applyAlignment="1" applyProtection="1">
      <alignment horizontal="right"/>
    </xf>
    <xf numFmtId="164" fontId="10" fillId="0" borderId="0" xfId="1" applyFont="1" applyFill="1" applyAlignment="1" applyProtection="1">
      <alignment horizontal="right"/>
    </xf>
    <xf numFmtId="164" fontId="5" fillId="2" borderId="0" xfId="1" applyFont="1" applyFill="1" applyBorder="1" applyAlignment="1" applyProtection="1">
      <alignment horizontal="left"/>
    </xf>
    <xf numFmtId="3" fontId="6" fillId="2" borderId="1" xfId="1" applyNumberFormat="1" applyFont="1" applyFill="1" applyBorder="1" applyAlignment="1" applyProtection="1">
      <alignment horizontal="right" indent="1"/>
    </xf>
    <xf numFmtId="165" fontId="6" fillId="2" borderId="1" xfId="1" applyNumberFormat="1" applyFont="1" applyFill="1" applyBorder="1" applyAlignment="1" applyProtection="1">
      <alignment horizontal="right" indent="1"/>
    </xf>
    <xf numFmtId="0" fontId="10" fillId="0" borderId="0" xfId="0" applyFont="1" applyFill="1" applyAlignment="1" applyProtection="1">
      <alignment horizontal="right"/>
    </xf>
    <xf numFmtId="0" fontId="8" fillId="0" borderId="0" xfId="0" applyFont="1"/>
    <xf numFmtId="0" fontId="6" fillId="0" borderId="0" xfId="0" applyFont="1" applyFill="1" applyBorder="1" applyAlignment="1" applyProtection="1"/>
    <xf numFmtId="0" fontId="5" fillId="0" borderId="0" xfId="0" applyFont="1" applyFill="1" applyBorder="1" applyProtection="1"/>
    <xf numFmtId="3" fontId="5" fillId="0" borderId="0" xfId="0" applyNumberFormat="1" applyFont="1" applyFill="1" applyBorder="1" applyProtection="1"/>
    <xf numFmtId="3" fontId="5" fillId="2" borderId="0" xfId="9" applyNumberFormat="1" applyFont="1" applyFill="1" applyBorder="1" applyProtection="1"/>
    <xf numFmtId="165" fontId="5" fillId="2" borderId="0" xfId="9" applyNumberFormat="1" applyFont="1" applyFill="1" applyBorder="1" applyAlignment="1" applyProtection="1">
      <alignment horizontal="right" indent="1"/>
    </xf>
    <xf numFmtId="3" fontId="5" fillId="2" borderId="0" xfId="9" applyNumberFormat="1" applyFont="1" applyFill="1" applyBorder="1" applyAlignment="1" applyProtection="1">
      <alignment horizontal="right" indent="1"/>
    </xf>
    <xf numFmtId="0" fontId="5" fillId="2" borderId="0" xfId="0" applyFont="1" applyFill="1" applyBorder="1" applyAlignment="1" applyProtection="1">
      <alignment horizontal="left"/>
    </xf>
    <xf numFmtId="3" fontId="6" fillId="0" borderId="0" xfId="9" applyNumberFormat="1" applyFont="1" applyFill="1" applyBorder="1" applyProtection="1"/>
    <xf numFmtId="3" fontId="6" fillId="0" borderId="0" xfId="9" applyNumberFormat="1" applyFont="1" applyFill="1" applyBorder="1" applyAlignment="1" applyProtection="1">
      <alignment horizontal="right" indent="1"/>
    </xf>
    <xf numFmtId="165" fontId="6" fillId="0" borderId="0" xfId="9" applyNumberFormat="1" applyFont="1" applyFill="1" applyBorder="1" applyAlignment="1" applyProtection="1">
      <alignment horizontal="right" indent="1"/>
    </xf>
    <xf numFmtId="164" fontId="6" fillId="2" borderId="4" xfId="0" applyNumberFormat="1" applyFont="1" applyFill="1" applyBorder="1" applyAlignment="1" applyProtection="1">
      <alignment horizontal="right"/>
    </xf>
    <xf numFmtId="164" fontId="5" fillId="2" borderId="0" xfId="0" quotePrefix="1" applyNumberFormat="1" applyFont="1" applyFill="1" applyBorder="1" applyAlignment="1" applyProtection="1">
      <alignment horizontal="left"/>
    </xf>
    <xf numFmtId="3" fontId="5" fillId="2" borderId="0" xfId="0" applyNumberFormat="1" applyFont="1" applyFill="1" applyBorder="1" applyAlignment="1" applyProtection="1">
      <alignment horizontal="right"/>
    </xf>
    <xf numFmtId="164" fontId="5" fillId="0" borderId="0" xfId="7" applyFont="1" applyFill="1" applyBorder="1" applyAlignment="1" applyProtection="1">
      <alignment horizontal="left"/>
    </xf>
    <xf numFmtId="164" fontId="6" fillId="2" borderId="1" xfId="1" applyFont="1" applyFill="1" applyBorder="1" applyAlignment="1" applyProtection="1">
      <alignment horizontal="left"/>
    </xf>
    <xf numFmtId="3" fontId="6" fillId="2" borderId="1" xfId="9" applyNumberFormat="1" applyFont="1" applyFill="1" applyBorder="1" applyProtection="1"/>
    <xf numFmtId="3" fontId="6" fillId="2" borderId="1" xfId="9" applyNumberFormat="1" applyFont="1" applyFill="1" applyBorder="1" applyAlignment="1" applyProtection="1">
      <alignment horizontal="right" indent="1"/>
    </xf>
    <xf numFmtId="165" fontId="6" fillId="2" borderId="1" xfId="9" applyNumberFormat="1" applyFont="1" applyFill="1" applyBorder="1" applyAlignment="1" applyProtection="1">
      <alignment horizontal="right" indent="1"/>
    </xf>
    <xf numFmtId="3" fontId="6" fillId="2" borderId="4" xfId="9" applyNumberFormat="1" applyFont="1" applyFill="1" applyBorder="1" applyProtection="1"/>
    <xf numFmtId="3" fontId="6" fillId="2" borderId="4" xfId="9" applyNumberFormat="1" applyFont="1" applyFill="1" applyBorder="1" applyAlignment="1" applyProtection="1">
      <alignment horizontal="right" indent="1"/>
    </xf>
    <xf numFmtId="165" fontId="6" fillId="2" borderId="4" xfId="9" applyNumberFormat="1" applyFont="1" applyFill="1" applyBorder="1" applyAlignment="1" applyProtection="1">
      <alignment horizontal="right" indent="1"/>
    </xf>
    <xf numFmtId="164" fontId="6" fillId="2" borderId="4" xfId="0" applyNumberFormat="1" applyFont="1" applyFill="1" applyBorder="1" applyProtection="1"/>
    <xf numFmtId="164" fontId="5" fillId="0" borderId="0" xfId="0" quotePrefix="1" applyNumberFormat="1" applyFont="1" applyFill="1" applyBorder="1" applyAlignment="1" applyProtection="1">
      <alignment horizontal="left"/>
    </xf>
    <xf numFmtId="16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/>
    <xf numFmtId="3" fontId="11" fillId="0" borderId="0" xfId="0" applyNumberFormat="1" applyFont="1" applyFill="1" applyBorder="1" applyProtection="1"/>
    <xf numFmtId="164" fontId="5" fillId="2" borderId="0" xfId="1" applyFont="1" applyFill="1" applyBorder="1" applyAlignment="1" applyProtection="1">
      <alignment horizontal="left" wrapText="1"/>
    </xf>
    <xf numFmtId="164" fontId="5" fillId="2" borderId="1" xfId="1" applyFont="1" applyFill="1" applyBorder="1" applyAlignment="1" applyProtection="1">
      <alignment horizontal="left" wrapText="1"/>
    </xf>
    <xf numFmtId="3" fontId="6" fillId="2" borderId="5" xfId="9" applyNumberFormat="1" applyFont="1" applyFill="1" applyBorder="1" applyProtection="1"/>
    <xf numFmtId="3" fontId="6" fillId="2" borderId="5" xfId="9" applyNumberFormat="1" applyFont="1" applyFill="1" applyBorder="1" applyAlignment="1" applyProtection="1">
      <alignment horizontal="right" indent="1"/>
    </xf>
    <xf numFmtId="165" fontId="6" fillId="2" borderId="5" xfId="9" applyNumberFormat="1" applyFont="1" applyFill="1" applyBorder="1" applyAlignment="1" applyProtection="1">
      <alignment horizontal="right" indent="1"/>
    </xf>
    <xf numFmtId="0" fontId="5" fillId="0" borderId="0" xfId="0" applyFont="1" applyFill="1" applyBorder="1" applyAlignment="1" applyProtection="1"/>
    <xf numFmtId="3" fontId="5" fillId="2" borderId="6" xfId="9" applyNumberFormat="1" applyFont="1" applyFill="1" applyBorder="1" applyProtection="1"/>
    <xf numFmtId="165" fontId="5" fillId="2" borderId="6" xfId="9" applyNumberFormat="1" applyFont="1" applyFill="1" applyBorder="1" applyAlignment="1" applyProtection="1">
      <alignment horizontal="right" indent="1"/>
    </xf>
    <xf numFmtId="3" fontId="5" fillId="2" borderId="4" xfId="9" applyNumberFormat="1" applyFont="1" applyFill="1" applyBorder="1" applyProtection="1"/>
    <xf numFmtId="3" fontId="5" fillId="2" borderId="4" xfId="1" applyNumberFormat="1" applyFont="1" applyFill="1" applyBorder="1" applyAlignment="1" applyProtection="1">
      <alignment horizontal="right" indent="1"/>
    </xf>
    <xf numFmtId="0" fontId="0" fillId="0" borderId="0" xfId="0" applyAlignment="1"/>
    <xf numFmtId="0" fontId="0" fillId="2" borderId="0" xfId="0" applyFill="1"/>
    <xf numFmtId="0" fontId="13" fillId="2" borderId="0" xfId="0" applyFont="1" applyFill="1"/>
    <xf numFmtId="0" fontId="12" fillId="2" borderId="0" xfId="0" applyFont="1" applyFill="1"/>
    <xf numFmtId="167" fontId="14" fillId="2" borderId="0" xfId="0" applyNumberFormat="1" applyFont="1" applyFill="1" applyAlignment="1">
      <alignment horizontal="left"/>
    </xf>
    <xf numFmtId="164" fontId="6" fillId="2" borderId="4" xfId="1" applyFont="1" applyFill="1" applyBorder="1" applyAlignment="1" applyProtection="1">
      <alignment horizontal="left"/>
    </xf>
    <xf numFmtId="1" fontId="6" fillId="2" borderId="4" xfId="1" applyNumberFormat="1" applyFont="1" applyFill="1" applyBorder="1" applyAlignment="1" applyProtection="1">
      <alignment horizontal="right" indent="1"/>
    </xf>
    <xf numFmtId="0" fontId="13" fillId="2" borderId="0" xfId="0" applyFont="1" applyFill="1" applyAlignment="1">
      <alignment horizontal="right"/>
    </xf>
    <xf numFmtId="0" fontId="0" fillId="2" borderId="0" xfId="0" applyFill="1" applyAlignment="1"/>
    <xf numFmtId="0" fontId="12" fillId="2" borderId="0" xfId="0" applyFont="1" applyFill="1" applyAlignment="1"/>
    <xf numFmtId="16" fontId="14" fillId="2" borderId="0" xfId="0" applyNumberFormat="1" applyFont="1" applyFill="1" applyAlignment="1"/>
    <xf numFmtId="167" fontId="16" fillId="2" borderId="0" xfId="0" applyNumberFormat="1" applyFont="1" applyFill="1" applyAlignment="1">
      <alignment horizontal="center"/>
    </xf>
    <xf numFmtId="0" fontId="15" fillId="2" borderId="0" xfId="0" applyFont="1" applyFill="1" applyAlignment="1"/>
    <xf numFmtId="0" fontId="14" fillId="2" borderId="0" xfId="0" applyFont="1" applyFill="1" applyAlignment="1"/>
    <xf numFmtId="0" fontId="4" fillId="2" borderId="0" xfId="0" applyFont="1" applyFill="1" applyBorder="1" applyAlignment="1" applyProtection="1">
      <alignment horizontal="left"/>
    </xf>
    <xf numFmtId="164" fontId="5" fillId="0" borderId="0" xfId="1" applyFont="1" applyFill="1" applyBorder="1" applyAlignment="1" applyProtection="1">
      <alignment horizontal="right"/>
    </xf>
    <xf numFmtId="0" fontId="17" fillId="2" borderId="0" xfId="0" applyFont="1" applyFill="1"/>
    <xf numFmtId="167" fontId="18" fillId="2" borderId="0" xfId="0" applyNumberFormat="1" applyFont="1" applyFill="1" applyAlignment="1">
      <alignment horizontal="left"/>
    </xf>
    <xf numFmtId="0" fontId="18" fillId="2" borderId="0" xfId="0" applyFont="1" applyFill="1"/>
    <xf numFmtId="16" fontId="18" fillId="2" borderId="0" xfId="0" applyNumberFormat="1" applyFont="1" applyFill="1"/>
    <xf numFmtId="0" fontId="8" fillId="2" borderId="0" xfId="0" applyFont="1" applyFill="1"/>
    <xf numFmtId="0" fontId="19" fillId="2" borderId="0" xfId="0" applyFont="1" applyFill="1"/>
    <xf numFmtId="167" fontId="18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8" fillId="2" borderId="0" xfId="0" applyFont="1" applyFill="1" applyAlignment="1"/>
    <xf numFmtId="0" fontId="19" fillId="2" borderId="0" xfId="0" applyFont="1" applyFill="1" applyAlignment="1"/>
    <xf numFmtId="167" fontId="20" fillId="2" borderId="0" xfId="0" applyNumberFormat="1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17" fillId="2" borderId="0" xfId="0" applyFont="1" applyFill="1" applyAlignment="1">
      <alignment horizontal="center" wrapText="1"/>
    </xf>
    <xf numFmtId="0" fontId="17" fillId="2" borderId="0" xfId="0" applyFont="1" applyFill="1" applyAlignment="1"/>
    <xf numFmtId="0" fontId="25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26" fillId="0" borderId="0" xfId="0" applyFont="1" applyFill="1" applyBorder="1" applyProtection="1"/>
    <xf numFmtId="164" fontId="5" fillId="2" borderId="0" xfId="1" applyFont="1" applyFill="1" applyBorder="1" applyAlignment="1" applyProtection="1">
      <alignment horizontal="left" indent="1"/>
    </xf>
    <xf numFmtId="0" fontId="27" fillId="2" borderId="0" xfId="0" applyFont="1" applyFill="1"/>
    <xf numFmtId="0" fontId="17" fillId="2" borderId="0" xfId="0" applyFont="1" applyFill="1" applyAlignment="1">
      <alignment horizontal="left"/>
    </xf>
    <xf numFmtId="0" fontId="6" fillId="2" borderId="3" xfId="0" applyFont="1" applyFill="1" applyBorder="1" applyAlignment="1" applyProtection="1">
      <alignment horizontal="left" wrapText="1"/>
    </xf>
    <xf numFmtId="164" fontId="6" fillId="2" borderId="4" xfId="1" applyFont="1" applyFill="1" applyBorder="1" applyAlignment="1" applyProtection="1">
      <alignment horizontal="left" wrapText="1"/>
    </xf>
    <xf numFmtId="3" fontId="6" fillId="2" borderId="4" xfId="1" applyNumberFormat="1" applyFont="1" applyFill="1" applyBorder="1" applyAlignment="1" applyProtection="1">
      <alignment horizontal="right" indent="1"/>
    </xf>
    <xf numFmtId="1" fontId="6" fillId="2" borderId="4" xfId="1" quotePrefix="1" applyNumberFormat="1" applyFont="1" applyFill="1" applyBorder="1" applyAlignment="1" applyProtection="1">
      <alignment horizontal="right" indent="1"/>
    </xf>
    <xf numFmtId="0" fontId="27" fillId="2" borderId="0" xfId="0" applyFont="1" applyFill="1" applyAlignment="1"/>
    <xf numFmtId="165" fontId="6" fillId="2" borderId="0" xfId="1" applyNumberFormat="1" applyFont="1" applyFill="1" applyBorder="1" applyAlignment="1" applyProtection="1">
      <alignment horizontal="right" indent="1"/>
    </xf>
    <xf numFmtId="3" fontId="28" fillId="2" borderId="0" xfId="5" applyNumberFormat="1" applyFont="1" applyFill="1" applyBorder="1" applyAlignment="1" applyProtection="1">
      <alignment horizontal="left" indent="1"/>
    </xf>
    <xf numFmtId="3" fontId="28" fillId="2" borderId="0" xfId="9" applyNumberFormat="1" applyFont="1" applyFill="1" applyBorder="1" applyAlignment="1" applyProtection="1">
      <alignment horizontal="right" indent="1"/>
    </xf>
    <xf numFmtId="3" fontId="5" fillId="0" borderId="0" xfId="9" applyNumberFormat="1" applyFont="1" applyFill="1" applyBorder="1" applyAlignment="1" applyProtection="1">
      <alignment horizontal="right" indent="1"/>
    </xf>
    <xf numFmtId="168" fontId="0" fillId="0" borderId="0" xfId="0" applyNumberFormat="1"/>
    <xf numFmtId="165" fontId="8" fillId="0" borderId="0" xfId="0" applyNumberFormat="1" applyFont="1"/>
    <xf numFmtId="168" fontId="8" fillId="0" borderId="0" xfId="0" applyNumberFormat="1" applyFont="1"/>
    <xf numFmtId="0" fontId="17" fillId="2" borderId="0" xfId="0" applyFont="1" applyFill="1" applyAlignment="1">
      <alignment wrapText="1"/>
    </xf>
    <xf numFmtId="165" fontId="28" fillId="2" borderId="0" xfId="9" applyNumberFormat="1" applyFont="1" applyFill="1" applyBorder="1" applyAlignment="1" applyProtection="1">
      <alignment horizontal="right" indent="1"/>
    </xf>
    <xf numFmtId="165" fontId="5" fillId="2" borderId="4" xfId="9" applyNumberFormat="1" applyFont="1" applyFill="1" applyBorder="1" applyAlignment="1" applyProtection="1">
      <alignment horizontal="right" indent="1"/>
    </xf>
    <xf numFmtId="166" fontId="6" fillId="2" borderId="0" xfId="0" applyNumberFormat="1" applyFont="1" applyFill="1" applyBorder="1" applyAlignment="1" applyProtection="1">
      <alignment horizontal="right"/>
    </xf>
    <xf numFmtId="166" fontId="5" fillId="2" borderId="0" xfId="0" applyNumberFormat="1" applyFont="1" applyFill="1" applyBorder="1" applyAlignment="1" applyProtection="1">
      <alignment horizontal="right"/>
    </xf>
    <xf numFmtId="166" fontId="5" fillId="2" borderId="2" xfId="0" applyNumberFormat="1" applyFont="1" applyFill="1" applyBorder="1" applyAlignment="1" applyProtection="1">
      <alignment horizontal="right"/>
    </xf>
    <xf numFmtId="0" fontId="17" fillId="2" borderId="0" xfId="0" applyFont="1" applyFill="1" applyAlignment="1">
      <alignment horizontal="left" wrapText="1"/>
    </xf>
    <xf numFmtId="3" fontId="6" fillId="2" borderId="0" xfId="9" applyNumberFormat="1" applyFont="1" applyFill="1" applyBorder="1" applyAlignment="1" applyProtection="1">
      <alignment horizontal="right" indent="1"/>
    </xf>
    <xf numFmtId="165" fontId="6" fillId="2" borderId="0" xfId="9" applyNumberFormat="1" applyFont="1" applyFill="1" applyBorder="1" applyAlignment="1" applyProtection="1">
      <alignment horizontal="right" indent="1"/>
    </xf>
    <xf numFmtId="169" fontId="8" fillId="0" borderId="0" xfId="0" applyNumberFormat="1" applyFont="1"/>
    <xf numFmtId="0" fontId="17" fillId="2" borderId="0" xfId="0" applyFont="1" applyFill="1" applyAlignment="1">
      <alignment horizontal="left" wrapText="1"/>
    </xf>
    <xf numFmtId="171" fontId="8" fillId="0" borderId="0" xfId="0" applyNumberFormat="1" applyFont="1"/>
    <xf numFmtId="170" fontId="5" fillId="0" borderId="0" xfId="9" applyNumberFormat="1" applyFont="1" applyFill="1" applyBorder="1" applyAlignment="1" applyProtection="1">
      <alignment horizontal="right" indent="1"/>
    </xf>
    <xf numFmtId="0" fontId="17" fillId="2" borderId="0" xfId="0" applyFont="1" applyFill="1" applyAlignment="1">
      <alignment horizontal="left" wrapText="1"/>
    </xf>
    <xf numFmtId="0" fontId="0" fillId="0" borderId="0" xfId="0" applyFill="1"/>
    <xf numFmtId="167" fontId="18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right"/>
    </xf>
    <xf numFmtId="0" fontId="18" fillId="2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0" fontId="29" fillId="2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9" fillId="2" borderId="0" xfId="0" applyFont="1" applyFill="1" applyAlignment="1">
      <alignment wrapText="1"/>
    </xf>
    <xf numFmtId="3" fontId="6" fillId="2" borderId="0" xfId="1" applyNumberFormat="1" applyFont="1" applyFill="1" applyBorder="1" applyAlignment="1" applyProtection="1">
      <alignment horizontal="right" indent="1"/>
    </xf>
    <xf numFmtId="167" fontId="0" fillId="0" borderId="0" xfId="0" applyNumberFormat="1"/>
    <xf numFmtId="164" fontId="5" fillId="2" borderId="0" xfId="1" applyFont="1" applyFill="1" applyBorder="1" applyAlignment="1" applyProtection="1"/>
    <xf numFmtId="0" fontId="31" fillId="2" borderId="0" xfId="0" applyFont="1" applyFill="1"/>
    <xf numFmtId="0" fontId="32" fillId="2" borderId="0" xfId="0" applyFont="1" applyFill="1"/>
    <xf numFmtId="167" fontId="23" fillId="2" borderId="0" xfId="0" applyNumberFormat="1" applyFont="1" applyFill="1" applyAlignment="1">
      <alignment horizontal="center"/>
    </xf>
    <xf numFmtId="0" fontId="18" fillId="2" borderId="0" xfId="0" applyFont="1" applyFill="1" applyAlignment="1"/>
    <xf numFmtId="0" fontId="33" fillId="2" borderId="0" xfId="0" applyFont="1" applyFill="1"/>
    <xf numFmtId="0" fontId="34" fillId="2" borderId="0" xfId="0" applyFont="1" applyFill="1"/>
    <xf numFmtId="0" fontId="19" fillId="0" borderId="0" xfId="0" applyFont="1" applyFill="1"/>
    <xf numFmtId="167" fontId="18" fillId="0" borderId="0" xfId="0" applyNumberFormat="1" applyFont="1" applyFill="1" applyAlignment="1">
      <alignment horizontal="right"/>
    </xf>
    <xf numFmtId="16" fontId="29" fillId="2" borderId="0" xfId="0" applyNumberFormat="1" applyFont="1" applyFill="1" applyAlignment="1">
      <alignment horizontal="right"/>
    </xf>
    <xf numFmtId="164" fontId="5" fillId="2" borderId="1" xfId="0" quotePrefix="1" applyNumberFormat="1" applyFont="1" applyFill="1" applyBorder="1" applyAlignment="1" applyProtection="1">
      <alignment horizontal="left"/>
    </xf>
    <xf numFmtId="16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 applyProtection="1">
      <alignment horizontal="right"/>
    </xf>
    <xf numFmtId="167" fontId="5" fillId="0" borderId="0" xfId="10" applyNumberFormat="1" applyFont="1" applyFill="1" applyBorder="1" applyAlignment="1" applyProtection="1">
      <alignment horizontal="right" indent="1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31" fillId="2" borderId="0" xfId="0" applyFont="1" applyFill="1" applyAlignment="1">
      <alignment horizontal="left" wrapText="1"/>
    </xf>
    <xf numFmtId="0" fontId="27" fillId="2" borderId="0" xfId="0" applyFont="1" applyFill="1" applyAlignment="1">
      <alignment horizontal="left" vertical="center" wrapText="1"/>
    </xf>
  </cellXfs>
  <cellStyles count="11">
    <cellStyle name="Normal" xfId="0" builtinId="0"/>
    <cellStyle name="Normal 2" xfId="1" xr:uid="{00000000-0005-0000-0000-000001000000}"/>
    <cellStyle name="Normal 2 2" xfId="8" xr:uid="{00000000-0005-0000-0000-000002000000}"/>
    <cellStyle name="Normal 3" xfId="3" xr:uid="{00000000-0005-0000-0000-000003000000}"/>
    <cellStyle name="Normal 3 2" xfId="4" xr:uid="{00000000-0005-0000-0000-000004000000}"/>
    <cellStyle name="Normal 5" xfId="7" xr:uid="{00000000-0005-0000-0000-000005000000}"/>
    <cellStyle name="Normal 7" xfId="6" xr:uid="{00000000-0005-0000-0000-000006000000}"/>
    <cellStyle name="Normal_A1 Comparacion Internacional" xfId="2" xr:uid="{00000000-0005-0000-0000-000009000000}"/>
    <cellStyle name="Normal_cuadro 1.1 2" xfId="9" xr:uid="{00000000-0005-0000-0000-00000A000000}"/>
    <cellStyle name="Normal_TTTTTTTT" xfId="5" xr:uid="{00000000-0005-0000-0000-00000C000000}"/>
    <cellStyle name="Porcentaje" xfId="10" builtinId="5"/>
  </cellStyles>
  <dxfs count="0"/>
  <tableStyles count="0" defaultTableStyle="TableStyleMedium2" defaultPivotStyle="PivotStyleLight16"/>
  <colors>
    <mruColors>
      <color rgb="FFF5F5F5"/>
      <color rgb="FF004563"/>
      <color rgb="FFA6A6A6"/>
      <color rgb="FF5B9BD5"/>
      <color rgb="FF464394"/>
      <color rgb="FFCFA2CA"/>
      <color rgb="FFFFCC66"/>
      <color rgb="FF993300"/>
      <color rgb="FF9A5CBC"/>
      <color rgb="FF6FB1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2</xdr:col>
      <xdr:colOff>914400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A254CB-60EB-4483-BB7E-C9437355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5</xdr:col>
      <xdr:colOff>21599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E825740-D7B2-44BD-9125-9502775E09BC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55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2</xdr:col>
      <xdr:colOff>914400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13</xdr:col>
      <xdr:colOff>2544524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120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3</xdr:col>
      <xdr:colOff>66675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706AF-31DD-4881-B693-CBF83828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13</xdr:col>
      <xdr:colOff>19199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848FC8B-C4A7-4312-8A17-036D37E4981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946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12</xdr:col>
      <xdr:colOff>738225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180975" y="466725"/>
          <a:ext cx="1036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1</xdr:colOff>
      <xdr:row>0</xdr:row>
      <xdr:rowOff>161925</xdr:rowOff>
    </xdr:from>
    <xdr:to>
      <xdr:col>1</xdr:col>
      <xdr:colOff>885826</xdr:colOff>
      <xdr:row>1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CE24-6A57-4280-B155-2769CA925B63}">
  <sheetPr>
    <pageSetUpPr fitToPage="1"/>
  </sheetPr>
  <dimension ref="C1:F67"/>
  <sheetViews>
    <sheetView showGridLines="0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3" width="51" customWidth="1"/>
    <col min="4" max="5" width="15.7109375" customWidth="1"/>
  </cols>
  <sheetData>
    <row r="1" spans="3:5" ht="21" customHeight="1">
      <c r="E1" s="6" t="s">
        <v>0</v>
      </c>
    </row>
    <row r="2" spans="3:5" ht="15" customHeight="1">
      <c r="E2" s="7" t="s">
        <v>116</v>
      </c>
    </row>
    <row r="3" spans="3:5" ht="21" customHeight="1">
      <c r="E3" s="65" t="s">
        <v>123</v>
      </c>
    </row>
    <row r="4" spans="3:5" ht="15" customHeight="1"/>
    <row r="5" spans="3:5" ht="15" customHeight="1">
      <c r="C5" s="68"/>
      <c r="D5" s="123">
        <v>2020</v>
      </c>
      <c r="E5" s="123">
        <v>2019</v>
      </c>
    </row>
    <row r="6" spans="3:5" ht="15" customHeight="1">
      <c r="C6" s="115" t="s">
        <v>102</v>
      </c>
      <c r="D6" s="122" t="str">
        <f>CONCATENATE(TEXT('Data 1'!L25/1000,"0,0")&amp;" TWh")</f>
        <v>236,4 TWh</v>
      </c>
      <c r="E6" s="122"/>
    </row>
    <row r="7" spans="3:5" ht="15" customHeight="1">
      <c r="C7" s="68" t="s">
        <v>124</v>
      </c>
      <c r="D7" s="117">
        <f>'Data 1'!M25/100</f>
        <v>-5.1434362751958895E-2</v>
      </c>
      <c r="E7" s="117"/>
    </row>
    <row r="8" spans="3:5" ht="15" customHeight="1">
      <c r="C8" s="68" t="s">
        <v>47</v>
      </c>
      <c r="D8" s="117">
        <f>'Data 1'!L174/100</f>
        <v>-5.1883833079670927E-2</v>
      </c>
      <c r="E8" s="117"/>
    </row>
    <row r="9" spans="3:5" ht="15" customHeight="1"/>
    <row r="10" spans="3:5" ht="15" customHeight="1">
      <c r="C10" s="118" t="s">
        <v>103</v>
      </c>
      <c r="D10" s="122" t="str">
        <f>CONCATENATE(TEXT('Data 1'!E188,"0.000")&amp;" MW")</f>
        <v>40.423 MW</v>
      </c>
      <c r="E10" s="122" t="str">
        <f>CONCATENATE(TEXT('Data 1'!E187,"0.000")&amp;" MW")</f>
        <v>40.455 MW</v>
      </c>
    </row>
    <row r="11" spans="3:5" ht="15" customHeight="1">
      <c r="C11" s="118"/>
      <c r="D11" s="136" t="str">
        <f>'Data 1'!D188</f>
        <v>20 enero (20:22 h)</v>
      </c>
      <c r="E11" s="122"/>
    </row>
    <row r="12" spans="3:5" ht="15" customHeight="1">
      <c r="C12" s="71" t="s">
        <v>125</v>
      </c>
      <c r="D12" s="117">
        <f>(('Data 1'!E188/'Data 1'!E187)-1)</f>
        <v>-7.9100234828821669E-4</v>
      </c>
      <c r="E12" s="117"/>
    </row>
    <row r="13" spans="3:5" ht="30" customHeight="1">
      <c r="C13" s="124" t="s">
        <v>111</v>
      </c>
      <c r="D13" s="117">
        <f>(('Data 1'!E188/'Data 1'!E178)-1)</f>
        <v>-0.11060506050605057</v>
      </c>
      <c r="E13" s="119"/>
    </row>
    <row r="14" spans="3:5" ht="15" customHeight="1"/>
    <row r="15" spans="3:5" ht="15" customHeight="1">
      <c r="C15" s="102" t="s">
        <v>104</v>
      </c>
      <c r="D15" s="122" t="str">
        <f>CONCATENATE(TEXT(SUM('Data 1'!L43,'Data 1'!L60,'Data 1'!L68,'Data 1'!L80)/1000,"0,0")&amp;" TWh")</f>
        <v>13,3 TWh</v>
      </c>
      <c r="E15" s="122"/>
    </row>
    <row r="16" spans="3:5" ht="15" customHeight="1">
      <c r="C16" s="68" t="s">
        <v>124</v>
      </c>
      <c r="D16" s="51"/>
      <c r="E16" s="51"/>
    </row>
    <row r="17" spans="3:5" ht="15" customHeight="1">
      <c r="C17" s="67" t="s">
        <v>45</v>
      </c>
      <c r="D17" s="117">
        <f>'Data 1'!M43/100</f>
        <v>-0.19634726156104954</v>
      </c>
      <c r="E17" s="51"/>
    </row>
    <row r="18" spans="3:5" ht="15" customHeight="1">
      <c r="C18" s="67" t="s">
        <v>46</v>
      </c>
      <c r="D18" s="117">
        <f>'Data 1'!M60/100</f>
        <v>-0.10327526426153755</v>
      </c>
      <c r="E18" s="51"/>
    </row>
    <row r="19" spans="3:5" ht="15" customHeight="1">
      <c r="C19" s="120" t="s">
        <v>44</v>
      </c>
      <c r="D19" s="117">
        <f>'Data 1'!M68/100</f>
        <v>-3.7336062661830982E-2</v>
      </c>
      <c r="E19" s="70"/>
    </row>
    <row r="20" spans="3:5" ht="15" customHeight="1">
      <c r="C20" s="120" t="s">
        <v>14</v>
      </c>
      <c r="D20" s="117">
        <f>'Data 1'!M80/100</f>
        <v>-9.2199542802816614E-3</v>
      </c>
      <c r="E20" s="70"/>
    </row>
    <row r="21" spans="3:5" ht="15" customHeight="1"/>
    <row r="22" spans="3:5" ht="15" customHeight="1">
      <c r="C22" s="115" t="s">
        <v>105</v>
      </c>
      <c r="D22" s="122" t="str">
        <f>CONCATENATE(TEXT('Data 1'!L101/1000,"0,0")&amp;" TWh")</f>
        <v>249,7 TWh</v>
      </c>
      <c r="E22" s="122"/>
    </row>
    <row r="23" spans="3:5" ht="15" customHeight="1">
      <c r="C23" s="68" t="s">
        <v>124</v>
      </c>
      <c r="D23" s="117">
        <f>'Data 1'!M101/100</f>
        <v>-5.6476818727746014E-2</v>
      </c>
      <c r="E23" s="117"/>
    </row>
    <row r="24" spans="3:5" ht="15" customHeight="1">
      <c r="C24" s="68" t="s">
        <v>47</v>
      </c>
      <c r="D24" s="117">
        <f>'Data 1'!L166/100</f>
        <v>-5.6251840970472144E-2</v>
      </c>
      <c r="E24" s="117"/>
    </row>
    <row r="26" spans="3:5" ht="15">
      <c r="C26" s="118" t="s">
        <v>108</v>
      </c>
      <c r="D26" s="122" t="str">
        <f>CONCATENATE(TEXT('Data 1'!L98/1000,"0,0")&amp;" TWh")</f>
        <v>250,4 TWh</v>
      </c>
      <c r="E26" s="122" t="str">
        <f>CONCATENATE(TEXT('Data 1'!K98/1000,"0,0")&amp;" TWh")</f>
        <v>260,8 TWh</v>
      </c>
    </row>
    <row r="27" spans="3:5" ht="15">
      <c r="C27" s="71" t="s">
        <v>1</v>
      </c>
      <c r="D27" s="117">
        <f>'Data 1'!L125/100</f>
        <v>0.11932946157278018</v>
      </c>
      <c r="E27" s="117">
        <f>'Data 1'!K125/100</f>
        <v>9.4771021447388637E-2</v>
      </c>
    </row>
    <row r="28" spans="3:5" ht="15">
      <c r="C28" s="71" t="s">
        <v>5</v>
      </c>
      <c r="D28" s="117">
        <f>'Data 1'!L132/100</f>
        <v>0.21666242723070764</v>
      </c>
      <c r="E28" s="117">
        <f>'Data 1'!K132/100</f>
        <v>0.20797185085246736</v>
      </c>
    </row>
    <row r="29" spans="3:5" ht="15">
      <c r="C29" s="71" t="s">
        <v>6</v>
      </c>
      <c r="D29" s="117">
        <f>'Data 1'!L133/100</f>
        <v>6.1283357762181814E-2</v>
      </c>
      <c r="E29" s="117">
        <f>'Data 1'!K133/100</f>
        <v>3.5471610433698821E-2</v>
      </c>
    </row>
    <row r="30" spans="3:5" ht="15">
      <c r="C30" s="71" t="s">
        <v>7</v>
      </c>
      <c r="D30" s="117">
        <f>'Data 1'!L134/100</f>
        <v>1.8310133226951655E-2</v>
      </c>
      <c r="E30" s="117">
        <f>'Data 1'!K134/100</f>
        <v>1.9807745235401068E-2</v>
      </c>
    </row>
    <row r="31" spans="3:5" ht="15">
      <c r="C31" s="71" t="s">
        <v>22</v>
      </c>
      <c r="D31" s="117">
        <f>SUM('Data 1'!L131,'Data 1'!L135,'Data 1'!L138)/100</f>
        <v>2.0815313003472825E-2</v>
      </c>
      <c r="E31" s="117">
        <f>SUM('Data 1'!K131,'Data 1'!K135,'Data 1'!K138)/100</f>
        <v>1.7370693196456642E-2</v>
      </c>
    </row>
    <row r="32" spans="3:5" ht="15">
      <c r="C32" s="71" t="s">
        <v>2</v>
      </c>
      <c r="D32" s="117">
        <f>'Data 1'!L127/100</f>
        <v>0.22176840004728984</v>
      </c>
      <c r="E32" s="117">
        <f>'Data 1'!K127/100</f>
        <v>0.21402628446768066</v>
      </c>
    </row>
    <row r="33" spans="3:5" ht="15">
      <c r="C33" s="71" t="s">
        <v>3</v>
      </c>
      <c r="D33" s="117">
        <f>'Data 1'!L128/100</f>
        <v>2.0222752557230828E-2</v>
      </c>
      <c r="E33" s="117">
        <f>'Data 1'!K128/100</f>
        <v>4.8578361059281878E-2</v>
      </c>
    </row>
    <row r="34" spans="3:5" ht="15">
      <c r="C34" s="71" t="s">
        <v>100</v>
      </c>
      <c r="D34" s="117">
        <f>'Data 1'!L129/100</f>
        <v>1.6764506645650396E-2</v>
      </c>
      <c r="E34" s="117">
        <f>'Data 1'!K129/100</f>
        <v>2.1836526830031323E-2</v>
      </c>
    </row>
    <row r="35" spans="3:5" ht="15">
      <c r="C35" s="71" t="s">
        <v>21</v>
      </c>
      <c r="D35" s="117">
        <f>'Data 1'!L130/100</f>
        <v>0.17820008893117489</v>
      </c>
      <c r="E35" s="117">
        <f>'Data 1'!K130/100</f>
        <v>0.21179395247311622</v>
      </c>
    </row>
    <row r="36" spans="3:5" ht="15">
      <c r="C36" s="71" t="s">
        <v>8</v>
      </c>
      <c r="D36" s="117">
        <f>'Data 1'!L136/100</f>
        <v>0.10793589304038419</v>
      </c>
      <c r="E36" s="117">
        <f>'Data 1'!K136/100</f>
        <v>0.11354242666357454</v>
      </c>
    </row>
    <row r="37" spans="3:5" ht="15">
      <c r="C37" s="71" t="s">
        <v>51</v>
      </c>
      <c r="D37" s="117">
        <f>SUM('Data 1'!L126,'Data 1'!L137)/100</f>
        <v>1.8707665982175815E-2</v>
      </c>
      <c r="E37" s="117">
        <f>SUM('Data 1'!K126,'Data 1'!K137)/100</f>
        <v>1.4829527340902864E-2</v>
      </c>
    </row>
    <row r="38" spans="3:5" ht="15">
      <c r="C38" s="121"/>
      <c r="D38" s="116"/>
      <c r="E38" s="116"/>
    </row>
    <row r="39" spans="3:5" ht="15">
      <c r="C39" s="118" t="s">
        <v>106</v>
      </c>
      <c r="D39" s="122" t="str">
        <f>CONCATENATE(TEXT('Data 1'!L330/1000,"0,0")&amp;" GW")</f>
        <v>109,7 GW</v>
      </c>
      <c r="E39" s="122"/>
    </row>
    <row r="40" spans="3:5" ht="15">
      <c r="C40" s="71" t="s">
        <v>124</v>
      </c>
      <c r="D40" s="117">
        <f>(('Data 1'!L330/'Data 1'!K330)-1)</f>
        <v>-7.0724631350449485E-3</v>
      </c>
      <c r="E40" s="117"/>
    </row>
    <row r="42" spans="3:5" ht="15" customHeight="1">
      <c r="C42" s="118" t="s">
        <v>107</v>
      </c>
      <c r="D42" s="122" t="str">
        <f>CONCATENATE(TEXT('Data 1'!L119/1000,"0,0")&amp;" TWh")</f>
        <v>109,3 TWh</v>
      </c>
      <c r="E42" s="122"/>
    </row>
    <row r="43" spans="3:5" ht="15">
      <c r="C43" s="71" t="s">
        <v>112</v>
      </c>
      <c r="D43" s="117">
        <f>'Data 1'!L139/100</f>
        <v>0.43640069279609406</v>
      </c>
      <c r="E43" s="117"/>
    </row>
    <row r="44" spans="3:5" ht="15">
      <c r="C44" s="71" t="s">
        <v>126</v>
      </c>
      <c r="D44" s="117"/>
      <c r="E44" s="117">
        <f>'Data 1'!K139/100</f>
        <v>0.37539292116541256</v>
      </c>
    </row>
    <row r="46" spans="3:5" ht="15" customHeight="1">
      <c r="C46" s="118" t="s">
        <v>150</v>
      </c>
      <c r="D46" s="122"/>
      <c r="E46" s="122"/>
    </row>
    <row r="47" spans="3:5" ht="15">
      <c r="C47" s="71" t="s">
        <v>112</v>
      </c>
      <c r="D47" s="117">
        <f>'Data 1'!L147/100</f>
        <v>0.66882395095946023</v>
      </c>
      <c r="E47" s="117"/>
    </row>
    <row r="48" spans="3:5" ht="15">
      <c r="C48" s="71" t="s">
        <v>126</v>
      </c>
      <c r="D48" s="117"/>
      <c r="E48" s="117">
        <f>'Data 1'!K147/100</f>
        <v>0.59572795997914318</v>
      </c>
    </row>
    <row r="49" spans="3:5" s="116" customFormat="1" ht="15">
      <c r="C49" s="134"/>
      <c r="D49" s="135"/>
      <c r="E49" s="135"/>
    </row>
    <row r="50" spans="3:5" ht="15" customHeight="1">
      <c r="C50" s="118" t="s">
        <v>151</v>
      </c>
      <c r="D50" s="117"/>
      <c r="E50" s="117"/>
    </row>
    <row r="51" spans="3:5" ht="15">
      <c r="C51" s="71" t="s">
        <v>152</v>
      </c>
      <c r="D51" s="117">
        <f>'Data 1'!L158/100</f>
        <v>-0.27269733817394892</v>
      </c>
      <c r="E51" s="117"/>
    </row>
    <row r="52" spans="3:5" ht="15">
      <c r="C52" s="71" t="s">
        <v>126</v>
      </c>
      <c r="D52" s="117"/>
      <c r="E52" s="117">
        <f>'Data 1'!K158/100</f>
        <v>-0.23005854891581679</v>
      </c>
    </row>
    <row r="54" spans="3:5" ht="15">
      <c r="C54" s="118" t="s">
        <v>109</v>
      </c>
      <c r="D54" s="122"/>
      <c r="E54" s="122"/>
    </row>
    <row r="55" spans="3:5" ht="15">
      <c r="C55" s="71" t="s">
        <v>53</v>
      </c>
      <c r="D55" s="117" t="str">
        <f>CONCATENATE(TEXT('Data 1'!L359/1000,"0,0")&amp;" TWh")</f>
        <v>18,7 TWh</v>
      </c>
      <c r="E55" s="117"/>
    </row>
    <row r="56" spans="3:5" ht="15">
      <c r="C56" s="71" t="s">
        <v>54</v>
      </c>
      <c r="D56" s="117" t="str">
        <f>CONCATENATE(TEXT('Data 1'!L364/1000,"0,0")&amp;" TWh")</f>
        <v>14,8 TWh</v>
      </c>
      <c r="E56" s="117"/>
    </row>
    <row r="57" spans="3:5" ht="15">
      <c r="C57" s="71" t="s">
        <v>94</v>
      </c>
      <c r="D57" s="117" t="str">
        <f>CONCATENATE(TEXT('Data 1'!L369/1000,"0,0")&amp;" TWh")</f>
        <v>3,9 TWh</v>
      </c>
      <c r="E57" s="117"/>
    </row>
    <row r="58" spans="3:5" ht="15">
      <c r="C58" s="71" t="s">
        <v>127</v>
      </c>
      <c r="D58" s="117"/>
      <c r="E58" s="117" t="str">
        <f>CONCATENATE(TEXT('Data 1'!K369/1000,"0,0")&amp;" TWh")</f>
        <v>6,9 TWh</v>
      </c>
    </row>
    <row r="60" spans="3:5" ht="15">
      <c r="C60" s="118" t="s">
        <v>23</v>
      </c>
      <c r="D60" s="122" t="str">
        <f>CONCATENATE(TEXT(-'Data 1'!L23/1000,"0,0")&amp;" TWh")</f>
        <v>1,4 TWh</v>
      </c>
      <c r="E60" s="122"/>
    </row>
    <row r="61" spans="3:5" ht="15">
      <c r="C61" s="71" t="s">
        <v>154</v>
      </c>
      <c r="D61" s="117">
        <f>('Data 1'!L42/'Data 1'!L43)</f>
        <v>0.28658052427766778</v>
      </c>
      <c r="E61" s="117"/>
    </row>
    <row r="63" spans="3:5" ht="15">
      <c r="C63" s="118" t="s">
        <v>110</v>
      </c>
      <c r="D63" s="122"/>
      <c r="E63" s="122"/>
    </row>
    <row r="64" spans="3:5" ht="15">
      <c r="C64" s="71" t="s">
        <v>113</v>
      </c>
      <c r="D64" s="117" t="str">
        <f>CONCATENATE(TEXT('Data 1'!M379,"0.000")&amp;" km")</f>
        <v>44.549 km</v>
      </c>
      <c r="E64" s="117"/>
    </row>
    <row r="65" spans="3:6" ht="15">
      <c r="C65" s="71"/>
      <c r="D65" s="117"/>
      <c r="E65" s="117"/>
      <c r="F65" s="126"/>
    </row>
    <row r="67" spans="3:6" ht="24.75">
      <c r="C67" s="124" t="s">
        <v>114</v>
      </c>
      <c r="D67" s="117" t="str">
        <f>PRODUCCION!I37</f>
        <v>34.202 km</v>
      </c>
      <c r="E67" s="11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19"/>
  <sheetViews>
    <sheetView showGridLines="0" tabSelected="1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3" width="38.7109375" customWidth="1"/>
    <col min="4" max="4" width="5.7109375" customWidth="1"/>
    <col min="5" max="5" width="15.7109375" customWidth="1"/>
    <col min="6" max="6" width="5.7109375" customWidth="1"/>
    <col min="7" max="7" width="22.7109375" customWidth="1"/>
    <col min="8" max="8" width="5.7109375" customWidth="1"/>
    <col min="9" max="12" width="10.7109375" customWidth="1"/>
    <col min="13" max="13" width="5.7109375" customWidth="1"/>
    <col min="14" max="14" width="38.7109375" customWidth="1"/>
  </cols>
  <sheetData>
    <row r="1" spans="3:14" ht="21" customHeight="1">
      <c r="N1" s="6" t="s">
        <v>0</v>
      </c>
    </row>
    <row r="2" spans="3:14" ht="15" customHeight="1">
      <c r="N2" s="7" t="s">
        <v>116</v>
      </c>
    </row>
    <row r="3" spans="3:14" ht="21" customHeight="1">
      <c r="N3" s="65" t="s">
        <v>123</v>
      </c>
    </row>
    <row r="4" spans="3:14" ht="15" customHeight="1">
      <c r="L4" s="11"/>
    </row>
    <row r="5" spans="3:14" ht="15" customHeight="1">
      <c r="L5" s="11"/>
    </row>
    <row r="6" spans="3:14" ht="30">
      <c r="C6" s="112" t="s">
        <v>92</v>
      </c>
      <c r="E6" s="141" t="s">
        <v>93</v>
      </c>
      <c r="F6" s="141"/>
      <c r="G6" s="141"/>
      <c r="I6" s="142" t="s">
        <v>97</v>
      </c>
      <c r="J6" s="142"/>
      <c r="K6" s="142"/>
      <c r="L6" s="142"/>
      <c r="N6" s="108" t="s">
        <v>96</v>
      </c>
    </row>
    <row r="7" spans="3:14" ht="15" customHeight="1">
      <c r="C7" s="51"/>
      <c r="E7" s="70"/>
      <c r="F7" s="69"/>
      <c r="G7" s="70"/>
      <c r="I7" s="51"/>
      <c r="J7" s="51"/>
      <c r="K7" s="51"/>
      <c r="L7" s="51"/>
      <c r="N7" s="51"/>
    </row>
    <row r="8" spans="3:14" ht="21" customHeight="1">
      <c r="C8" s="52" t="str">
        <f>CONCATENATE(TEXT('Data 1'!L25/1000,"0,0")&amp;" TWh")</f>
        <v>236,4 TWh</v>
      </c>
      <c r="E8" s="52" t="str">
        <f>CONCATENATE(TEXT('Data 1'!E188,"0.000")&amp;" MW")</f>
        <v>40.423 MW</v>
      </c>
      <c r="F8" s="52"/>
      <c r="G8" s="69" t="str">
        <f>'Data 1'!D188</f>
        <v>20 enero (20:22 h)</v>
      </c>
      <c r="I8" s="52" t="str">
        <f>CONCATENATE(TEXT(SUM('Data 1'!L43,'Data 1'!L60,'Data 1'!L68,'Data 1'!L80)/1000,"0,0")&amp;" TWh")</f>
        <v>13,3 TWh</v>
      </c>
      <c r="J8" s="51"/>
      <c r="K8" s="51"/>
      <c r="L8" s="51"/>
      <c r="N8" s="52" t="str">
        <f>CONCATENATE(TEXT('Data 1'!L101/1000,"0,0")&amp;" TWh")</f>
        <v>249,7 TWh</v>
      </c>
    </row>
    <row r="9" spans="3:14" ht="15" customHeight="1">
      <c r="C9" s="51"/>
      <c r="E9" s="53"/>
      <c r="F9" s="53"/>
      <c r="G9" s="51"/>
      <c r="I9" s="51"/>
      <c r="J9" s="51"/>
      <c r="K9" s="51"/>
      <c r="L9" s="51"/>
      <c r="N9" s="51"/>
    </row>
    <row r="10" spans="3:14" ht="15">
      <c r="C10" s="66" t="s">
        <v>124</v>
      </c>
      <c r="E10" s="71" t="s">
        <v>90</v>
      </c>
      <c r="F10" s="67"/>
      <c r="G10" s="71" t="s">
        <v>90</v>
      </c>
      <c r="I10" s="66" t="s">
        <v>124</v>
      </c>
      <c r="J10" s="70"/>
      <c r="K10" s="70"/>
      <c r="L10" s="70"/>
      <c r="N10" s="66" t="s">
        <v>124</v>
      </c>
    </row>
    <row r="11" spans="3:14" ht="20.100000000000001" customHeight="1">
      <c r="C11" s="67">
        <f>'Data 1'!M25/100</f>
        <v>-5.1434362751958895E-2</v>
      </c>
      <c r="E11" s="71" t="s">
        <v>128</v>
      </c>
      <c r="F11" s="71"/>
      <c r="G11" s="71" t="s">
        <v>91</v>
      </c>
      <c r="I11" s="72" t="s">
        <v>45</v>
      </c>
      <c r="J11" s="73" t="s">
        <v>46</v>
      </c>
      <c r="K11" s="74" t="s">
        <v>44</v>
      </c>
      <c r="L11" s="74" t="s">
        <v>14</v>
      </c>
      <c r="N11" s="67">
        <f>'Data 1'!M101/100</f>
        <v>-5.6476818727746014E-2</v>
      </c>
    </row>
    <row r="12" spans="3:14" ht="20.100000000000001" customHeight="1">
      <c r="C12" s="68" t="s">
        <v>47</v>
      </c>
      <c r="E12" s="67">
        <f>(('Data 1'!E188/'Data 1'!E187)-1)</f>
        <v>-7.9100234828821669E-4</v>
      </c>
      <c r="F12" s="71"/>
      <c r="G12" s="67">
        <f>(('Data 1'!E188/'Data 1'!E178)-1)</f>
        <v>-0.11060506050605057</v>
      </c>
      <c r="I12" s="72">
        <f>'Data 1'!M43/100</f>
        <v>-0.19634726156104954</v>
      </c>
      <c r="J12" s="72">
        <f>'Data 1'!M60/100</f>
        <v>-0.10327526426153755</v>
      </c>
      <c r="K12" s="72">
        <f>'Data 1'!M68/100</f>
        <v>-3.7336062661830982E-2</v>
      </c>
      <c r="L12" s="72">
        <f>'Data 1'!M80/100</f>
        <v>-9.2199542802816614E-3</v>
      </c>
      <c r="N12" s="68" t="s">
        <v>47</v>
      </c>
    </row>
    <row r="13" spans="3:14" ht="20.100000000000001" customHeight="1">
      <c r="C13" s="67">
        <f>'Data 1'!L174/100</f>
        <v>-5.1883833079670927E-2</v>
      </c>
      <c r="E13" s="71" t="str">
        <f>CONCATENATE(TEXT('Data 1'!E187,"0.000")&amp;" MW")</f>
        <v>40.455 MW</v>
      </c>
      <c r="F13" s="71"/>
      <c r="G13" s="71" t="str">
        <f>CONCATENATE(TEXT('Data 1'!E178,"0.000")&amp;" MW")</f>
        <v>45.450 MW</v>
      </c>
      <c r="I13" s="72"/>
      <c r="J13" s="73"/>
      <c r="K13" s="74"/>
      <c r="L13" s="74"/>
      <c r="N13" s="67">
        <f>'Data 1'!L166/100</f>
        <v>-5.6251840970472144E-2</v>
      </c>
    </row>
    <row r="15" spans="3:14">
      <c r="C15" s="1"/>
      <c r="E15" s="1"/>
      <c r="F15" s="1"/>
      <c r="I15" s="1"/>
      <c r="N15" s="1"/>
    </row>
    <row r="18" spans="3:14">
      <c r="C18" s="99"/>
      <c r="N18" s="99"/>
    </row>
    <row r="19" spans="3:14">
      <c r="C19" s="99"/>
      <c r="N19" s="99"/>
    </row>
  </sheetData>
  <mergeCells count="2">
    <mergeCell ref="E6:G6"/>
    <mergeCell ref="I6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6C6A-3443-4DDD-84C1-11E0FD59E8B2}">
  <sheetPr>
    <pageSetUpPr fitToPage="1"/>
  </sheetPr>
  <dimension ref="C1:Q39"/>
  <sheetViews>
    <sheetView showGridLines="0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8" width="12.7109375" customWidth="1"/>
    <col min="9" max="10" width="13.7109375" customWidth="1"/>
    <col min="11" max="19" width="12.7109375" customWidth="1"/>
  </cols>
  <sheetData>
    <row r="1" spans="3:17" ht="21" customHeight="1">
      <c r="M1" s="6" t="s">
        <v>0</v>
      </c>
    </row>
    <row r="2" spans="3:17" ht="15" customHeight="1">
      <c r="M2" s="7" t="s">
        <v>116</v>
      </c>
    </row>
    <row r="3" spans="3:17" ht="21" customHeight="1">
      <c r="M3" s="65" t="s">
        <v>123</v>
      </c>
    </row>
    <row r="4" spans="3:17" ht="15" customHeight="1">
      <c r="P4" s="11"/>
    </row>
    <row r="5" spans="3:17" ht="15" customHeight="1">
      <c r="P5" s="11"/>
    </row>
    <row r="6" spans="3:17" ht="21">
      <c r="C6" s="66" t="s">
        <v>129</v>
      </c>
      <c r="D6" s="58"/>
      <c r="E6" s="59"/>
      <c r="F6" s="59"/>
      <c r="G6" s="51"/>
      <c r="H6" s="57" t="str">
        <f>CONCATENATE(TEXT('Data 1'!L98/1000,"0,0")&amp;" TWh")</f>
        <v>250,4 TWh</v>
      </c>
      <c r="I6" s="59"/>
      <c r="J6" s="59"/>
      <c r="K6" s="59"/>
      <c r="L6" s="59"/>
      <c r="M6" s="59"/>
    </row>
    <row r="7" spans="3:17" ht="15" customHeight="1">
      <c r="C7" s="58"/>
      <c r="D7" s="58"/>
      <c r="E7" s="60"/>
      <c r="F7" s="60"/>
      <c r="G7" s="60"/>
      <c r="H7" s="58"/>
      <c r="I7" s="58"/>
      <c r="J7" s="58"/>
      <c r="K7" s="58"/>
      <c r="L7" s="58"/>
      <c r="M7" s="58"/>
    </row>
    <row r="8" spans="3:17" ht="30" customHeight="1">
      <c r="C8" s="75" t="s">
        <v>1</v>
      </c>
      <c r="D8" s="75" t="s">
        <v>5</v>
      </c>
      <c r="E8" s="82" t="s">
        <v>6</v>
      </c>
      <c r="F8" s="82" t="s">
        <v>7</v>
      </c>
      <c r="G8" s="82" t="s">
        <v>22</v>
      </c>
      <c r="H8" s="75" t="s">
        <v>2</v>
      </c>
      <c r="I8" s="75" t="s">
        <v>3</v>
      </c>
      <c r="J8" s="75" t="s">
        <v>100</v>
      </c>
      <c r="K8" s="82" t="s">
        <v>21</v>
      </c>
      <c r="L8" s="75" t="s">
        <v>8</v>
      </c>
      <c r="M8" s="82" t="s">
        <v>51</v>
      </c>
    </row>
    <row r="9" spans="3:17" ht="15" customHeight="1">
      <c r="C9" s="58"/>
      <c r="D9" s="58"/>
      <c r="E9" s="59"/>
      <c r="F9" s="59"/>
      <c r="G9" s="59"/>
      <c r="H9" s="58"/>
      <c r="I9" s="58"/>
      <c r="J9" s="58"/>
      <c r="K9" s="58"/>
      <c r="L9" s="58"/>
      <c r="M9" s="58"/>
    </row>
    <row r="10" spans="3:17" ht="15.75">
      <c r="C10" s="61">
        <f>'Data 1'!L125/100</f>
        <v>0.11932946157278018</v>
      </c>
      <c r="D10" s="61">
        <f>'Data 1'!L132/100</f>
        <v>0.21666242723070764</v>
      </c>
      <c r="E10" s="61">
        <f>'Data 1'!L133/100</f>
        <v>6.1283357762181814E-2</v>
      </c>
      <c r="F10" s="61">
        <f>'Data 1'!L134/100</f>
        <v>1.8310133226951655E-2</v>
      </c>
      <c r="G10" s="61">
        <f>SUM('Data 1'!L131,'Data 1'!L135,'Data 1'!L138)/100</f>
        <v>2.0815313003472825E-2</v>
      </c>
      <c r="H10" s="61">
        <f>'Data 1'!L127/100</f>
        <v>0.22176840004728984</v>
      </c>
      <c r="I10" s="61">
        <f>'Data 1'!L128/100</f>
        <v>2.0222752557230828E-2</v>
      </c>
      <c r="J10" s="61">
        <f>'Data 1'!L129/100</f>
        <v>1.6764506645650396E-2</v>
      </c>
      <c r="K10" s="61">
        <f>'Data 1'!L130/100</f>
        <v>0.17820008893117489</v>
      </c>
      <c r="L10" s="61">
        <f>'Data 1'!L136/100</f>
        <v>0.10793589304038419</v>
      </c>
      <c r="M10" s="61">
        <f>SUM('Data 1'!L126,'Data 1'!L137)/100</f>
        <v>1.8707665982175815E-2</v>
      </c>
    </row>
    <row r="11" spans="3:17" ht="15">
      <c r="C11" s="54"/>
      <c r="D11" s="54"/>
      <c r="E11" s="58"/>
      <c r="F11" s="58"/>
      <c r="G11" s="62"/>
      <c r="H11" s="62"/>
      <c r="I11" s="58"/>
      <c r="J11" s="58"/>
      <c r="K11" s="54"/>
      <c r="L11" s="54"/>
      <c r="M11" s="54"/>
    </row>
    <row r="12" spans="3:17" ht="21">
      <c r="C12" s="66" t="s">
        <v>99</v>
      </c>
      <c r="D12" s="66"/>
      <c r="E12" s="76"/>
      <c r="F12" s="76"/>
      <c r="G12" s="77"/>
      <c r="H12" s="57" t="str">
        <f>CONCATENATE(TEXT('Data 1'!K98/1000,"0,0")&amp;" TWh")</f>
        <v>260,8 TWh</v>
      </c>
      <c r="I12" s="63"/>
      <c r="J12" s="63"/>
      <c r="K12" s="63"/>
      <c r="L12" s="58"/>
      <c r="M12" s="58"/>
    </row>
    <row r="13" spans="3:17" ht="12.75" customHeight="1">
      <c r="C13" s="66"/>
      <c r="D13" s="66"/>
      <c r="E13" s="76"/>
      <c r="F13" s="76"/>
      <c r="G13" s="77"/>
      <c r="H13" s="57"/>
      <c r="I13" s="63"/>
      <c r="J13" s="63"/>
      <c r="K13" s="63"/>
      <c r="L13" s="58"/>
      <c r="M13" s="58"/>
    </row>
    <row r="14" spans="3:17">
      <c r="C14" s="78">
        <f>'Data 1'!K125/100</f>
        <v>9.4771021447388637E-2</v>
      </c>
      <c r="D14" s="78">
        <f>'Data 1'!K132/100</f>
        <v>0.20797185085246736</v>
      </c>
      <c r="E14" s="78">
        <f>'Data 1'!K133/100</f>
        <v>3.5471610433698821E-2</v>
      </c>
      <c r="F14" s="78">
        <f>'Data 1'!K134/100</f>
        <v>1.9807745235401068E-2</v>
      </c>
      <c r="G14" s="78">
        <f>SUM('Data 1'!K131,'Data 1'!K135,'Data 1'!K138)/100</f>
        <v>1.7370693196456642E-2</v>
      </c>
      <c r="H14" s="78">
        <f>'Data 1'!K127/100</f>
        <v>0.21402628446768066</v>
      </c>
      <c r="I14" s="78">
        <f>'Data 1'!K128/100</f>
        <v>4.8578361059281878E-2</v>
      </c>
      <c r="J14" s="78">
        <f>'Data 1'!K129/100</f>
        <v>2.1836526830031323E-2</v>
      </c>
      <c r="K14" s="78">
        <f>'Data 1'!K130/100</f>
        <v>0.21179395247311622</v>
      </c>
      <c r="L14" s="78">
        <f>'Data 1'!K136/100</f>
        <v>0.11354242666357454</v>
      </c>
      <c r="M14" s="78">
        <f>SUM('Data 1'!K126,'Data 1'!K137)/100</f>
        <v>1.4829527340902864E-2</v>
      </c>
    </row>
    <row r="15" spans="3:17" ht="12.75" customHeight="1">
      <c r="C15" s="64"/>
      <c r="D15" s="58"/>
      <c r="E15" s="64"/>
      <c r="F15" s="64"/>
      <c r="G15" s="64"/>
      <c r="H15" s="58"/>
      <c r="I15" s="58"/>
      <c r="J15" s="58"/>
      <c r="K15" s="64"/>
      <c r="L15" s="58"/>
      <c r="M15" s="58"/>
    </row>
    <row r="16" spans="3:17"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3:17"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3:17" ht="18" customHeight="1">
      <c r="C18" s="66" t="s">
        <v>50</v>
      </c>
      <c r="D18" s="58"/>
      <c r="F18" s="66" t="s">
        <v>48</v>
      </c>
      <c r="G18" s="58"/>
      <c r="I18" s="66" t="s">
        <v>131</v>
      </c>
      <c r="J18" s="58"/>
      <c r="L18" s="66" t="s">
        <v>148</v>
      </c>
      <c r="M18" s="58"/>
    </row>
    <row r="19" spans="3:17" ht="18" customHeight="1">
      <c r="C19" s="66" t="s">
        <v>156</v>
      </c>
      <c r="D19" s="58"/>
      <c r="F19" s="66" t="s">
        <v>101</v>
      </c>
      <c r="G19" s="58"/>
      <c r="I19" s="66" t="s">
        <v>101</v>
      </c>
      <c r="J19" s="58"/>
      <c r="L19" s="66" t="s">
        <v>149</v>
      </c>
      <c r="M19" s="58"/>
    </row>
    <row r="20" spans="3:17">
      <c r="C20" s="58"/>
      <c r="D20" s="58"/>
      <c r="F20" s="58"/>
      <c r="G20" s="58"/>
      <c r="I20" s="58"/>
      <c r="J20" s="58"/>
      <c r="L20" s="58"/>
      <c r="M20" s="58"/>
    </row>
    <row r="21" spans="3:17" ht="21" customHeight="1">
      <c r="C21" s="52" t="str">
        <f>CONCATENATE(TEXT('Data 1'!L330/1000,"0,0")&amp;" GW")</f>
        <v>109,7 GW</v>
      </c>
      <c r="D21" s="51"/>
      <c r="F21" s="79" t="str">
        <f>CONCATENATE(TEXT('Data 1'!L119/1000,"0,0")&amp;" TWh")</f>
        <v>109,3 TWh</v>
      </c>
      <c r="G21" s="51"/>
      <c r="I21" s="79"/>
      <c r="J21" s="51"/>
      <c r="L21" s="81" t="str">
        <f>CONCATENATE(TEXT('Data 1'!L158,"0,0")&amp;" %")</f>
        <v>-27,3 %</v>
      </c>
      <c r="M21" s="51"/>
    </row>
    <row r="22" spans="3:17" ht="12.75" customHeight="1">
      <c r="C22" s="51"/>
      <c r="D22" s="51"/>
      <c r="F22" s="51"/>
      <c r="G22" s="51"/>
      <c r="I22" s="51"/>
      <c r="J22" s="51"/>
      <c r="L22" s="51"/>
      <c r="M22" s="51"/>
    </row>
    <row r="23" spans="3:17" ht="21">
      <c r="C23" s="51"/>
      <c r="D23" s="51"/>
      <c r="F23" s="81" t="str">
        <f>CONCATENATE(TEXT('Data 1'!L139,"0,0")&amp;" %")</f>
        <v>43,6 %</v>
      </c>
      <c r="G23" s="51"/>
      <c r="I23" s="81" t="str">
        <f>CONCATENATE(TEXT('Data 1'!L147,"0,0")&amp;" %")</f>
        <v>66,9 %</v>
      </c>
      <c r="J23" s="51"/>
      <c r="L23" s="81"/>
      <c r="M23" s="51"/>
    </row>
    <row r="24" spans="3:17" ht="18.75">
      <c r="C24" s="68" t="s">
        <v>124</v>
      </c>
      <c r="D24" s="51"/>
      <c r="F24" s="128" t="s">
        <v>49</v>
      </c>
      <c r="G24" s="51"/>
      <c r="I24" s="128" t="s">
        <v>49</v>
      </c>
      <c r="J24" s="51"/>
      <c r="L24" s="128"/>
      <c r="M24" s="51"/>
    </row>
    <row r="25" spans="3:17">
      <c r="C25" s="51"/>
      <c r="D25" s="51"/>
      <c r="F25" s="51"/>
      <c r="G25" s="51"/>
      <c r="I25" s="51"/>
      <c r="J25" s="51"/>
      <c r="L25" s="51"/>
      <c r="M25" s="51"/>
    </row>
    <row r="26" spans="3:17" ht="21" customHeight="1">
      <c r="C26" s="130">
        <f>(('Data 1'!L330/'Data 1'!K330)-1)</f>
        <v>-7.0724631350449485E-3</v>
      </c>
      <c r="D26" s="51"/>
      <c r="F26" s="128" t="str">
        <f>CONCATENATE(TEXT('Data 1'!K139,"0,0")&amp;" % en 2019")</f>
        <v>37,5 % en 2019</v>
      </c>
      <c r="G26" s="51"/>
      <c r="I26" s="128" t="str">
        <f>CONCATENATE(TEXT('Data 1'!K147,"0,0")&amp;" % en 2019")</f>
        <v>59,6 % en 2019</v>
      </c>
      <c r="J26" s="51"/>
      <c r="L26" s="129" t="str">
        <f>CONCATENATE(TEXT('Data 1'!K158,"0,0")&amp;" % en 2019")</f>
        <v>-23,0 % en 2019</v>
      </c>
      <c r="M26" s="51"/>
    </row>
    <row r="27" spans="3:17" ht="42.75" customHeight="1">
      <c r="C27" s="145" t="s">
        <v>155</v>
      </c>
      <c r="D27" s="145"/>
      <c r="F27" s="51"/>
      <c r="G27" s="51"/>
      <c r="I27" s="51"/>
      <c r="J27" s="51"/>
      <c r="L27" s="51"/>
      <c r="M27" s="51"/>
    </row>
    <row r="30" spans="3:17" ht="15">
      <c r="C30" s="66" t="s">
        <v>52</v>
      </c>
      <c r="D30" s="58"/>
      <c r="F30" s="66" t="s">
        <v>65</v>
      </c>
      <c r="G30" s="58"/>
      <c r="H30" s="50"/>
      <c r="I30" s="89" t="s">
        <v>67</v>
      </c>
      <c r="J30" s="58"/>
    </row>
    <row r="31" spans="3:17" ht="15">
      <c r="C31" s="83" t="s">
        <v>132</v>
      </c>
      <c r="D31" s="58"/>
      <c r="F31" s="83" t="s">
        <v>66</v>
      </c>
      <c r="G31" s="58"/>
      <c r="H31" s="50"/>
      <c r="I31" s="89" t="s">
        <v>133</v>
      </c>
      <c r="J31" s="58"/>
    </row>
    <row r="32" spans="3:17" ht="15">
      <c r="C32" s="131" t="s">
        <v>53</v>
      </c>
      <c r="D32" s="58"/>
      <c r="F32" s="58"/>
      <c r="G32" s="58"/>
      <c r="H32" s="50"/>
      <c r="I32" s="58"/>
      <c r="J32" s="58"/>
    </row>
    <row r="33" spans="3:10" ht="21">
      <c r="C33" s="132" t="str">
        <f>CONCATENATE(TEXT('Data 1'!L359/1000,"0,0")&amp;" TWh")</f>
        <v>18,7 TWh</v>
      </c>
      <c r="D33" s="51"/>
      <c r="F33" s="132" t="str">
        <f>CONCATENATE(TEXT(-'Data 1'!L23/1000,"0,0")&amp;" TWh")</f>
        <v>1,4 TWh</v>
      </c>
      <c r="G33" s="51"/>
      <c r="I33" s="133" t="str">
        <f>CONCATENATE(TEXT('Data 1'!M379,"0.000")&amp;" km")</f>
        <v>44.549 km</v>
      </c>
      <c r="J33" s="51"/>
    </row>
    <row r="34" spans="3:10" ht="15">
      <c r="C34" s="131" t="s">
        <v>54</v>
      </c>
      <c r="D34" s="51"/>
      <c r="F34" s="51"/>
      <c r="G34" s="51"/>
      <c r="I34" s="94" t="s">
        <v>68</v>
      </c>
      <c r="J34" s="51"/>
    </row>
    <row r="35" spans="3:10" ht="21">
      <c r="C35" s="132" t="str">
        <f>CONCATENATE(TEXT('Data 1'!L364/1000,"0,0")&amp;" TWh")</f>
        <v>14,8 TWh</v>
      </c>
      <c r="D35" s="51"/>
      <c r="F35" s="81"/>
      <c r="G35" s="51"/>
      <c r="I35" s="88"/>
      <c r="J35" s="51"/>
    </row>
    <row r="36" spans="3:10" ht="18.75">
      <c r="C36" s="128" t="s">
        <v>94</v>
      </c>
      <c r="D36" s="51"/>
      <c r="F36" s="80"/>
      <c r="G36" s="51"/>
      <c r="I36" s="80"/>
      <c r="J36" s="51"/>
    </row>
    <row r="37" spans="3:10" ht="21">
      <c r="C37" s="81" t="str">
        <f>CONCATENATE(TEXT('Data 1'!L369/1000,"0,0")&amp;" TWh")</f>
        <v>3,9 TWh</v>
      </c>
      <c r="D37" s="51"/>
      <c r="F37" s="130">
        <f>'Data 1'!L42/'Data 1'!L43</f>
        <v>0.28658052427766778</v>
      </c>
      <c r="G37" s="51"/>
      <c r="I37" s="133" t="s">
        <v>130</v>
      </c>
      <c r="J37" s="51"/>
    </row>
    <row r="38" spans="3:10" ht="40.5" customHeight="1">
      <c r="C38" s="128" t="str">
        <f>CONCATENATE(TEXT('Data 1'!K369/1000,"0,0")&amp;" TWh en 2019")</f>
        <v>6,9 TWh en 2019</v>
      </c>
      <c r="D38" s="51"/>
      <c r="F38" s="144" t="s">
        <v>153</v>
      </c>
      <c r="G38" s="144"/>
      <c r="I38" s="143" t="s">
        <v>115</v>
      </c>
      <c r="J38" s="143"/>
    </row>
    <row r="39" spans="3:10">
      <c r="C39" s="127"/>
      <c r="D39" s="127"/>
      <c r="F39" s="51"/>
      <c r="G39" s="51"/>
      <c r="I39" s="127"/>
      <c r="J39" s="127"/>
    </row>
  </sheetData>
  <mergeCells count="3">
    <mergeCell ref="I38:J38"/>
    <mergeCell ref="F38:G38"/>
    <mergeCell ref="C27:D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82"/>
  <sheetViews>
    <sheetView topLeftCell="A24" zoomScaleNormal="100" workbookViewId="0">
      <selection activeCell="N11" sqref="N11"/>
    </sheetView>
  </sheetViews>
  <sheetFormatPr baseColWidth="10" defaultRowHeight="12.75"/>
  <cols>
    <col min="1" max="1" width="2.7109375" style="12" customWidth="1"/>
    <col min="2" max="2" width="29.85546875" style="12" customWidth="1"/>
    <col min="3" max="3" width="11.7109375" style="12" bestFit="1" customWidth="1"/>
    <col min="4" max="16384" width="11.42578125" style="12"/>
  </cols>
  <sheetData>
    <row r="1" spans="2:17" ht="21" customHeight="1">
      <c r="M1" s="6" t="s">
        <v>0</v>
      </c>
    </row>
    <row r="2" spans="2:17" ht="15" customHeight="1">
      <c r="M2" s="7" t="s">
        <v>116</v>
      </c>
    </row>
    <row r="3" spans="2:17" ht="21" customHeight="1">
      <c r="M3" s="65" t="s">
        <v>123</v>
      </c>
    </row>
    <row r="6" spans="2:17" s="14" customFormat="1" ht="11.25" customHeight="1">
      <c r="B6" s="13" t="s">
        <v>74</v>
      </c>
      <c r="C6" s="21"/>
      <c r="D6" s="21"/>
      <c r="E6" s="22"/>
      <c r="F6" s="21"/>
      <c r="G6" s="21"/>
      <c r="H6" s="22"/>
      <c r="I6" s="21"/>
      <c r="J6" s="21"/>
      <c r="K6" s="22"/>
      <c r="L6" s="21"/>
      <c r="M6" s="21"/>
      <c r="N6" s="22"/>
      <c r="O6" s="21"/>
      <c r="P6" s="21"/>
      <c r="Q6" s="22"/>
    </row>
    <row r="7" spans="2:17" s="14" customFormat="1" ht="11.25" customHeight="1">
      <c r="B7" s="55"/>
      <c r="C7" s="56">
        <v>2011</v>
      </c>
      <c r="D7" s="56">
        <v>2012</v>
      </c>
      <c r="E7" s="56">
        <v>2013</v>
      </c>
      <c r="F7" s="56">
        <v>2014</v>
      </c>
      <c r="G7" s="56">
        <v>2015</v>
      </c>
      <c r="H7" s="56">
        <v>2016</v>
      </c>
      <c r="I7" s="56">
        <v>2017</v>
      </c>
      <c r="J7" s="56">
        <v>2018</v>
      </c>
      <c r="K7" s="56">
        <v>2019</v>
      </c>
      <c r="L7" s="56">
        <v>2020</v>
      </c>
      <c r="M7" s="93" t="s">
        <v>117</v>
      </c>
      <c r="N7" s="22"/>
      <c r="Q7" s="22"/>
    </row>
    <row r="8" spans="2:17" s="14" customFormat="1" ht="11.25" customHeight="1">
      <c r="B8" s="8" t="s">
        <v>1</v>
      </c>
      <c r="C8" s="4">
        <v>30435.66340021</v>
      </c>
      <c r="D8" s="4">
        <v>20651.797535297999</v>
      </c>
      <c r="E8" s="4">
        <v>37382.405530940006</v>
      </c>
      <c r="F8" s="4">
        <v>39178.524159203997</v>
      </c>
      <c r="G8" s="4">
        <v>28379.011570850002</v>
      </c>
      <c r="H8" s="4">
        <v>36111.434365772002</v>
      </c>
      <c r="I8" s="4">
        <v>18447.346771659999</v>
      </c>
      <c r="J8" s="4">
        <v>34113.964229872006</v>
      </c>
      <c r="K8" s="4">
        <v>24715.505746512001</v>
      </c>
      <c r="L8" s="4">
        <v>29875.412462601991</v>
      </c>
      <c r="M8" s="3">
        <f>((L8/K8)-1)*100</f>
        <v>20.877204654483705</v>
      </c>
      <c r="N8" s="22"/>
      <c r="Q8" s="22"/>
    </row>
    <row r="9" spans="2:17" s="14" customFormat="1" ht="11.25" customHeight="1">
      <c r="B9" s="8" t="s">
        <v>18</v>
      </c>
      <c r="C9" s="4">
        <v>2183.53623079</v>
      </c>
      <c r="D9" s="4">
        <v>3201.889743702</v>
      </c>
      <c r="E9" s="4">
        <v>3289.6771840599999</v>
      </c>
      <c r="F9" s="4">
        <v>3415.996026796</v>
      </c>
      <c r="G9" s="4">
        <v>2895.3657881499998</v>
      </c>
      <c r="H9" s="4">
        <v>3134.328910228</v>
      </c>
      <c r="I9" s="4">
        <v>2248.9644183400001</v>
      </c>
      <c r="J9" s="4">
        <v>1993.996008694</v>
      </c>
      <c r="K9" s="4">
        <v>1645.505056342</v>
      </c>
      <c r="L9" s="4">
        <v>2667.8404621979976</v>
      </c>
      <c r="M9" s="3">
        <f t="shared" ref="M9:M23" si="0">((L9/K9)-1)*100</f>
        <v>62.128973831820076</v>
      </c>
      <c r="N9" s="22"/>
      <c r="Q9" s="22"/>
    </row>
    <row r="10" spans="2:17" s="14" customFormat="1" ht="11.25" customHeight="1">
      <c r="B10" s="8" t="s">
        <v>2</v>
      </c>
      <c r="C10" s="4">
        <v>55005.874866999999</v>
      </c>
      <c r="D10" s="4">
        <v>58595.438799000003</v>
      </c>
      <c r="E10" s="4">
        <v>54210.788119000004</v>
      </c>
      <c r="F10" s="4">
        <v>54781.281335</v>
      </c>
      <c r="G10" s="4">
        <v>54661.803305000001</v>
      </c>
      <c r="H10" s="4">
        <v>56021.682058999999</v>
      </c>
      <c r="I10" s="4">
        <v>55539.351045999996</v>
      </c>
      <c r="J10" s="4">
        <v>53197.617429999998</v>
      </c>
      <c r="K10" s="4">
        <v>55824.226774999996</v>
      </c>
      <c r="L10" s="4">
        <v>55527.976481487771</v>
      </c>
      <c r="M10" s="3">
        <f t="shared" si="0"/>
        <v>-0.53068409654156712</v>
      </c>
      <c r="N10" s="22"/>
      <c r="Q10" s="22"/>
    </row>
    <row r="11" spans="2:17" s="14" customFormat="1" ht="11.25" customHeight="1">
      <c r="B11" s="8" t="s">
        <v>3</v>
      </c>
      <c r="C11" s="4">
        <v>40412.479847999995</v>
      </c>
      <c r="D11" s="4">
        <v>51097.323935999993</v>
      </c>
      <c r="E11" s="4">
        <v>37090.897312000001</v>
      </c>
      <c r="F11" s="4">
        <v>41058.278770999998</v>
      </c>
      <c r="G11" s="4">
        <v>50754.794511</v>
      </c>
      <c r="H11" s="4">
        <v>35010.909780000002</v>
      </c>
      <c r="I11" s="4">
        <v>42421.888556000005</v>
      </c>
      <c r="J11" s="4">
        <v>34881.034784999996</v>
      </c>
      <c r="K11" s="4">
        <v>10670.697703</v>
      </c>
      <c r="L11" s="4">
        <v>4905.0217045531999</v>
      </c>
      <c r="M11" s="3">
        <f t="shared" si="0"/>
        <v>-54.032792971220765</v>
      </c>
      <c r="N11" s="22"/>
      <c r="Q11" s="22"/>
    </row>
    <row r="12" spans="2:17" s="14" customFormat="1" ht="11.25" customHeight="1">
      <c r="B12" s="8" t="s">
        <v>20</v>
      </c>
      <c r="C12" s="4">
        <v>-10.012343000000001</v>
      </c>
      <c r="D12" s="4">
        <v>-3.8126410000000002</v>
      </c>
      <c r="E12" s="4">
        <v>-2.012715</v>
      </c>
      <c r="F12" s="4">
        <v>-0.81973099999999999</v>
      </c>
      <c r="G12" s="4">
        <v>1.6617999999999997E-2</v>
      </c>
      <c r="H12" s="4">
        <v>2.3499999999999999E-4</v>
      </c>
      <c r="I12" s="4">
        <v>-9.9999999999999995E-7</v>
      </c>
      <c r="J12" s="4">
        <v>-9.9999999999999995E-7</v>
      </c>
      <c r="K12" s="4">
        <v>-9.9999999999999995E-7</v>
      </c>
      <c r="L12" s="4">
        <v>0</v>
      </c>
      <c r="M12" s="3" t="s">
        <v>19</v>
      </c>
      <c r="N12" s="22"/>
      <c r="Q12" s="22"/>
    </row>
    <row r="13" spans="2:17" s="14" customFormat="1" ht="11.25" customHeight="1">
      <c r="B13" s="8" t="s">
        <v>21</v>
      </c>
      <c r="C13" s="4">
        <v>49193.213946000003</v>
      </c>
      <c r="D13" s="4">
        <v>37316.789670999999</v>
      </c>
      <c r="E13" s="4">
        <v>24126.557304999998</v>
      </c>
      <c r="F13" s="4">
        <v>21120.508624999999</v>
      </c>
      <c r="G13" s="4">
        <v>25034.545559999999</v>
      </c>
      <c r="H13" s="4">
        <v>25463.066258000003</v>
      </c>
      <c r="I13" s="4">
        <v>33647.980778999998</v>
      </c>
      <c r="J13" s="4">
        <v>26402.923068999997</v>
      </c>
      <c r="K13" s="4">
        <v>51143.255619000003</v>
      </c>
      <c r="L13" s="4">
        <v>38936.698531622402</v>
      </c>
      <c r="M13" s="3">
        <f t="shared" si="0"/>
        <v>-23.867383762802142</v>
      </c>
      <c r="N13" s="22"/>
      <c r="Q13" s="22"/>
    </row>
    <row r="14" spans="2:17" s="14" customFormat="1" ht="11.25" customHeight="1">
      <c r="B14" s="8" t="s">
        <v>5</v>
      </c>
      <c r="C14" s="4">
        <v>42115.787092999999</v>
      </c>
      <c r="D14" s="4">
        <v>48156.257946999998</v>
      </c>
      <c r="E14" s="4">
        <v>54344.500781999996</v>
      </c>
      <c r="F14" s="4">
        <v>50636.662464000001</v>
      </c>
      <c r="G14" s="4">
        <v>47715.882145000003</v>
      </c>
      <c r="H14" s="4">
        <v>47298.163668000001</v>
      </c>
      <c r="I14" s="4">
        <v>47508.105951999903</v>
      </c>
      <c r="J14" s="4">
        <v>48955.703093000098</v>
      </c>
      <c r="K14" s="4">
        <v>53100.854504000003</v>
      </c>
      <c r="L14" s="4">
        <v>53108.896271999998</v>
      </c>
      <c r="M14" s="3">
        <f t="shared" si="0"/>
        <v>1.5144328796790063E-2</v>
      </c>
      <c r="N14" s="22"/>
      <c r="Q14" s="22"/>
    </row>
    <row r="15" spans="2:17" s="14" customFormat="1" ht="11.25" customHeight="1">
      <c r="B15" s="8" t="s">
        <v>6</v>
      </c>
      <c r="C15" s="4">
        <v>7105.8708019999895</v>
      </c>
      <c r="D15" s="4">
        <v>7830.0693760000004</v>
      </c>
      <c r="E15" s="4">
        <v>7918.3761039999999</v>
      </c>
      <c r="F15" s="4">
        <v>7802.7909200000004</v>
      </c>
      <c r="G15" s="4">
        <v>7845.3145369999993</v>
      </c>
      <c r="H15" s="4">
        <v>7579.2182120000007</v>
      </c>
      <c r="I15" s="4">
        <v>8000.7121639999996</v>
      </c>
      <c r="J15" s="4">
        <v>7380.5475820000102</v>
      </c>
      <c r="K15" s="4">
        <v>8851.9733770000003</v>
      </c>
      <c r="L15" s="4">
        <v>14958.158527203001</v>
      </c>
      <c r="M15" s="3">
        <f t="shared" si="0"/>
        <v>68.981060947027288</v>
      </c>
      <c r="N15" s="22"/>
      <c r="Q15" s="22"/>
    </row>
    <row r="16" spans="2:17" s="14" customFormat="1" ht="11.25" customHeight="1">
      <c r="B16" s="8" t="s">
        <v>7</v>
      </c>
      <c r="C16" s="4">
        <v>1861.6415490000002</v>
      </c>
      <c r="D16" s="4">
        <v>3447.4936120000002</v>
      </c>
      <c r="E16" s="4">
        <v>4441.5275350000002</v>
      </c>
      <c r="F16" s="4">
        <v>4958.9149260000004</v>
      </c>
      <c r="G16" s="4">
        <v>5085.2355140000009</v>
      </c>
      <c r="H16" s="4">
        <v>5071.2017019999994</v>
      </c>
      <c r="I16" s="4">
        <v>5347.9524650000003</v>
      </c>
      <c r="J16" s="4">
        <v>4424.3266739999999</v>
      </c>
      <c r="K16" s="4">
        <v>5166.4311449999996</v>
      </c>
      <c r="L16" s="4">
        <v>4584.6236297969999</v>
      </c>
      <c r="M16" s="3">
        <f t="shared" si="0"/>
        <v>-11.261303961557001</v>
      </c>
      <c r="N16" s="22"/>
      <c r="Q16" s="22"/>
    </row>
    <row r="17" spans="2:17" s="14" customFormat="1" ht="11.25" customHeight="1">
      <c r="B17" s="8" t="s">
        <v>22</v>
      </c>
      <c r="C17" s="4">
        <v>3705.130529</v>
      </c>
      <c r="D17" s="4">
        <v>3782.4631420000001</v>
      </c>
      <c r="E17" s="4">
        <v>4325.2771579999999</v>
      </c>
      <c r="F17" s="4">
        <v>3805.563474</v>
      </c>
      <c r="G17" s="4">
        <v>3422.5667469999999</v>
      </c>
      <c r="H17" s="4">
        <v>3415.0193380000001</v>
      </c>
      <c r="I17" s="4">
        <v>3599.155882</v>
      </c>
      <c r="J17" s="4">
        <v>3547.1749180000002</v>
      </c>
      <c r="K17" s="4">
        <v>3606.802287</v>
      </c>
      <c r="L17" s="4">
        <v>4454.0057129999996</v>
      </c>
      <c r="M17" s="3">
        <f t="shared" si="0"/>
        <v>23.48904538110046</v>
      </c>
      <c r="N17" s="22"/>
      <c r="Q17" s="22"/>
    </row>
    <row r="18" spans="2:17" s="14" customFormat="1" ht="11.25" customHeight="1">
      <c r="B18" s="8" t="s">
        <v>8</v>
      </c>
      <c r="C18" s="4">
        <v>30555.110683999999</v>
      </c>
      <c r="D18" s="4">
        <v>32417.788432999998</v>
      </c>
      <c r="E18" s="4">
        <v>30809.943767000001</v>
      </c>
      <c r="F18" s="4">
        <v>24128.021298</v>
      </c>
      <c r="G18" s="4">
        <v>25169.328039</v>
      </c>
      <c r="H18" s="4">
        <v>25873.942241999997</v>
      </c>
      <c r="I18" s="4">
        <v>28175.562469</v>
      </c>
      <c r="J18" s="4">
        <v>28971.782793999999</v>
      </c>
      <c r="K18" s="4">
        <v>29580.711578999999</v>
      </c>
      <c r="L18" s="4">
        <v>26992.954569999998</v>
      </c>
      <c r="M18" s="3">
        <f t="shared" si="0"/>
        <v>-8.7481229181690985</v>
      </c>
      <c r="N18" s="22"/>
      <c r="Q18" s="22"/>
    </row>
    <row r="19" spans="2:17" s="14" customFormat="1" ht="11.25" customHeight="1">
      <c r="B19" s="8" t="s">
        <v>9</v>
      </c>
      <c r="C19" s="4">
        <v>1160.5408359999999</v>
      </c>
      <c r="D19" s="4">
        <v>1465.4718789999999</v>
      </c>
      <c r="E19" s="4">
        <v>1500.150535</v>
      </c>
      <c r="F19" s="4">
        <v>1833.3435569999999</v>
      </c>
      <c r="G19" s="4">
        <v>2324.7147409999998</v>
      </c>
      <c r="H19" s="4">
        <v>2471.3086455000002</v>
      </c>
      <c r="I19" s="4">
        <v>2459.1288610000001</v>
      </c>
      <c r="J19" s="4">
        <v>2293.8582025000001</v>
      </c>
      <c r="K19" s="4">
        <v>2071.6030475000002</v>
      </c>
      <c r="L19" s="4">
        <v>1895.8075969999998</v>
      </c>
      <c r="M19" s="3">
        <f t="shared" si="0"/>
        <v>-8.4859621495609225</v>
      </c>
      <c r="N19" s="22"/>
      <c r="Q19" s="22"/>
    </row>
    <row r="20" spans="2:17" s="14" customFormat="1" ht="11.25" customHeight="1">
      <c r="B20" s="8" t="s">
        <v>10</v>
      </c>
      <c r="C20" s="4">
        <v>608.8261</v>
      </c>
      <c r="D20" s="4">
        <v>595.84598199999994</v>
      </c>
      <c r="E20" s="4">
        <v>438.65400900000003</v>
      </c>
      <c r="F20" s="4">
        <v>545.53808600000002</v>
      </c>
      <c r="G20" s="4">
        <v>662.65547500000002</v>
      </c>
      <c r="H20" s="4">
        <v>649.73991049999995</v>
      </c>
      <c r="I20" s="4">
        <v>728.150432999999</v>
      </c>
      <c r="J20" s="4">
        <v>732.97066150000001</v>
      </c>
      <c r="K20" s="4">
        <v>738.95349049999993</v>
      </c>
      <c r="L20" s="4">
        <v>607.99843599999986</v>
      </c>
      <c r="M20" s="3">
        <f t="shared" si="0"/>
        <v>-17.72169103787461</v>
      </c>
      <c r="N20" s="22"/>
      <c r="Q20" s="22"/>
    </row>
    <row r="21" spans="2:17" s="14" customFormat="1" ht="11.25" customHeight="1">
      <c r="B21" s="28" t="s">
        <v>11</v>
      </c>
      <c r="C21" s="29">
        <f t="shared" ref="C21:J21" si="1">SUM(C8:C20)</f>
        <v>264333.66354199999</v>
      </c>
      <c r="D21" s="29">
        <f t="shared" si="1"/>
        <v>268554.817415</v>
      </c>
      <c r="E21" s="29">
        <f t="shared" si="1"/>
        <v>259876.74262599996</v>
      </c>
      <c r="F21" s="29">
        <f t="shared" si="1"/>
        <v>253264.60391099993</v>
      </c>
      <c r="G21" s="29">
        <f t="shared" si="1"/>
        <v>253951.234551</v>
      </c>
      <c r="H21" s="29">
        <f t="shared" si="1"/>
        <v>248100.01532599999</v>
      </c>
      <c r="I21" s="29">
        <f t="shared" si="1"/>
        <v>248124.29979599992</v>
      </c>
      <c r="J21" s="29">
        <f t="shared" si="1"/>
        <v>246895.89944656612</v>
      </c>
      <c r="K21" s="29">
        <f>SUM(K8:K20)</f>
        <v>247116.52032885395</v>
      </c>
      <c r="L21" s="29">
        <f>SUM(L8:L20)</f>
        <v>238515.39438746331</v>
      </c>
      <c r="M21" s="30">
        <f t="shared" si="0"/>
        <v>-3.4805952794837669</v>
      </c>
      <c r="N21" s="22"/>
      <c r="Q21" s="22"/>
    </row>
    <row r="22" spans="2:17" s="14" customFormat="1" ht="11.25" customHeight="1">
      <c r="B22" s="16" t="s">
        <v>12</v>
      </c>
      <c r="C22" s="4">
        <v>-3241.4938166299999</v>
      </c>
      <c r="D22" s="4">
        <v>-5059.13099959801</v>
      </c>
      <c r="E22" s="4">
        <v>-5955.7760918140002</v>
      </c>
      <c r="F22" s="4">
        <v>-5385.7688595580003</v>
      </c>
      <c r="G22" s="4">
        <v>-4512.2514306060002</v>
      </c>
      <c r="H22" s="4">
        <v>-4827.5850676680002</v>
      </c>
      <c r="I22" s="4">
        <v>-3607.5809876580001</v>
      </c>
      <c r="J22" s="4">
        <v>-3198.4323789730001</v>
      </c>
      <c r="K22" s="4">
        <v>-3027.310623246</v>
      </c>
      <c r="L22" s="4">
        <v>-4527.3848438392861</v>
      </c>
      <c r="M22" s="3">
        <f t="shared" si="0"/>
        <v>49.551380987288596</v>
      </c>
      <c r="N22" s="22"/>
      <c r="Q22" s="22"/>
    </row>
    <row r="23" spans="2:17" s="14" customFormat="1" ht="11.25" customHeight="1">
      <c r="B23" s="16" t="s">
        <v>23</v>
      </c>
      <c r="C23" s="4">
        <v>-0.66324899999999998</v>
      </c>
      <c r="D23" s="4">
        <v>-575.56301800000097</v>
      </c>
      <c r="E23" s="4">
        <v>-1268.5086000000001</v>
      </c>
      <c r="F23" s="4">
        <v>-1298.258934</v>
      </c>
      <c r="G23" s="4">
        <v>-1335.7925439999999</v>
      </c>
      <c r="H23" s="4">
        <v>-1250.5839680000001</v>
      </c>
      <c r="I23" s="4">
        <v>-1179.306642</v>
      </c>
      <c r="J23" s="4">
        <v>-1233.358142</v>
      </c>
      <c r="K23" s="4">
        <v>-1694.8405220000002</v>
      </c>
      <c r="L23" s="4">
        <v>-1408.3031274285715</v>
      </c>
      <c r="M23" s="3">
        <f t="shared" si="0"/>
        <v>-16.906451719321623</v>
      </c>
      <c r="N23" s="22"/>
      <c r="Q23" s="22"/>
    </row>
    <row r="24" spans="2:17" s="14" customFormat="1" ht="11.25" customHeight="1">
      <c r="B24" s="16" t="s">
        <v>24</v>
      </c>
      <c r="C24" s="4">
        <v>-6090.1263339999996</v>
      </c>
      <c r="D24" s="4">
        <v>-11199.953591</v>
      </c>
      <c r="E24" s="4">
        <v>-6732.1324500000001</v>
      </c>
      <c r="F24" s="4">
        <v>-3406.1240240000002</v>
      </c>
      <c r="G24" s="4">
        <v>-133.163163</v>
      </c>
      <c r="H24" s="4">
        <v>7658.0436909999999</v>
      </c>
      <c r="I24" s="4">
        <v>9168.9935229999992</v>
      </c>
      <c r="J24" s="4">
        <v>11102.311146</v>
      </c>
      <c r="K24" s="4">
        <v>6862.325049</v>
      </c>
      <c r="L24" s="4">
        <v>3856.6285868984164</v>
      </c>
      <c r="M24" s="3">
        <f>((L24/K24)-1)*100</f>
        <v>-43.799972176188064</v>
      </c>
      <c r="N24" s="22"/>
      <c r="Q24" s="22"/>
    </row>
    <row r="25" spans="2:17" s="14" customFormat="1" ht="11.25" customHeight="1">
      <c r="B25" s="31" t="s">
        <v>13</v>
      </c>
      <c r="C25" s="32">
        <f t="shared" ref="C25:J25" si="2">SUM(C21:C24)</f>
        <v>255001.38014236998</v>
      </c>
      <c r="D25" s="32">
        <f t="shared" si="2"/>
        <v>251720.169806402</v>
      </c>
      <c r="E25" s="32">
        <f t="shared" si="2"/>
        <v>245920.32548418595</v>
      </c>
      <c r="F25" s="32">
        <f t="shared" si="2"/>
        <v>243174.45209344191</v>
      </c>
      <c r="G25" s="32">
        <f t="shared" si="2"/>
        <v>247970.02741339401</v>
      </c>
      <c r="H25" s="32">
        <f t="shared" si="2"/>
        <v>249679.889981332</v>
      </c>
      <c r="I25" s="32">
        <f t="shared" si="2"/>
        <v>252506.40568934192</v>
      </c>
      <c r="J25" s="32">
        <f t="shared" si="2"/>
        <v>253566.42007159311</v>
      </c>
      <c r="K25" s="32">
        <f>SUM(K21:K24)</f>
        <v>249256.69423260793</v>
      </c>
      <c r="L25" s="32">
        <f>SUM(L21:L24)</f>
        <v>236436.33500309387</v>
      </c>
      <c r="M25" s="33">
        <f>((L25/K25)-1)*100</f>
        <v>-5.1434362751958895</v>
      </c>
      <c r="N25" s="22"/>
      <c r="Q25" s="22"/>
    </row>
    <row r="26" spans="2:17" s="14" customFormat="1" ht="11.25" customHeight="1">
      <c r="B26" s="20"/>
      <c r="C26" s="21"/>
      <c r="D26" s="21"/>
      <c r="E26" s="22"/>
      <c r="F26" s="21"/>
      <c r="G26" s="21"/>
      <c r="H26" s="22"/>
      <c r="I26" s="21"/>
      <c r="J26" s="21"/>
      <c r="K26" s="22"/>
      <c r="L26" s="21"/>
      <c r="M26" s="21"/>
      <c r="N26" s="22"/>
      <c r="O26" s="21"/>
      <c r="P26" s="21"/>
      <c r="Q26" s="22"/>
    </row>
    <row r="27" spans="2:17" s="14" customFormat="1" ht="11.25" customHeight="1">
      <c r="B27" s="13" t="s">
        <v>75</v>
      </c>
      <c r="C27" s="21"/>
      <c r="D27" s="21"/>
      <c r="E27" s="22"/>
      <c r="F27" s="21"/>
      <c r="G27" s="21"/>
      <c r="H27" s="22"/>
      <c r="I27" s="21"/>
      <c r="J27" s="21"/>
      <c r="K27" s="22"/>
      <c r="L27" s="21"/>
      <c r="M27" s="21"/>
      <c r="N27" s="22"/>
      <c r="O27" s="21"/>
      <c r="P27" s="21"/>
      <c r="Q27" s="22"/>
    </row>
    <row r="28" spans="2:17" s="14" customFormat="1" ht="11.25" customHeight="1">
      <c r="B28" s="55"/>
      <c r="C28" s="56">
        <v>2011</v>
      </c>
      <c r="D28" s="56">
        <v>2012</v>
      </c>
      <c r="E28" s="56">
        <v>2013</v>
      </c>
      <c r="F28" s="56">
        <v>2014</v>
      </c>
      <c r="G28" s="56">
        <v>2015</v>
      </c>
      <c r="H28" s="56">
        <v>2016</v>
      </c>
      <c r="I28" s="56">
        <v>2017</v>
      </c>
      <c r="J28" s="56">
        <v>2018</v>
      </c>
      <c r="K28" s="56">
        <v>2019</v>
      </c>
      <c r="L28" s="56">
        <v>2020</v>
      </c>
      <c r="M28" s="93" t="s">
        <v>117</v>
      </c>
      <c r="N28" s="22"/>
      <c r="O28" s="98"/>
      <c r="P28" s="21"/>
      <c r="Q28" s="22"/>
    </row>
    <row r="29" spans="2:17" s="14" customFormat="1" ht="11.25" customHeight="1">
      <c r="B29" s="16" t="s">
        <v>3</v>
      </c>
      <c r="C29" s="18">
        <v>2764.9845290000003</v>
      </c>
      <c r="D29" s="18">
        <v>2682.5672370000002</v>
      </c>
      <c r="E29" s="18">
        <v>2350.6404040000002</v>
      </c>
      <c r="F29" s="18">
        <v>2187.7777259999998</v>
      </c>
      <c r="G29" s="18">
        <v>1861.6830870000001</v>
      </c>
      <c r="H29" s="18">
        <v>2302.8679710000001</v>
      </c>
      <c r="I29" s="18">
        <v>2597.531837</v>
      </c>
      <c r="J29" s="18">
        <v>2395.770931</v>
      </c>
      <c r="K29" s="18">
        <v>1999.939695</v>
      </c>
      <c r="L29" s="18">
        <v>158.4973908156939</v>
      </c>
      <c r="M29" s="17">
        <f t="shared" ref="M29:M34" si="3">((L29/K29)-1)*100</f>
        <v>-92.074891497381188</v>
      </c>
      <c r="N29" s="22"/>
      <c r="O29" s="21"/>
      <c r="P29" s="21"/>
      <c r="Q29" s="22"/>
    </row>
    <row r="30" spans="2:17" s="14" customFormat="1" ht="11.25" customHeight="1">
      <c r="B30" s="96" t="s">
        <v>26</v>
      </c>
      <c r="C30" s="97">
        <v>923.46236399999998</v>
      </c>
      <c r="D30" s="97">
        <v>933.28890000000001</v>
      </c>
      <c r="E30" s="97">
        <v>738.66198199999997</v>
      </c>
      <c r="F30" s="97">
        <v>666.78356000000008</v>
      </c>
      <c r="G30" s="97">
        <v>724.983971</v>
      </c>
      <c r="H30" s="97">
        <v>961.26081999999906</v>
      </c>
      <c r="I30" s="97">
        <v>795.98756000000003</v>
      </c>
      <c r="J30" s="97">
        <v>634.88072400000101</v>
      </c>
      <c r="K30" s="97">
        <v>463.23745500000001</v>
      </c>
      <c r="L30" s="97">
        <v>280.14648499761279</v>
      </c>
      <c r="M30" s="103">
        <f t="shared" si="3"/>
        <v>-39.524215502476423</v>
      </c>
      <c r="N30" s="22"/>
      <c r="O30" s="21"/>
      <c r="P30" s="21"/>
      <c r="Q30" s="22"/>
    </row>
    <row r="31" spans="2:17" s="14" customFormat="1" ht="11.25" customHeight="1">
      <c r="B31" s="96" t="s">
        <v>27</v>
      </c>
      <c r="C31" s="97">
        <v>350.60437099999996</v>
      </c>
      <c r="D31" s="97">
        <v>340.44978000000003</v>
      </c>
      <c r="E31" s="97">
        <v>514.33898799999997</v>
      </c>
      <c r="F31" s="97">
        <v>585.38788199999999</v>
      </c>
      <c r="G31" s="97">
        <v>586.58929899999998</v>
      </c>
      <c r="H31" s="97">
        <v>339.75826499999999</v>
      </c>
      <c r="I31" s="97">
        <v>556.52457400000003</v>
      </c>
      <c r="J31" s="97">
        <v>764.99901499999999</v>
      </c>
      <c r="K31" s="97">
        <v>441.49074099999996</v>
      </c>
      <c r="L31" s="97">
        <v>214.81766910802395</v>
      </c>
      <c r="M31" s="103">
        <f t="shared" si="3"/>
        <v>-51.342655879611307</v>
      </c>
      <c r="N31" s="22"/>
      <c r="O31" s="21"/>
      <c r="P31" s="21"/>
      <c r="Q31" s="22"/>
    </row>
    <row r="32" spans="2:17" s="14" customFormat="1" ht="11.25" customHeight="1">
      <c r="B32" s="16" t="s">
        <v>29</v>
      </c>
      <c r="C32" s="18">
        <f>SUM(C30:C31)</f>
        <v>1274.0667349999999</v>
      </c>
      <c r="D32" s="18">
        <f t="shared" ref="D32:K32" si="4">SUM(D30:D31)</f>
        <v>1273.7386799999999</v>
      </c>
      <c r="E32" s="18">
        <f t="shared" si="4"/>
        <v>1253.0009700000001</v>
      </c>
      <c r="F32" s="18">
        <f t="shared" si="4"/>
        <v>1252.1714420000001</v>
      </c>
      <c r="G32" s="18">
        <f t="shared" si="4"/>
        <v>1311.5732699999999</v>
      </c>
      <c r="H32" s="18">
        <f t="shared" si="4"/>
        <v>1301.019084999999</v>
      </c>
      <c r="I32" s="18">
        <f t="shared" si="4"/>
        <v>1352.5121340000001</v>
      </c>
      <c r="J32" s="18">
        <f t="shared" si="4"/>
        <v>1399.8797390000009</v>
      </c>
      <c r="K32" s="18">
        <f t="shared" si="4"/>
        <v>904.72819600000003</v>
      </c>
      <c r="L32" s="18">
        <f>SUM(L30:L31)</f>
        <v>494.96415410563674</v>
      </c>
      <c r="M32" s="17">
        <f t="shared" si="3"/>
        <v>-45.291397317561135</v>
      </c>
      <c r="N32" s="22"/>
      <c r="O32" s="21"/>
      <c r="P32" s="21"/>
      <c r="Q32" s="22"/>
    </row>
    <row r="33" spans="2:17" s="14" customFormat="1" ht="11.25" customHeight="1">
      <c r="B33" s="16" t="s">
        <v>21</v>
      </c>
      <c r="C33" s="18">
        <v>1323.108338</v>
      </c>
      <c r="D33" s="18">
        <v>885.97971199999904</v>
      </c>
      <c r="E33" s="18">
        <v>407.33072800000002</v>
      </c>
      <c r="F33" s="18">
        <v>419.63312000000002</v>
      </c>
      <c r="G33" s="18">
        <v>804.68698600000005</v>
      </c>
      <c r="H33" s="18">
        <v>535.08209499999998</v>
      </c>
      <c r="I33" s="18">
        <v>420.42935600000004</v>
      </c>
      <c r="J33" s="18">
        <v>590.52251799999999</v>
      </c>
      <c r="K33" s="18">
        <v>1045.1970490000001</v>
      </c>
      <c r="L33" s="18">
        <v>2461.1452132828094</v>
      </c>
      <c r="M33" s="17">
        <f t="shared" si="3"/>
        <v>135.47188691716343</v>
      </c>
      <c r="N33" s="22"/>
      <c r="O33" s="21"/>
      <c r="P33" s="21"/>
      <c r="Q33" s="22"/>
    </row>
    <row r="34" spans="2:17" s="14" customFormat="1" ht="11.25" customHeight="1">
      <c r="B34" s="16" t="s">
        <v>30</v>
      </c>
      <c r="C34" s="18">
        <v>8.721718000000001</v>
      </c>
      <c r="D34" s="18">
        <v>8.807936999999999</v>
      </c>
      <c r="E34" s="18">
        <v>6.7598549999999999</v>
      </c>
      <c r="F34" s="18">
        <v>7.6940939999999998</v>
      </c>
      <c r="G34" s="18">
        <v>10.57849</v>
      </c>
      <c r="H34" s="18">
        <v>10.092818999999999</v>
      </c>
      <c r="I34" s="18">
        <v>14.746465000000001</v>
      </c>
      <c r="J34" s="18">
        <v>12.813724000000001</v>
      </c>
      <c r="K34" s="18">
        <v>16.897098999999997</v>
      </c>
      <c r="L34" s="18">
        <v>3.9038109999999997</v>
      </c>
      <c r="M34" s="17">
        <f t="shared" si="3"/>
        <v>-76.89656076466143</v>
      </c>
      <c r="N34" s="22"/>
      <c r="O34" s="21"/>
      <c r="P34" s="21"/>
      <c r="Q34" s="22"/>
    </row>
    <row r="35" spans="2:17" s="14" customFormat="1" ht="11.25" customHeight="1">
      <c r="B35" s="19" t="s">
        <v>5</v>
      </c>
      <c r="C35" s="18">
        <v>5.7859150000000001</v>
      </c>
      <c r="D35" s="18">
        <v>6.5046989999999996</v>
      </c>
      <c r="E35" s="18">
        <v>6.1594679999999995</v>
      </c>
      <c r="F35" s="18">
        <v>5.8395780000000004</v>
      </c>
      <c r="G35" s="18">
        <v>5.3182280000000004</v>
      </c>
      <c r="H35" s="18">
        <v>5.4160579999999996</v>
      </c>
      <c r="I35" s="18">
        <v>2.9242759999999999</v>
      </c>
      <c r="J35" s="18">
        <v>3.757171</v>
      </c>
      <c r="K35" s="18">
        <v>6.0848199999999997</v>
      </c>
      <c r="L35" s="18">
        <v>3.7204044823325004</v>
      </c>
      <c r="M35" s="17">
        <f t="shared" ref="M35:M43" si="5">((L35/K35)-1)*100</f>
        <v>-38.857608239315198</v>
      </c>
      <c r="N35" s="22"/>
      <c r="O35" s="21"/>
      <c r="P35" s="21"/>
      <c r="Q35" s="22"/>
    </row>
    <row r="36" spans="2:17" s="14" customFormat="1" ht="11.25" customHeight="1">
      <c r="B36" s="19" t="s">
        <v>6</v>
      </c>
      <c r="C36" s="18">
        <v>101.81091599999999</v>
      </c>
      <c r="D36" s="18">
        <v>115.59326900000001</v>
      </c>
      <c r="E36" s="18">
        <v>122.112852</v>
      </c>
      <c r="F36" s="18">
        <v>122.76568899999999</v>
      </c>
      <c r="G36" s="18">
        <v>122.619803</v>
      </c>
      <c r="H36" s="18">
        <v>120.50753</v>
      </c>
      <c r="I36" s="18">
        <v>123.336995</v>
      </c>
      <c r="J36" s="18">
        <v>113.48353999999999</v>
      </c>
      <c r="K36" s="18">
        <v>121.04503299999999</v>
      </c>
      <c r="L36" s="18">
        <v>121.09418300895197</v>
      </c>
      <c r="M36" s="17">
        <f t="shared" si="5"/>
        <v>4.0604730102367093E-2</v>
      </c>
      <c r="N36" s="22"/>
      <c r="O36" s="21"/>
      <c r="P36" s="21"/>
      <c r="Q36" s="22"/>
    </row>
    <row r="37" spans="2:17" s="14" customFormat="1" ht="11.25" customHeight="1">
      <c r="B37" s="8" t="s">
        <v>22</v>
      </c>
      <c r="C37" s="18">
        <v>8.779300000000001E-2</v>
      </c>
      <c r="D37" s="18">
        <v>0.56983000000000006</v>
      </c>
      <c r="E37" s="18">
        <v>0.50569299999999995</v>
      </c>
      <c r="F37" s="18">
        <v>1.945659</v>
      </c>
      <c r="G37" s="18">
        <v>1.971549</v>
      </c>
      <c r="H37" s="18">
        <v>1.309715</v>
      </c>
      <c r="I37" s="18">
        <v>1.626741</v>
      </c>
      <c r="J37" s="18">
        <v>1.332595</v>
      </c>
      <c r="K37" s="18">
        <v>1.139367</v>
      </c>
      <c r="L37" s="18">
        <v>0.59817808043017351</v>
      </c>
      <c r="M37" s="17">
        <f t="shared" si="5"/>
        <v>-47.499086735865312</v>
      </c>
      <c r="N37" s="22"/>
      <c r="O37" s="21"/>
      <c r="P37" s="21"/>
      <c r="Q37" s="22"/>
    </row>
    <row r="38" spans="2:17" s="14" customFormat="1" ht="11.25" customHeight="1">
      <c r="B38" s="8" t="s">
        <v>8</v>
      </c>
      <c r="C38" s="18">
        <v>13.333674</v>
      </c>
      <c r="D38" s="18">
        <v>26.496669999999998</v>
      </c>
      <c r="E38" s="18">
        <v>25.720822000000002</v>
      </c>
      <c r="F38" s="18">
        <v>25.222583999999998</v>
      </c>
      <c r="G38" s="18">
        <v>31.549726999999997</v>
      </c>
      <c r="H38" s="18">
        <v>34.701317000000003</v>
      </c>
      <c r="I38" s="18">
        <v>36.244233999999999</v>
      </c>
      <c r="J38" s="18">
        <v>34.974446</v>
      </c>
      <c r="K38" s="18">
        <v>34.42747</v>
      </c>
      <c r="L38" s="18">
        <v>32.815237496415207</v>
      </c>
      <c r="M38" s="17">
        <f t="shared" si="5"/>
        <v>-4.682982814551262</v>
      </c>
      <c r="N38" s="22"/>
      <c r="O38" s="21"/>
      <c r="P38" s="21"/>
      <c r="Q38" s="22"/>
    </row>
    <row r="39" spans="2:17" s="14" customFormat="1" ht="11.25" customHeight="1">
      <c r="B39" s="8" t="s">
        <v>9</v>
      </c>
      <c r="C39" s="4">
        <v>123.7120335</v>
      </c>
      <c r="D39" s="4">
        <v>122.789536</v>
      </c>
      <c r="E39" s="18">
        <v>113.06659500000001</v>
      </c>
      <c r="F39" s="18">
        <v>128.0843295</v>
      </c>
      <c r="G39" s="18">
        <v>151.09772949999999</v>
      </c>
      <c r="H39" s="18">
        <v>130.80506650000001</v>
      </c>
      <c r="I39" s="18">
        <v>143.878668</v>
      </c>
      <c r="J39" s="18">
        <v>135.7577445</v>
      </c>
      <c r="K39" s="18">
        <v>145.46326099999999</v>
      </c>
      <c r="L39" s="18">
        <v>114.68711947152836</v>
      </c>
      <c r="M39" s="17">
        <f t="shared" si="5"/>
        <v>-21.157329566859929</v>
      </c>
      <c r="N39" s="22"/>
      <c r="O39" s="21"/>
      <c r="P39" s="21"/>
      <c r="Q39" s="22"/>
    </row>
    <row r="40" spans="2:17" s="14" customFormat="1" ht="11.25" customHeight="1">
      <c r="B40" s="8" t="s">
        <v>10</v>
      </c>
      <c r="C40" s="4">
        <v>123.7120335</v>
      </c>
      <c r="D40" s="4">
        <v>122.789536</v>
      </c>
      <c r="E40" s="18">
        <v>113.06659500000001</v>
      </c>
      <c r="F40" s="18">
        <v>128.0843295</v>
      </c>
      <c r="G40" s="18">
        <v>151.09772949999999</v>
      </c>
      <c r="H40" s="18">
        <v>130.80506650000001</v>
      </c>
      <c r="I40" s="18">
        <v>143.878668</v>
      </c>
      <c r="J40" s="18">
        <v>135.7577445</v>
      </c>
      <c r="K40" s="18">
        <v>145.46326099999999</v>
      </c>
      <c r="L40" s="18">
        <v>114.68711947152836</v>
      </c>
      <c r="M40" s="17">
        <f t="shared" si="5"/>
        <v>-21.157329566859929</v>
      </c>
      <c r="N40" s="22"/>
      <c r="O40" s="21"/>
      <c r="P40" s="21"/>
      <c r="Q40" s="22"/>
    </row>
    <row r="41" spans="2:17" s="14" customFormat="1" ht="11.25" customHeight="1">
      <c r="B41" s="28" t="s">
        <v>11</v>
      </c>
      <c r="C41" s="29">
        <f t="shared" ref="C41:J41" si="6">SUM(C29:C29,C32:C40)</f>
        <v>5739.3236850000003</v>
      </c>
      <c r="D41" s="29">
        <f t="shared" si="6"/>
        <v>5245.8371059999999</v>
      </c>
      <c r="E41" s="29">
        <f t="shared" si="6"/>
        <v>4398.3639820000008</v>
      </c>
      <c r="F41" s="29">
        <f t="shared" si="6"/>
        <v>4279.2185510000008</v>
      </c>
      <c r="G41" s="29">
        <f t="shared" si="6"/>
        <v>4452.1765990000004</v>
      </c>
      <c r="H41" s="29">
        <f t="shared" si="6"/>
        <v>4572.6067229999999</v>
      </c>
      <c r="I41" s="29">
        <f t="shared" si="6"/>
        <v>4837.1093739999997</v>
      </c>
      <c r="J41" s="29">
        <f t="shared" si="6"/>
        <v>4824.0501530000001</v>
      </c>
      <c r="K41" s="29">
        <f>SUM(K29:K29,K32:K40)</f>
        <v>4420.3852509999997</v>
      </c>
      <c r="L41" s="29">
        <f>SUM(L29:L29,L32:L40)</f>
        <v>3506.112811215326</v>
      </c>
      <c r="M41" s="30">
        <f t="shared" si="5"/>
        <v>-20.68309407144644</v>
      </c>
      <c r="N41" s="22"/>
      <c r="O41" s="21"/>
      <c r="P41" s="21"/>
      <c r="Q41" s="22"/>
    </row>
    <row r="42" spans="2:17" s="14" customFormat="1" ht="11.25" customHeight="1">
      <c r="B42" s="48" t="s">
        <v>23</v>
      </c>
      <c r="C42" s="49">
        <v>0.66324899999999998</v>
      </c>
      <c r="D42" s="49">
        <v>575.56301800000006</v>
      </c>
      <c r="E42" s="49">
        <v>1268.5086000000001</v>
      </c>
      <c r="F42" s="49">
        <v>1298.258934</v>
      </c>
      <c r="G42" s="49">
        <v>1335.7925439999999</v>
      </c>
      <c r="H42" s="49">
        <v>1250.5839680000001</v>
      </c>
      <c r="I42" s="49">
        <v>1179.306642</v>
      </c>
      <c r="J42" s="49">
        <v>1233.358142</v>
      </c>
      <c r="K42" s="49">
        <v>1694.8405220000002</v>
      </c>
      <c r="L42" s="49">
        <v>1408.4051274285714</v>
      </c>
      <c r="M42" s="104">
        <f t="shared" si="5"/>
        <v>-16.900433453964158</v>
      </c>
      <c r="N42" s="22"/>
      <c r="O42" s="21"/>
      <c r="P42" s="21"/>
      <c r="Q42" s="22"/>
    </row>
    <row r="43" spans="2:17" s="14" customFormat="1" ht="11.25" customHeight="1">
      <c r="B43" s="31" t="s">
        <v>13</v>
      </c>
      <c r="C43" s="32">
        <f t="shared" ref="C43:J43" si="7">SUM(C41:C42)</f>
        <v>5739.9869340000005</v>
      </c>
      <c r="D43" s="32">
        <f t="shared" si="7"/>
        <v>5821.4001239999998</v>
      </c>
      <c r="E43" s="32">
        <f t="shared" si="7"/>
        <v>5666.8725820000009</v>
      </c>
      <c r="F43" s="32">
        <f t="shared" si="7"/>
        <v>5577.4774850000013</v>
      </c>
      <c r="G43" s="32">
        <f t="shared" si="7"/>
        <v>5787.9691430000003</v>
      </c>
      <c r="H43" s="32">
        <f t="shared" si="7"/>
        <v>5823.1906909999998</v>
      </c>
      <c r="I43" s="32">
        <f t="shared" si="7"/>
        <v>6016.4160159999992</v>
      </c>
      <c r="J43" s="32">
        <f t="shared" si="7"/>
        <v>6057.4082950000002</v>
      </c>
      <c r="K43" s="32">
        <f>SUM(K41:K42)</f>
        <v>6115.2257730000001</v>
      </c>
      <c r="L43" s="32">
        <f>SUM(L41:L42)</f>
        <v>4914.5179386438977</v>
      </c>
      <c r="M43" s="33">
        <f t="shared" si="5"/>
        <v>-19.634726156104954</v>
      </c>
      <c r="N43" s="22"/>
      <c r="O43" s="21"/>
      <c r="P43" s="21"/>
      <c r="Q43" s="22"/>
    </row>
    <row r="44" spans="2:17" s="14" customFormat="1" ht="11.25" customHeight="1">
      <c r="B44" s="2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21"/>
      <c r="N44" s="22"/>
      <c r="O44" s="21"/>
      <c r="P44" s="21"/>
      <c r="Q44" s="22"/>
    </row>
    <row r="45" spans="2:17" s="14" customFormat="1" ht="11.25" customHeight="1">
      <c r="B45" s="13" t="s">
        <v>76</v>
      </c>
      <c r="C45" s="21"/>
      <c r="D45" s="21"/>
      <c r="E45" s="22"/>
      <c r="F45" s="21"/>
      <c r="G45" s="21"/>
      <c r="H45" s="22"/>
      <c r="I45" s="21"/>
      <c r="J45" s="21"/>
      <c r="K45" s="22"/>
      <c r="L45" s="21"/>
      <c r="M45" s="21"/>
      <c r="N45" s="22"/>
      <c r="O45" s="21"/>
      <c r="P45" s="21"/>
      <c r="Q45" s="22"/>
    </row>
    <row r="46" spans="2:17" s="14" customFormat="1" ht="11.25" customHeight="1">
      <c r="B46" s="55"/>
      <c r="C46" s="56">
        <v>2011</v>
      </c>
      <c r="D46" s="56">
        <v>2012</v>
      </c>
      <c r="E46" s="56">
        <v>2013</v>
      </c>
      <c r="F46" s="56">
        <v>2014</v>
      </c>
      <c r="G46" s="56">
        <v>2015</v>
      </c>
      <c r="H46" s="56">
        <v>2016</v>
      </c>
      <c r="I46" s="56">
        <v>2017</v>
      </c>
      <c r="J46" s="56">
        <v>2018</v>
      </c>
      <c r="K46" s="56">
        <v>2019</v>
      </c>
      <c r="L46" s="56">
        <v>2020</v>
      </c>
      <c r="M46" s="93" t="s">
        <v>117</v>
      </c>
      <c r="N46" s="22"/>
      <c r="O46" s="98"/>
      <c r="P46" s="21"/>
      <c r="Q46" s="22"/>
    </row>
    <row r="47" spans="2:17" s="14" customFormat="1" ht="11.25" customHeight="1">
      <c r="B47" s="16" t="s">
        <v>1</v>
      </c>
      <c r="C47" s="18">
        <v>1.654771</v>
      </c>
      <c r="D47" s="18">
        <v>1.769099</v>
      </c>
      <c r="E47" s="18">
        <v>3.0312829999999997</v>
      </c>
      <c r="F47" s="18">
        <v>3.4610560000000001</v>
      </c>
      <c r="G47" s="18">
        <v>3.5683929999999999</v>
      </c>
      <c r="H47" s="18">
        <v>3.4539609999999996</v>
      </c>
      <c r="I47" s="18">
        <v>3.271979</v>
      </c>
      <c r="J47" s="18">
        <v>3.2771120000000002</v>
      </c>
      <c r="K47" s="18">
        <v>3.5095189999999996</v>
      </c>
      <c r="L47" s="18">
        <v>3.1614656446985645</v>
      </c>
      <c r="M47" s="17">
        <f t="shared" ref="M47:M52" si="8">((L47/K47)-1)*100</f>
        <v>-9.9174090609406953</v>
      </c>
      <c r="N47" s="22"/>
      <c r="O47" s="21"/>
      <c r="P47" s="21"/>
      <c r="Q47" s="22"/>
    </row>
    <row r="48" spans="2:17" s="14" customFormat="1" ht="11.25" customHeight="1">
      <c r="B48" s="96" t="s">
        <v>26</v>
      </c>
      <c r="C48" s="97">
        <v>2161.3083939999997</v>
      </c>
      <c r="D48" s="97">
        <v>2108.4429610000002</v>
      </c>
      <c r="E48" s="97">
        <v>2069.7460700000001</v>
      </c>
      <c r="F48" s="97">
        <v>2140.7023509999999</v>
      </c>
      <c r="G48" s="97">
        <v>2202.3375219999998</v>
      </c>
      <c r="H48" s="97">
        <v>2222.301543</v>
      </c>
      <c r="I48" s="97">
        <v>2242.3242279999999</v>
      </c>
      <c r="J48" s="97">
        <v>2121.1348889999999</v>
      </c>
      <c r="K48" s="97">
        <v>1949.9451159999999</v>
      </c>
      <c r="L48" s="97">
        <v>1719.4128135351045</v>
      </c>
      <c r="M48" s="103">
        <f t="shared" si="8"/>
        <v>-11.822502109074506</v>
      </c>
      <c r="N48" s="22"/>
      <c r="O48" s="21"/>
      <c r="P48" s="21"/>
      <c r="Q48" s="22"/>
    </row>
    <row r="49" spans="2:17" s="14" customFormat="1" ht="11.25" customHeight="1">
      <c r="B49" s="96" t="s">
        <v>27</v>
      </c>
      <c r="C49" s="97">
        <v>528.79792799999996</v>
      </c>
      <c r="D49" s="97">
        <v>598.67031000000009</v>
      </c>
      <c r="E49" s="97">
        <v>368.97421600000001</v>
      </c>
      <c r="F49" s="97">
        <v>360.74451199999999</v>
      </c>
      <c r="G49" s="97">
        <v>327.805271</v>
      </c>
      <c r="H49" s="97">
        <v>275.90062399999999</v>
      </c>
      <c r="I49" s="97">
        <v>314.34570600000001</v>
      </c>
      <c r="J49" s="97">
        <v>284.09280899999999</v>
      </c>
      <c r="K49" s="97">
        <v>228.93631500000001</v>
      </c>
      <c r="L49" s="97">
        <v>193.48375767738708</v>
      </c>
      <c r="M49" s="103">
        <f t="shared" si="8"/>
        <v>-15.485772679888266</v>
      </c>
      <c r="N49" s="22"/>
      <c r="O49" s="21"/>
      <c r="P49" s="21"/>
      <c r="Q49" s="22"/>
    </row>
    <row r="50" spans="2:17" s="14" customFormat="1" ht="11.25" customHeight="1">
      <c r="B50" s="96" t="s">
        <v>28</v>
      </c>
      <c r="C50" s="97">
        <v>2634.2951170000001</v>
      </c>
      <c r="D50" s="97">
        <v>2681.6959270000002</v>
      </c>
      <c r="E50" s="97">
        <v>2463.7969989999997</v>
      </c>
      <c r="F50" s="97">
        <v>2070.771428</v>
      </c>
      <c r="G50" s="97">
        <v>2222.9505669999999</v>
      </c>
      <c r="H50" s="97">
        <v>2536.1430030000001</v>
      </c>
      <c r="I50" s="97">
        <v>2674.3938499999999</v>
      </c>
      <c r="J50" s="97">
        <v>2455.4322969999998</v>
      </c>
      <c r="K50" s="97">
        <v>2189.0106679999999</v>
      </c>
      <c r="L50" s="97">
        <v>1390.2510945609267</v>
      </c>
      <c r="M50" s="103">
        <f t="shared" si="8"/>
        <v>-36.489524017206534</v>
      </c>
      <c r="N50" s="22"/>
      <c r="O50" s="21"/>
      <c r="P50" s="21"/>
      <c r="Q50" s="22"/>
    </row>
    <row r="51" spans="2:17" s="14" customFormat="1" ht="11.25" customHeight="1">
      <c r="B51" s="16" t="s">
        <v>29</v>
      </c>
      <c r="C51" s="18">
        <f>SUM(C48:C50)</f>
        <v>5324.4014389999993</v>
      </c>
      <c r="D51" s="18">
        <f>SUM(D48:D50)</f>
        <v>5388.8091980000008</v>
      </c>
      <c r="E51" s="18">
        <f t="shared" ref="E51:J51" si="9">SUM(E48:E50)</f>
        <v>4902.5172849999999</v>
      </c>
      <c r="F51" s="18">
        <f t="shared" si="9"/>
        <v>4572.2182910000001</v>
      </c>
      <c r="G51" s="18">
        <f t="shared" si="9"/>
        <v>4753.0933599999998</v>
      </c>
      <c r="H51" s="18">
        <f t="shared" si="9"/>
        <v>5034.3451700000005</v>
      </c>
      <c r="I51" s="18">
        <f t="shared" si="9"/>
        <v>5231.0637839999999</v>
      </c>
      <c r="J51" s="18">
        <f t="shared" si="9"/>
        <v>4860.659995</v>
      </c>
      <c r="K51" s="18">
        <f>SUM(K48:K50)</f>
        <v>4367.8920989999997</v>
      </c>
      <c r="L51" s="18">
        <f>SUM(L48:L50)</f>
        <v>3303.1476657734183</v>
      </c>
      <c r="M51" s="17">
        <f t="shared" si="8"/>
        <v>-24.376619410318025</v>
      </c>
      <c r="N51" s="22"/>
      <c r="O51" s="21"/>
      <c r="P51" s="21"/>
      <c r="Q51" s="22"/>
    </row>
    <row r="52" spans="2:17" s="14" customFormat="1" ht="11.25" customHeight="1">
      <c r="B52" s="16" t="s">
        <v>21</v>
      </c>
      <c r="C52" s="18">
        <v>2914.6264580000002</v>
      </c>
      <c r="D52" s="18">
        <v>2871.675338</v>
      </c>
      <c r="E52" s="18">
        <v>3036.0126060000002</v>
      </c>
      <c r="F52" s="18">
        <v>3288.6922519999998</v>
      </c>
      <c r="G52" s="18">
        <v>3188.0567889999998</v>
      </c>
      <c r="H52" s="18">
        <v>3008.3337409999999</v>
      </c>
      <c r="I52" s="18">
        <v>2997.3769480000001</v>
      </c>
      <c r="J52" s="18">
        <v>3051.021608</v>
      </c>
      <c r="K52" s="18">
        <v>3053.51755</v>
      </c>
      <c r="L52" s="18">
        <v>3221.1837858849321</v>
      </c>
      <c r="M52" s="17">
        <f t="shared" si="8"/>
        <v>5.4909209834059114</v>
      </c>
      <c r="N52" s="22"/>
      <c r="O52" s="21"/>
      <c r="P52" s="21"/>
      <c r="Q52" s="22"/>
    </row>
    <row r="53" spans="2:17" s="14" customFormat="1" ht="11.25" customHeight="1">
      <c r="B53" s="16" t="s">
        <v>30</v>
      </c>
      <c r="C53" s="18"/>
      <c r="D53" s="18"/>
      <c r="E53" s="18"/>
      <c r="F53" s="18"/>
      <c r="G53" s="18"/>
      <c r="H53" s="18"/>
      <c r="I53" s="18"/>
      <c r="J53" s="18"/>
      <c r="K53" s="18" t="s">
        <v>19</v>
      </c>
      <c r="L53" s="18" t="s">
        <v>19</v>
      </c>
      <c r="M53" s="17" t="s">
        <v>19</v>
      </c>
      <c r="N53" s="22"/>
      <c r="O53" s="21"/>
      <c r="P53" s="21"/>
      <c r="Q53" s="22"/>
    </row>
    <row r="54" spans="2:17" s="14" customFormat="1" ht="11.25" customHeight="1">
      <c r="B54" s="16" t="s">
        <v>4</v>
      </c>
      <c r="C54" s="18">
        <v>0</v>
      </c>
      <c r="D54" s="18">
        <v>0</v>
      </c>
      <c r="E54" s="18">
        <v>0</v>
      </c>
      <c r="F54" s="18">
        <v>0.8892770000000001</v>
      </c>
      <c r="G54" s="18">
        <v>8.2074239999999907</v>
      </c>
      <c r="H54" s="18">
        <v>17.891936000000001</v>
      </c>
      <c r="I54" s="18">
        <v>20.233057000000002</v>
      </c>
      <c r="J54" s="18">
        <v>23.655544000000003</v>
      </c>
      <c r="K54" s="18">
        <v>23.248718</v>
      </c>
      <c r="L54" s="18">
        <v>20.377134309795725</v>
      </c>
      <c r="M54" s="17">
        <f>((L54/K54)-1)*100</f>
        <v>-12.351578655667272</v>
      </c>
      <c r="N54" s="22"/>
      <c r="O54" s="21"/>
      <c r="P54" s="21"/>
      <c r="Q54" s="22"/>
    </row>
    <row r="55" spans="2:17" s="14" customFormat="1" ht="11.25" customHeight="1">
      <c r="B55" s="19" t="s">
        <v>5</v>
      </c>
      <c r="C55" s="18">
        <v>355.67776099999998</v>
      </c>
      <c r="D55" s="18">
        <v>361.76732500000003</v>
      </c>
      <c r="E55" s="18">
        <v>362.73348499999997</v>
      </c>
      <c r="F55" s="18">
        <v>389.52880599999997</v>
      </c>
      <c r="G55" s="18">
        <v>396.68714299999999</v>
      </c>
      <c r="H55" s="18">
        <v>393.08058299999999</v>
      </c>
      <c r="I55" s="18">
        <v>395.92533299999997</v>
      </c>
      <c r="J55" s="18">
        <v>622.02860199999998</v>
      </c>
      <c r="K55" s="18">
        <v>1138.116575</v>
      </c>
      <c r="L55" s="18">
        <v>1136.8893898613858</v>
      </c>
      <c r="M55" s="17">
        <f>((L55/K55)-1)*100</f>
        <v>-0.10782596137959288</v>
      </c>
      <c r="N55" s="22"/>
      <c r="O55" s="21"/>
      <c r="P55" s="21"/>
      <c r="Q55" s="22"/>
    </row>
    <row r="56" spans="2:17" s="14" customFormat="1" ht="11.25" customHeight="1">
      <c r="B56" s="19" t="s">
        <v>6</v>
      </c>
      <c r="C56" s="18">
        <v>232.99919</v>
      </c>
      <c r="D56" s="18">
        <v>256.51338600000003</v>
      </c>
      <c r="E56" s="18">
        <v>286.70331699999997</v>
      </c>
      <c r="F56" s="18">
        <v>282.28568899999999</v>
      </c>
      <c r="G56" s="18">
        <v>275.546605</v>
      </c>
      <c r="H56" s="18">
        <v>277.66134299999999</v>
      </c>
      <c r="I56" s="18">
        <v>273.626665</v>
      </c>
      <c r="J56" s="18">
        <v>272.07269199999996</v>
      </c>
      <c r="K56" s="18">
        <v>278.920098</v>
      </c>
      <c r="L56" s="18">
        <v>265.25647275420596</v>
      </c>
      <c r="M56" s="17">
        <f>((L56/K56)-1)*100</f>
        <v>-4.8987596604795574</v>
      </c>
      <c r="N56" s="22"/>
      <c r="O56" s="21"/>
      <c r="P56" s="21"/>
      <c r="Q56" s="22"/>
    </row>
    <row r="57" spans="2:17" s="14" customFormat="1" ht="11.25" customHeight="1">
      <c r="B57" s="8" t="s">
        <v>22</v>
      </c>
      <c r="C57" s="18">
        <v>8.8159460000000109</v>
      </c>
      <c r="D57" s="18">
        <v>8.0504469999999895</v>
      </c>
      <c r="E57" s="18">
        <v>8.50258800000001</v>
      </c>
      <c r="F57" s="18">
        <v>8.8065840000000097</v>
      </c>
      <c r="G57" s="18">
        <v>8.0536249999999896</v>
      </c>
      <c r="H57" s="18">
        <v>9.3357750000000106</v>
      </c>
      <c r="I57" s="18">
        <v>9.5652589999999993</v>
      </c>
      <c r="J57" s="18">
        <v>8.9315969999999911</v>
      </c>
      <c r="K57" s="18">
        <v>9.7735750000000099</v>
      </c>
      <c r="L57" s="18">
        <v>8.3965076673454107</v>
      </c>
      <c r="M57" s="17">
        <f>((L57/K57)-1)*100</f>
        <v>-14.089699343941165</v>
      </c>
      <c r="N57" s="22"/>
      <c r="O57" s="21"/>
      <c r="P57" s="21"/>
      <c r="Q57" s="22"/>
    </row>
    <row r="58" spans="2:17" s="14" customFormat="1" ht="11.25" customHeight="1">
      <c r="B58" s="8" t="s">
        <v>8</v>
      </c>
      <c r="C58" s="18">
        <v>24.807366000000002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7" t="s">
        <v>19</v>
      </c>
      <c r="N58" s="22"/>
      <c r="O58" s="21"/>
      <c r="P58" s="21"/>
      <c r="Q58" s="22"/>
    </row>
    <row r="59" spans="2:17" s="14" customFormat="1" ht="11.25" customHeight="1">
      <c r="B59" s="28" t="s">
        <v>11</v>
      </c>
      <c r="C59" s="29">
        <f t="shared" ref="C59:J59" si="10">SUM(C47:C47,C51:C58)</f>
        <v>8862.9829310000023</v>
      </c>
      <c r="D59" s="29">
        <f t="shared" si="10"/>
        <v>8888.5847930000018</v>
      </c>
      <c r="E59" s="29">
        <f t="shared" si="10"/>
        <v>8599.5005639999999</v>
      </c>
      <c r="F59" s="29">
        <f t="shared" si="10"/>
        <v>8545.8819550000007</v>
      </c>
      <c r="G59" s="29">
        <f t="shared" si="10"/>
        <v>8633.2133389999981</v>
      </c>
      <c r="H59" s="29">
        <f t="shared" si="10"/>
        <v>8744.1025090000003</v>
      </c>
      <c r="I59" s="29">
        <f t="shared" si="10"/>
        <v>8931.0630249999995</v>
      </c>
      <c r="J59" s="29">
        <f t="shared" si="10"/>
        <v>8841.6471500000007</v>
      </c>
      <c r="K59" s="29">
        <f>SUM(K47:K47,K51:K58)</f>
        <v>8874.978133999999</v>
      </c>
      <c r="L59" s="29">
        <f>SUM(L47:L47,L51:L58)</f>
        <v>7958.4124218957822</v>
      </c>
      <c r="M59" s="30">
        <f>((L59/K59)-1)*100</f>
        <v>-10.327526426153755</v>
      </c>
      <c r="N59" s="22"/>
      <c r="O59" s="21"/>
      <c r="P59" s="21"/>
      <c r="Q59" s="22"/>
    </row>
    <row r="60" spans="2:17" s="14" customFormat="1" ht="11.25" customHeight="1">
      <c r="B60" s="31" t="s">
        <v>13</v>
      </c>
      <c r="C60" s="32">
        <f>C59</f>
        <v>8862.9829310000023</v>
      </c>
      <c r="D60" s="32">
        <f t="shared" ref="D60:L60" si="11">D59</f>
        <v>8888.5847930000018</v>
      </c>
      <c r="E60" s="32">
        <f t="shared" si="11"/>
        <v>8599.5005639999999</v>
      </c>
      <c r="F60" s="32">
        <f t="shared" si="11"/>
        <v>8545.8819550000007</v>
      </c>
      <c r="G60" s="32">
        <f t="shared" si="11"/>
        <v>8633.2133389999981</v>
      </c>
      <c r="H60" s="32">
        <f t="shared" si="11"/>
        <v>8744.1025090000003</v>
      </c>
      <c r="I60" s="32">
        <f t="shared" si="11"/>
        <v>8931.0630249999995</v>
      </c>
      <c r="J60" s="32">
        <f t="shared" si="11"/>
        <v>8841.6471500000007</v>
      </c>
      <c r="K60" s="32">
        <f t="shared" si="11"/>
        <v>8874.978133999999</v>
      </c>
      <c r="L60" s="32">
        <f t="shared" si="11"/>
        <v>7958.4124218957822</v>
      </c>
      <c r="M60" s="33">
        <f>((L60/K60)-1)*100</f>
        <v>-10.327526426153755</v>
      </c>
      <c r="N60" s="22"/>
      <c r="O60" s="21"/>
      <c r="P60" s="21"/>
      <c r="Q60" s="22"/>
    </row>
    <row r="61" spans="2:17" s="14" customFormat="1" ht="11.25" customHeight="1">
      <c r="B61" s="20"/>
      <c r="C61" s="21"/>
      <c r="D61" s="21"/>
      <c r="E61" s="22"/>
      <c r="F61" s="21"/>
      <c r="G61" s="21"/>
      <c r="H61" s="22"/>
      <c r="I61" s="21"/>
      <c r="J61" s="21"/>
      <c r="K61" s="22"/>
      <c r="L61" s="21"/>
      <c r="M61" s="21"/>
      <c r="N61" s="22"/>
      <c r="O61" s="21"/>
      <c r="P61" s="21"/>
      <c r="Q61" s="22"/>
    </row>
    <row r="62" spans="2:17" s="14" customFormat="1" ht="11.25" customHeight="1">
      <c r="B62" s="13" t="s">
        <v>77</v>
      </c>
      <c r="C62" s="21"/>
      <c r="D62" s="21"/>
      <c r="E62" s="22"/>
      <c r="F62" s="21"/>
      <c r="G62" s="21"/>
      <c r="H62" s="22"/>
      <c r="I62" s="21"/>
      <c r="J62" s="21"/>
      <c r="K62" s="22"/>
      <c r="L62" s="21"/>
      <c r="M62" s="21"/>
      <c r="N62" s="22"/>
      <c r="O62" s="21"/>
      <c r="P62" s="21"/>
      <c r="Q62" s="22"/>
    </row>
    <row r="63" spans="2:17" s="14" customFormat="1" ht="11.25" customHeight="1">
      <c r="B63" s="55"/>
      <c r="C63" s="56">
        <v>2011</v>
      </c>
      <c r="D63" s="56">
        <v>2012</v>
      </c>
      <c r="E63" s="56">
        <v>2013</v>
      </c>
      <c r="F63" s="56">
        <v>2014</v>
      </c>
      <c r="G63" s="56">
        <v>2015</v>
      </c>
      <c r="H63" s="56">
        <v>2016</v>
      </c>
      <c r="I63" s="56">
        <v>2017</v>
      </c>
      <c r="J63" s="56">
        <v>2018</v>
      </c>
      <c r="K63" s="56">
        <v>2019</v>
      </c>
      <c r="L63" s="56">
        <v>2020</v>
      </c>
      <c r="M63" s="93" t="s">
        <v>117</v>
      </c>
      <c r="N63" s="22"/>
      <c r="O63" s="98"/>
      <c r="P63" s="21"/>
      <c r="Q63" s="22"/>
    </row>
    <row r="64" spans="2:17" s="14" customFormat="1" ht="11.25" customHeight="1">
      <c r="B64" s="96" t="s">
        <v>26</v>
      </c>
      <c r="C64" s="97">
        <v>202.666877</v>
      </c>
      <c r="D64" s="97">
        <v>211.51078899999999</v>
      </c>
      <c r="E64" s="97">
        <v>201.70539199999999</v>
      </c>
      <c r="F64" s="97">
        <v>212.152625</v>
      </c>
      <c r="G64" s="97">
        <v>203.25730900000002</v>
      </c>
      <c r="H64" s="97">
        <v>210.55799199999998</v>
      </c>
      <c r="I64" s="97">
        <v>202.648335</v>
      </c>
      <c r="J64" s="97">
        <v>207.23613800000001</v>
      </c>
      <c r="K64" s="97">
        <v>205.964226</v>
      </c>
      <c r="L64" s="97">
        <v>198.19364999999999</v>
      </c>
      <c r="M64" s="103">
        <f>((L64/K64)-1)*100</f>
        <v>-3.7727794534571313</v>
      </c>
      <c r="N64" s="22"/>
      <c r="O64" s="21"/>
      <c r="P64" s="21"/>
      <c r="Q64" s="22"/>
    </row>
    <row r="65" spans="2:17" s="14" customFormat="1" ht="11.25" customHeight="1">
      <c r="B65" s="96" t="s">
        <v>27</v>
      </c>
      <c r="C65" s="97">
        <v>0.30601600000000001</v>
      </c>
      <c r="D65" s="97">
        <v>0.56112200000000001</v>
      </c>
      <c r="E65" s="97">
        <v>0.25954300000000002</v>
      </c>
      <c r="F65" s="97">
        <v>9.2532000000000003E-2</v>
      </c>
      <c r="G65" s="97">
        <v>0.76578099999999993</v>
      </c>
      <c r="H65" s="97">
        <v>0.122944</v>
      </c>
      <c r="I65" s="97">
        <v>0.21249500000000002</v>
      </c>
      <c r="J65" s="97">
        <v>0.120086</v>
      </c>
      <c r="K65" s="97">
        <v>8.4013999999999991E-2</v>
      </c>
      <c r="L65" s="97">
        <v>0.16155999999999998</v>
      </c>
      <c r="M65" s="103">
        <f>((L65/K65)-1)*100</f>
        <v>92.30128311948009</v>
      </c>
      <c r="N65" s="22"/>
      <c r="O65" s="21"/>
      <c r="P65" s="21"/>
      <c r="Q65" s="22"/>
    </row>
    <row r="66" spans="2:17" s="14" customFormat="1" ht="11.25" customHeight="1">
      <c r="B66" s="16" t="s">
        <v>29</v>
      </c>
      <c r="C66" s="18">
        <f>SUM(C64:C65)</f>
        <v>202.972893</v>
      </c>
      <c r="D66" s="18">
        <f t="shared" ref="D66:L66" si="12">SUM(D64:D65)</f>
        <v>212.071911</v>
      </c>
      <c r="E66" s="18">
        <f t="shared" si="12"/>
        <v>201.964935</v>
      </c>
      <c r="F66" s="18">
        <f t="shared" si="12"/>
        <v>212.24515700000001</v>
      </c>
      <c r="G66" s="18">
        <f t="shared" si="12"/>
        <v>204.02309000000002</v>
      </c>
      <c r="H66" s="18">
        <f t="shared" si="12"/>
        <v>210.68093599999997</v>
      </c>
      <c r="I66" s="18">
        <f t="shared" si="12"/>
        <v>202.86082999999999</v>
      </c>
      <c r="J66" s="18">
        <f t="shared" si="12"/>
        <v>207.356224</v>
      </c>
      <c r="K66" s="18">
        <f t="shared" si="12"/>
        <v>206.04823999999999</v>
      </c>
      <c r="L66" s="18">
        <f t="shared" si="12"/>
        <v>198.35521</v>
      </c>
      <c r="M66" s="17">
        <f>((L66/K66)-1)*100</f>
        <v>-3.7336062661830982</v>
      </c>
      <c r="N66" s="22"/>
      <c r="O66" s="21"/>
      <c r="P66" s="21"/>
      <c r="Q66" s="22"/>
    </row>
    <row r="67" spans="2:17" s="14" customFormat="1" ht="11.25" customHeight="1">
      <c r="B67" s="28" t="s">
        <v>11</v>
      </c>
      <c r="C67" s="29">
        <f>C66</f>
        <v>202.972893</v>
      </c>
      <c r="D67" s="29">
        <f t="shared" ref="D67:L67" si="13">D66</f>
        <v>212.071911</v>
      </c>
      <c r="E67" s="29">
        <f t="shared" si="13"/>
        <v>201.964935</v>
      </c>
      <c r="F67" s="29">
        <f t="shared" si="13"/>
        <v>212.24515700000001</v>
      </c>
      <c r="G67" s="29">
        <f t="shared" si="13"/>
        <v>204.02309000000002</v>
      </c>
      <c r="H67" s="29">
        <f t="shared" si="13"/>
        <v>210.68093599999997</v>
      </c>
      <c r="I67" s="29">
        <f t="shared" si="13"/>
        <v>202.86082999999999</v>
      </c>
      <c r="J67" s="29">
        <f t="shared" si="13"/>
        <v>207.356224</v>
      </c>
      <c r="K67" s="29">
        <f t="shared" si="13"/>
        <v>206.04823999999999</v>
      </c>
      <c r="L67" s="29">
        <f t="shared" si="13"/>
        <v>198.35521</v>
      </c>
      <c r="M67" s="30">
        <f>M66</f>
        <v>-3.7336062661830982</v>
      </c>
      <c r="N67" s="22"/>
      <c r="O67" s="21"/>
      <c r="P67" s="21"/>
      <c r="Q67" s="22"/>
    </row>
    <row r="68" spans="2:17" s="14" customFormat="1" ht="11.25" customHeight="1">
      <c r="B68" s="31" t="s">
        <v>13</v>
      </c>
      <c r="C68" s="32">
        <f>C67</f>
        <v>202.972893</v>
      </c>
      <c r="D68" s="32">
        <f t="shared" ref="D68:J68" si="14">D67</f>
        <v>212.071911</v>
      </c>
      <c r="E68" s="32">
        <f t="shared" si="14"/>
        <v>201.964935</v>
      </c>
      <c r="F68" s="32">
        <f t="shared" si="14"/>
        <v>212.24515700000001</v>
      </c>
      <c r="G68" s="32">
        <f t="shared" si="14"/>
        <v>204.02309000000002</v>
      </c>
      <c r="H68" s="32">
        <f t="shared" si="14"/>
        <v>210.68093599999997</v>
      </c>
      <c r="I68" s="32">
        <f t="shared" si="14"/>
        <v>202.86082999999999</v>
      </c>
      <c r="J68" s="32">
        <f t="shared" si="14"/>
        <v>207.356224</v>
      </c>
      <c r="K68" s="32">
        <f t="shared" ref="K68" si="15">K67</f>
        <v>206.04823999999999</v>
      </c>
      <c r="L68" s="32">
        <f t="shared" ref="L68" si="16">L67</f>
        <v>198.35521</v>
      </c>
      <c r="M68" s="33">
        <f>((L68/K68)-1)*100</f>
        <v>-3.7336062661830982</v>
      </c>
      <c r="N68" s="22"/>
      <c r="O68" s="21"/>
      <c r="P68" s="21"/>
      <c r="Q68" s="22"/>
    </row>
    <row r="69" spans="2:17" s="14" customFormat="1" ht="11.25" customHeight="1">
      <c r="B69" s="20"/>
      <c r="C69" s="21"/>
      <c r="D69" s="21"/>
      <c r="E69" s="22"/>
      <c r="F69" s="21"/>
      <c r="G69" s="21"/>
      <c r="H69" s="22"/>
      <c r="I69" s="21"/>
      <c r="J69" s="21"/>
      <c r="K69" s="22"/>
      <c r="L69" s="21"/>
      <c r="M69" s="21"/>
      <c r="N69" s="22"/>
      <c r="O69" s="21"/>
      <c r="P69" s="21"/>
      <c r="Q69" s="22"/>
    </row>
    <row r="70" spans="2:17" s="14" customFormat="1" ht="11.25" customHeight="1">
      <c r="B70" s="13" t="s">
        <v>78</v>
      </c>
      <c r="C70" s="21"/>
      <c r="D70" s="21"/>
      <c r="E70" s="22"/>
      <c r="F70" s="21"/>
      <c r="G70" s="21"/>
      <c r="H70" s="22"/>
      <c r="I70" s="21"/>
      <c r="J70" s="21"/>
      <c r="K70" s="22"/>
      <c r="L70" s="21"/>
      <c r="M70" s="21"/>
      <c r="N70" s="22"/>
      <c r="O70" s="21"/>
      <c r="P70" s="21"/>
      <c r="Q70" s="22"/>
    </row>
    <row r="71" spans="2:17" s="14" customFormat="1" ht="11.25" customHeight="1">
      <c r="B71" s="55"/>
      <c r="C71" s="56">
        <v>2011</v>
      </c>
      <c r="D71" s="56">
        <v>2012</v>
      </c>
      <c r="E71" s="56">
        <v>2013</v>
      </c>
      <c r="F71" s="56">
        <v>2014</v>
      </c>
      <c r="G71" s="56">
        <v>2015</v>
      </c>
      <c r="H71" s="56">
        <v>2016</v>
      </c>
      <c r="I71" s="56">
        <v>2017</v>
      </c>
      <c r="J71" s="56">
        <v>2018</v>
      </c>
      <c r="K71" s="56">
        <v>2019</v>
      </c>
      <c r="L71" s="56">
        <v>2020</v>
      </c>
      <c r="M71" s="93" t="s">
        <v>117</v>
      </c>
      <c r="N71" s="22"/>
      <c r="O71" s="21"/>
      <c r="P71" s="21"/>
      <c r="Q71" s="22"/>
    </row>
    <row r="72" spans="2:17" s="14" customFormat="1" ht="11.25" customHeight="1">
      <c r="B72" s="96" t="s">
        <v>26</v>
      </c>
      <c r="C72" s="97">
        <v>207.23852499999998</v>
      </c>
      <c r="D72" s="97">
        <v>214.80020499999998</v>
      </c>
      <c r="E72" s="97">
        <v>201.45699900000002</v>
      </c>
      <c r="F72" s="97">
        <v>200.05045800000002</v>
      </c>
      <c r="G72" s="97">
        <v>203.917102</v>
      </c>
      <c r="H72" s="97">
        <v>198.250316</v>
      </c>
      <c r="I72" s="97">
        <v>200.31696400000001</v>
      </c>
      <c r="J72" s="97">
        <v>202.11366599999999</v>
      </c>
      <c r="K72" s="97">
        <v>200.00924799999999</v>
      </c>
      <c r="L72" s="97">
        <v>197.157185</v>
      </c>
      <c r="M72" s="103">
        <f t="shared" ref="M72:M77" si="17">((L72/K72)-1)*100</f>
        <v>-1.4259655633523494</v>
      </c>
      <c r="N72" s="22"/>
      <c r="O72" s="98"/>
      <c r="P72" s="21"/>
      <c r="Q72" s="22"/>
    </row>
    <row r="73" spans="2:17" s="14" customFormat="1" ht="11.25" customHeight="1">
      <c r="B73" s="96" t="s">
        <v>27</v>
      </c>
      <c r="C73" s="97">
        <v>0.53390800000000005</v>
      </c>
      <c r="D73" s="97">
        <v>0.14022000000000001</v>
      </c>
      <c r="E73" s="97">
        <v>9.3681E-2</v>
      </c>
      <c r="F73" s="97">
        <v>0.76630999999999994</v>
      </c>
      <c r="G73" s="97">
        <v>0.6114980000000001</v>
      </c>
      <c r="H73" s="97">
        <v>0.255469</v>
      </c>
      <c r="I73" s="97">
        <v>7.7272999999999994E-2</v>
      </c>
      <c r="J73" s="97">
        <v>6.7100999999999994E-2</v>
      </c>
      <c r="K73" s="97">
        <v>2.1007000000000001E-2</v>
      </c>
      <c r="L73" s="97">
        <v>9.0438000000000004E-2</v>
      </c>
      <c r="M73" s="103">
        <f t="shared" si="17"/>
        <v>330.51363831103913</v>
      </c>
      <c r="N73" s="22"/>
      <c r="O73" s="21"/>
      <c r="P73" s="21"/>
      <c r="Q73" s="22"/>
    </row>
    <row r="74" spans="2:17" s="14" customFormat="1" ht="11.25" customHeight="1">
      <c r="B74" s="16" t="s">
        <v>29</v>
      </c>
      <c r="C74" s="18">
        <f>SUM(C72:C73)</f>
        <v>207.77243299999998</v>
      </c>
      <c r="D74" s="18">
        <f t="shared" ref="D74:L74" si="18">SUM(D72:D73)</f>
        <v>214.94042499999998</v>
      </c>
      <c r="E74" s="18">
        <f t="shared" si="18"/>
        <v>201.55068000000003</v>
      </c>
      <c r="F74" s="18">
        <f t="shared" si="18"/>
        <v>200.81676800000002</v>
      </c>
      <c r="G74" s="18">
        <f t="shared" si="18"/>
        <v>204.52860000000001</v>
      </c>
      <c r="H74" s="18">
        <f t="shared" si="18"/>
        <v>198.505785</v>
      </c>
      <c r="I74" s="18">
        <f t="shared" si="18"/>
        <v>200.394237</v>
      </c>
      <c r="J74" s="18">
        <f t="shared" si="18"/>
        <v>202.180767</v>
      </c>
      <c r="K74" s="18">
        <f t="shared" si="18"/>
        <v>200.03025499999998</v>
      </c>
      <c r="L74" s="18">
        <f t="shared" si="18"/>
        <v>197.247623</v>
      </c>
      <c r="M74" s="17">
        <f t="shared" si="17"/>
        <v>-1.3911055605063227</v>
      </c>
      <c r="N74" s="22"/>
      <c r="O74" s="21"/>
      <c r="P74" s="21"/>
      <c r="Q74" s="22"/>
    </row>
    <row r="75" spans="2:17" s="14" customFormat="1" ht="11.25" customHeight="1">
      <c r="B75" s="19" t="s">
        <v>6</v>
      </c>
      <c r="C75" s="18">
        <v>7.1472000000000091E-2</v>
      </c>
      <c r="D75" s="18">
        <v>8.3114000000000007E-2</v>
      </c>
      <c r="E75" s="18">
        <v>8.2322999999999993E-2</v>
      </c>
      <c r="F75" s="18">
        <v>8.3833000000000005E-2</v>
      </c>
      <c r="G75" s="18">
        <v>7.9959999999999989E-2</v>
      </c>
      <c r="H75" s="18">
        <v>8.0099999999999991E-2</v>
      </c>
      <c r="I75" s="18">
        <v>7.6869000000000104E-2</v>
      </c>
      <c r="J75" s="18">
        <v>7.46109999999999E-2</v>
      </c>
      <c r="K75" s="18">
        <v>8.0373E-2</v>
      </c>
      <c r="L75" s="18">
        <v>6.1314E-2</v>
      </c>
      <c r="M75" s="17">
        <f t="shared" si="17"/>
        <v>-23.713187264379833</v>
      </c>
      <c r="N75" s="22"/>
      <c r="O75" s="21"/>
      <c r="P75" s="21"/>
      <c r="Q75" s="22"/>
    </row>
    <row r="76" spans="2:17" s="14" customFormat="1" ht="11.25" customHeight="1">
      <c r="B76" s="8" t="s">
        <v>9</v>
      </c>
      <c r="C76" s="18">
        <v>3.5176105</v>
      </c>
      <c r="D76" s="18">
        <v>1.154479</v>
      </c>
      <c r="E76" s="18">
        <v>4.0188984999999997</v>
      </c>
      <c r="F76" s="18">
        <v>4.4491570000000005</v>
      </c>
      <c r="G76" s="18">
        <v>4.2964979999999997</v>
      </c>
      <c r="H76" s="18">
        <v>4.8500524999999994</v>
      </c>
      <c r="I76" s="18">
        <v>4.9769860000000001</v>
      </c>
      <c r="J76" s="18">
        <v>5.3468390000000001</v>
      </c>
      <c r="K76" s="18">
        <v>5.3969984999999996</v>
      </c>
      <c r="L76" s="18">
        <v>5.8255785000000007</v>
      </c>
      <c r="M76" s="17">
        <f t="shared" si="17"/>
        <v>7.9410805839579268</v>
      </c>
      <c r="N76" s="22"/>
      <c r="O76" s="21"/>
      <c r="P76" s="21"/>
      <c r="Q76" s="22"/>
    </row>
    <row r="77" spans="2:17" s="14" customFormat="1" ht="11.25" customHeight="1">
      <c r="B77" s="8" t="s">
        <v>10</v>
      </c>
      <c r="C77" s="18">
        <v>3.5176105</v>
      </c>
      <c r="D77" s="18">
        <v>1.154479</v>
      </c>
      <c r="E77" s="18">
        <v>4.0188984999999997</v>
      </c>
      <c r="F77" s="18">
        <v>4.4491570000000005</v>
      </c>
      <c r="G77" s="18">
        <v>4.2964979999999997</v>
      </c>
      <c r="H77" s="18">
        <v>4.8500524999999994</v>
      </c>
      <c r="I77" s="18">
        <v>4.9769860000000001</v>
      </c>
      <c r="J77" s="18">
        <v>5.3468390000000001</v>
      </c>
      <c r="K77" s="18">
        <v>5.3969984999999996</v>
      </c>
      <c r="L77" s="18">
        <v>5.8255785000000007</v>
      </c>
      <c r="M77" s="17">
        <f t="shared" si="17"/>
        <v>7.9410805839579268</v>
      </c>
      <c r="N77" s="22"/>
      <c r="O77" s="21"/>
      <c r="P77" s="21"/>
      <c r="Q77" s="22"/>
    </row>
    <row r="78" spans="2:17" s="14" customFormat="1" ht="11.25" customHeight="1">
      <c r="B78" s="8" t="s">
        <v>8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2"/>
      <c r="O78" s="21"/>
      <c r="P78" s="21"/>
      <c r="Q78" s="22"/>
    </row>
    <row r="79" spans="2:17" s="14" customFormat="1" ht="11.25" customHeight="1">
      <c r="B79" s="28" t="s">
        <v>11</v>
      </c>
      <c r="C79" s="29">
        <f>SUM(C74:C78)</f>
        <v>214.87912599999996</v>
      </c>
      <c r="D79" s="29">
        <f t="shared" ref="D79:L79" si="19">SUM(D74:D78)</f>
        <v>217.33249699999999</v>
      </c>
      <c r="E79" s="29">
        <f t="shared" si="19"/>
        <v>209.67080000000004</v>
      </c>
      <c r="F79" s="29">
        <f t="shared" si="19"/>
        <v>209.79891500000005</v>
      </c>
      <c r="G79" s="29">
        <f t="shared" si="19"/>
        <v>213.20155599999998</v>
      </c>
      <c r="H79" s="29">
        <f t="shared" si="19"/>
        <v>208.28599</v>
      </c>
      <c r="I79" s="29">
        <f t="shared" si="19"/>
        <v>210.42507800000001</v>
      </c>
      <c r="J79" s="29">
        <f t="shared" si="19"/>
        <v>212.94905599999998</v>
      </c>
      <c r="K79" s="29">
        <f t="shared" si="19"/>
        <v>210.90462499999998</v>
      </c>
      <c r="L79" s="29">
        <f t="shared" si="19"/>
        <v>208.96009400000003</v>
      </c>
      <c r="M79" s="30">
        <f>((L79/K79)-1)*100</f>
        <v>-0.92199542802816614</v>
      </c>
      <c r="N79" s="22"/>
      <c r="O79" s="21"/>
      <c r="P79" s="21"/>
      <c r="Q79" s="22"/>
    </row>
    <row r="80" spans="2:17" s="14" customFormat="1" ht="11.25" customHeight="1">
      <c r="B80" s="31" t="s">
        <v>13</v>
      </c>
      <c r="C80" s="32">
        <f t="shared" ref="C80:J80" si="20">C79</f>
        <v>214.87912599999996</v>
      </c>
      <c r="D80" s="32">
        <f t="shared" si="20"/>
        <v>217.33249699999999</v>
      </c>
      <c r="E80" s="32">
        <f t="shared" si="20"/>
        <v>209.67080000000004</v>
      </c>
      <c r="F80" s="32">
        <f t="shared" si="20"/>
        <v>209.79891500000005</v>
      </c>
      <c r="G80" s="32">
        <f t="shared" si="20"/>
        <v>213.20155599999998</v>
      </c>
      <c r="H80" s="32">
        <f t="shared" si="20"/>
        <v>208.28599</v>
      </c>
      <c r="I80" s="32">
        <f t="shared" si="20"/>
        <v>210.42507800000001</v>
      </c>
      <c r="J80" s="32">
        <f t="shared" si="20"/>
        <v>212.94905599999998</v>
      </c>
      <c r="K80" s="32">
        <f>K79</f>
        <v>210.90462499999998</v>
      </c>
      <c r="L80" s="32">
        <f>L79</f>
        <v>208.96009400000003</v>
      </c>
      <c r="M80" s="33">
        <f>((L80/K80)-1)*100</f>
        <v>-0.92199542802816614</v>
      </c>
      <c r="N80" s="22"/>
      <c r="O80" s="21"/>
      <c r="P80" s="21"/>
      <c r="Q80" s="22"/>
    </row>
    <row r="81" spans="2:17" s="14" customFormat="1" ht="11.25" customHeight="1">
      <c r="B81" s="20"/>
      <c r="C81" s="21"/>
      <c r="D81" s="21"/>
      <c r="E81" s="22"/>
      <c r="F81" s="21"/>
      <c r="G81" s="21"/>
      <c r="H81" s="22"/>
      <c r="I81" s="21"/>
      <c r="J81" s="21"/>
      <c r="K81" s="22"/>
      <c r="L81" s="21"/>
      <c r="M81" s="21"/>
      <c r="N81" s="22"/>
      <c r="O81" s="21"/>
      <c r="P81" s="21"/>
      <c r="Q81" s="22"/>
    </row>
    <row r="82" spans="2:17" s="14" customFormat="1" ht="11.25" customHeight="1">
      <c r="B82" s="13" t="s">
        <v>17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2"/>
      <c r="O82" s="21"/>
      <c r="P82" s="21"/>
      <c r="Q82" s="22"/>
    </row>
    <row r="83" spans="2:17" s="14" customFormat="1" ht="11.25" customHeight="1">
      <c r="B83" s="55"/>
      <c r="C83" s="56">
        <v>2011</v>
      </c>
      <c r="D83" s="56">
        <v>2012</v>
      </c>
      <c r="E83" s="56">
        <v>2013</v>
      </c>
      <c r="F83" s="56">
        <v>2014</v>
      </c>
      <c r="G83" s="56">
        <v>2015</v>
      </c>
      <c r="H83" s="56">
        <v>2016</v>
      </c>
      <c r="I83" s="56">
        <v>2017</v>
      </c>
      <c r="J83" s="56">
        <v>2018</v>
      </c>
      <c r="K83" s="56">
        <v>2019</v>
      </c>
      <c r="L83" s="56">
        <v>2020</v>
      </c>
      <c r="M83" s="93" t="s">
        <v>117</v>
      </c>
      <c r="N83" s="22"/>
      <c r="O83" s="21"/>
      <c r="P83" s="21"/>
      <c r="Q83" s="22"/>
    </row>
    <row r="84" spans="2:17" s="14" customFormat="1" ht="11.25" customHeight="1">
      <c r="B84" s="8" t="s">
        <v>1</v>
      </c>
      <c r="C84" s="4">
        <f>SUM(C8,C47)</f>
        <v>30437.318171210001</v>
      </c>
      <c r="D84" s="4">
        <f t="shared" ref="D84:J84" si="21">SUM(D8,D47)</f>
        <v>20653.566634298</v>
      </c>
      <c r="E84" s="4">
        <f t="shared" si="21"/>
        <v>37385.436813940003</v>
      </c>
      <c r="F84" s="4">
        <f t="shared" si="21"/>
        <v>39181.985215203997</v>
      </c>
      <c r="G84" s="4">
        <f t="shared" si="21"/>
        <v>28382.579963850003</v>
      </c>
      <c r="H84" s="4">
        <f t="shared" si="21"/>
        <v>36114.888326772001</v>
      </c>
      <c r="I84" s="4">
        <f t="shared" si="21"/>
        <v>18450.61875066</v>
      </c>
      <c r="J84" s="4">
        <f t="shared" si="21"/>
        <v>34117.24134187201</v>
      </c>
      <c r="K84" s="4">
        <f>SUM(K8,K47)</f>
        <v>24719.015265512</v>
      </c>
      <c r="L84" s="4">
        <f>SUM(L8,L47)</f>
        <v>29878.573928246689</v>
      </c>
      <c r="M84" s="3">
        <f t="shared" ref="M84:M101" si="22">((L84/K84)-1)*100</f>
        <v>20.872832543346952</v>
      </c>
      <c r="N84" s="22"/>
      <c r="O84" s="21"/>
      <c r="P84" s="21"/>
      <c r="Q84" s="22"/>
    </row>
    <row r="85" spans="2:17" s="14" customFormat="1" ht="11.25" customHeight="1">
      <c r="B85" s="8" t="s">
        <v>18</v>
      </c>
      <c r="C85" s="4">
        <f>C9</f>
        <v>2183.53623079</v>
      </c>
      <c r="D85" s="4">
        <f t="shared" ref="D85:L85" si="23">D9</f>
        <v>3201.889743702</v>
      </c>
      <c r="E85" s="4">
        <f t="shared" si="23"/>
        <v>3289.6771840599999</v>
      </c>
      <c r="F85" s="4">
        <f t="shared" si="23"/>
        <v>3415.996026796</v>
      </c>
      <c r="G85" s="4">
        <f t="shared" si="23"/>
        <v>2895.3657881499998</v>
      </c>
      <c r="H85" s="4">
        <f t="shared" si="23"/>
        <v>3134.328910228</v>
      </c>
      <c r="I85" s="4">
        <f t="shared" si="23"/>
        <v>2248.9644183400001</v>
      </c>
      <c r="J85" s="4">
        <f t="shared" si="23"/>
        <v>1993.996008694</v>
      </c>
      <c r="K85" s="4">
        <f t="shared" si="23"/>
        <v>1645.505056342</v>
      </c>
      <c r="L85" s="4">
        <f t="shared" si="23"/>
        <v>2667.8404621979976</v>
      </c>
      <c r="M85" s="3">
        <f t="shared" si="22"/>
        <v>62.128973831820076</v>
      </c>
      <c r="N85" s="22"/>
      <c r="O85" s="21"/>
      <c r="P85" s="21"/>
      <c r="Q85" s="22"/>
    </row>
    <row r="86" spans="2:17" s="14" customFormat="1" ht="11.25" customHeight="1">
      <c r="B86" s="8" t="s">
        <v>2</v>
      </c>
      <c r="C86" s="4">
        <f>C10</f>
        <v>55005.874866999999</v>
      </c>
      <c r="D86" s="4">
        <f t="shared" ref="D86:L86" si="24">D10</f>
        <v>58595.438799000003</v>
      </c>
      <c r="E86" s="4">
        <f t="shared" si="24"/>
        <v>54210.788119000004</v>
      </c>
      <c r="F86" s="4">
        <f t="shared" si="24"/>
        <v>54781.281335</v>
      </c>
      <c r="G86" s="4">
        <f t="shared" si="24"/>
        <v>54661.803305000001</v>
      </c>
      <c r="H86" s="4">
        <f t="shared" si="24"/>
        <v>56021.682058999999</v>
      </c>
      <c r="I86" s="4">
        <f t="shared" si="24"/>
        <v>55539.351045999996</v>
      </c>
      <c r="J86" s="4">
        <f t="shared" si="24"/>
        <v>53197.617429999998</v>
      </c>
      <c r="K86" s="4">
        <f t="shared" si="24"/>
        <v>55824.226774999996</v>
      </c>
      <c r="L86" s="4">
        <f t="shared" si="24"/>
        <v>55527.976481487771</v>
      </c>
      <c r="M86" s="3">
        <f t="shared" si="22"/>
        <v>-0.53068409654156712</v>
      </c>
      <c r="N86" s="22"/>
      <c r="O86" s="21"/>
      <c r="P86" s="21"/>
      <c r="Q86" s="22"/>
    </row>
    <row r="87" spans="2:17" s="14" customFormat="1" ht="11.25" customHeight="1">
      <c r="B87" s="8" t="s">
        <v>3</v>
      </c>
      <c r="C87" s="4">
        <f>SUM(C11,C29)</f>
        <v>43177.464376999997</v>
      </c>
      <c r="D87" s="4">
        <f t="shared" ref="D87:L87" si="25">SUM(D11,D29)</f>
        <v>53779.891172999996</v>
      </c>
      <c r="E87" s="4">
        <f t="shared" si="25"/>
        <v>39441.537715999999</v>
      </c>
      <c r="F87" s="4">
        <f t="shared" si="25"/>
        <v>43246.056496999998</v>
      </c>
      <c r="G87" s="4">
        <f t="shared" si="25"/>
        <v>52616.477597999998</v>
      </c>
      <c r="H87" s="4">
        <f t="shared" si="25"/>
        <v>37313.777751000001</v>
      </c>
      <c r="I87" s="4">
        <f t="shared" si="25"/>
        <v>45019.420393000008</v>
      </c>
      <c r="J87" s="4">
        <f t="shared" si="25"/>
        <v>37276.805715999995</v>
      </c>
      <c r="K87" s="4">
        <f t="shared" si="25"/>
        <v>12670.637397999999</v>
      </c>
      <c r="L87" s="4">
        <f t="shared" si="25"/>
        <v>5063.5190953688934</v>
      </c>
      <c r="M87" s="3">
        <f t="shared" si="22"/>
        <v>-60.037376681869638</v>
      </c>
      <c r="N87" s="22"/>
      <c r="O87" s="21"/>
      <c r="P87" s="21"/>
      <c r="Q87" s="22"/>
    </row>
    <row r="88" spans="2:17" s="14" customFormat="1" ht="11.25" customHeight="1">
      <c r="B88" s="8" t="s">
        <v>20</v>
      </c>
      <c r="C88" s="4">
        <f t="shared" ref="C88:L88" si="26">SUM(C12,C32,C34,C51,C53,C1109,C66,C74)</f>
        <v>7007.9228749999993</v>
      </c>
      <c r="D88" s="4">
        <f t="shared" si="26"/>
        <v>7094.5555100000001</v>
      </c>
      <c r="E88" s="4">
        <f t="shared" si="26"/>
        <v>6563.7810100000006</v>
      </c>
      <c r="F88" s="4">
        <f t="shared" si="26"/>
        <v>6244.3260209999999</v>
      </c>
      <c r="G88" s="4">
        <f t="shared" si="26"/>
        <v>6483.8134279999995</v>
      </c>
      <c r="H88" s="4">
        <f t="shared" si="26"/>
        <v>6754.6440299999995</v>
      </c>
      <c r="I88" s="4">
        <f t="shared" si="26"/>
        <v>7001.5774490000003</v>
      </c>
      <c r="J88" s="4">
        <f t="shared" si="26"/>
        <v>6682.890448000001</v>
      </c>
      <c r="K88" s="4">
        <f t="shared" si="26"/>
        <v>5695.5958879999998</v>
      </c>
      <c r="L88" s="4">
        <f t="shared" si="26"/>
        <v>4197.6184638790555</v>
      </c>
      <c r="M88" s="3">
        <f t="shared" si="22"/>
        <v>-26.300626898004118</v>
      </c>
      <c r="N88" s="22"/>
      <c r="O88" s="21"/>
      <c r="P88" s="21"/>
      <c r="Q88" s="22"/>
    </row>
    <row r="89" spans="2:17" s="14" customFormat="1" ht="11.25" customHeight="1">
      <c r="B89" s="8" t="s">
        <v>21</v>
      </c>
      <c r="C89" s="4">
        <f>SUM(C13,C33,C52)</f>
        <v>53430.948742</v>
      </c>
      <c r="D89" s="4">
        <f t="shared" ref="D89:L89" si="27">SUM(D13,D33,D52)</f>
        <v>41074.444721</v>
      </c>
      <c r="E89" s="4">
        <f t="shared" si="27"/>
        <v>27569.900639</v>
      </c>
      <c r="F89" s="4">
        <f t="shared" si="27"/>
        <v>24828.833996999998</v>
      </c>
      <c r="G89" s="4">
        <f t="shared" si="27"/>
        <v>29027.289334999998</v>
      </c>
      <c r="H89" s="4">
        <f t="shared" si="27"/>
        <v>29006.482094000003</v>
      </c>
      <c r="I89" s="4">
        <f t="shared" si="27"/>
        <v>37065.787082999996</v>
      </c>
      <c r="J89" s="4">
        <f t="shared" si="27"/>
        <v>30044.467194999997</v>
      </c>
      <c r="K89" s="4">
        <f t="shared" si="27"/>
        <v>55241.970218000002</v>
      </c>
      <c r="L89" s="4">
        <f t="shared" si="27"/>
        <v>44619.027530790147</v>
      </c>
      <c r="M89" s="3">
        <f t="shared" si="22"/>
        <v>-19.229840364651739</v>
      </c>
      <c r="N89" s="22"/>
      <c r="O89" s="21"/>
      <c r="P89" s="21"/>
      <c r="Q89" s="22"/>
    </row>
    <row r="90" spans="2:17" s="14" customFormat="1" ht="11.25" customHeight="1">
      <c r="B90" s="8" t="s">
        <v>4</v>
      </c>
      <c r="C90" s="4">
        <f>C54</f>
        <v>0</v>
      </c>
      <c r="D90" s="4">
        <f t="shared" ref="D90:L90" si="28">D54</f>
        <v>0</v>
      </c>
      <c r="E90" s="4">
        <f t="shared" si="28"/>
        <v>0</v>
      </c>
      <c r="F90" s="4">
        <f t="shared" si="28"/>
        <v>0.8892770000000001</v>
      </c>
      <c r="G90" s="4">
        <f t="shared" si="28"/>
        <v>8.2074239999999907</v>
      </c>
      <c r="H90" s="4">
        <f t="shared" si="28"/>
        <v>17.891936000000001</v>
      </c>
      <c r="I90" s="4">
        <f t="shared" si="28"/>
        <v>20.233057000000002</v>
      </c>
      <c r="J90" s="4">
        <f t="shared" si="28"/>
        <v>23.655544000000003</v>
      </c>
      <c r="K90" s="4">
        <f t="shared" si="28"/>
        <v>23.248718</v>
      </c>
      <c r="L90" s="4">
        <f t="shared" si="28"/>
        <v>20.377134309795725</v>
      </c>
      <c r="M90" s="3">
        <f t="shared" si="22"/>
        <v>-12.351578655667272</v>
      </c>
      <c r="N90" s="22"/>
      <c r="O90" s="21"/>
      <c r="P90" s="21"/>
      <c r="Q90" s="22"/>
    </row>
    <row r="91" spans="2:17" s="14" customFormat="1" ht="11.25" customHeight="1">
      <c r="B91" s="8" t="s">
        <v>5</v>
      </c>
      <c r="C91" s="4">
        <f>SUM(C14,C35,C55)</f>
        <v>42477.250768999998</v>
      </c>
      <c r="D91" s="4">
        <f t="shared" ref="D91:L91" si="29">SUM(D14,D35,D55)</f>
        <v>48524.529970999996</v>
      </c>
      <c r="E91" s="4">
        <f t="shared" si="29"/>
        <v>54713.393734999991</v>
      </c>
      <c r="F91" s="4">
        <f t="shared" si="29"/>
        <v>51032.030848000002</v>
      </c>
      <c r="G91" s="4">
        <f t="shared" si="29"/>
        <v>48117.887516000003</v>
      </c>
      <c r="H91" s="4">
        <f t="shared" si="29"/>
        <v>47696.660309000006</v>
      </c>
      <c r="I91" s="4">
        <f t="shared" si="29"/>
        <v>47906.955560999901</v>
      </c>
      <c r="J91" s="4">
        <f t="shared" si="29"/>
        <v>49581.488866000094</v>
      </c>
      <c r="K91" s="4">
        <f t="shared" si="29"/>
        <v>54245.055898999999</v>
      </c>
      <c r="L91" s="4">
        <f t="shared" si="29"/>
        <v>54249.506066343711</v>
      </c>
      <c r="M91" s="3">
        <f t="shared" si="22"/>
        <v>8.2038211039803244E-3</v>
      </c>
      <c r="N91" s="22"/>
      <c r="O91" s="21"/>
      <c r="P91" s="21"/>
      <c r="Q91" s="22"/>
    </row>
    <row r="92" spans="2:17" s="14" customFormat="1" ht="11.25" customHeight="1">
      <c r="B92" s="8" t="s">
        <v>6</v>
      </c>
      <c r="C92" s="4">
        <f>SUM(C15,C36,C56,C75)</f>
        <v>7440.752379999989</v>
      </c>
      <c r="D92" s="4">
        <f t="shared" ref="D92:L92" si="30">SUM(D15,D36,D56,D75)</f>
        <v>8202.259145</v>
      </c>
      <c r="E92" s="4">
        <f t="shared" si="30"/>
        <v>8327.2745960000011</v>
      </c>
      <c r="F92" s="4">
        <f t="shared" si="30"/>
        <v>8207.9261310000002</v>
      </c>
      <c r="G92" s="4">
        <f t="shared" si="30"/>
        <v>8243.5609049999985</v>
      </c>
      <c r="H92" s="4">
        <f t="shared" si="30"/>
        <v>7977.4671850000004</v>
      </c>
      <c r="I92" s="4">
        <f t="shared" si="30"/>
        <v>8397.7526930000004</v>
      </c>
      <c r="J92" s="4">
        <f t="shared" si="30"/>
        <v>7766.1784250000101</v>
      </c>
      <c r="K92" s="4">
        <f t="shared" si="30"/>
        <v>9252.0188810000018</v>
      </c>
      <c r="L92" s="4">
        <f t="shared" si="30"/>
        <v>15344.57049696616</v>
      </c>
      <c r="M92" s="3">
        <f t="shared" si="22"/>
        <v>65.85105039590718</v>
      </c>
      <c r="N92" s="22"/>
      <c r="O92" s="21"/>
      <c r="P92" s="21"/>
      <c r="Q92" s="22"/>
    </row>
    <row r="93" spans="2:17" s="14" customFormat="1" ht="11.25" customHeight="1">
      <c r="B93" s="8" t="s">
        <v>7</v>
      </c>
      <c r="C93" s="4">
        <f>C16</f>
        <v>1861.6415490000002</v>
      </c>
      <c r="D93" s="4">
        <f t="shared" ref="D93:L93" si="31">D16</f>
        <v>3447.4936120000002</v>
      </c>
      <c r="E93" s="4">
        <f t="shared" si="31"/>
        <v>4441.5275350000002</v>
      </c>
      <c r="F93" s="4">
        <f t="shared" si="31"/>
        <v>4958.9149260000004</v>
      </c>
      <c r="G93" s="4">
        <f t="shared" si="31"/>
        <v>5085.2355140000009</v>
      </c>
      <c r="H93" s="4">
        <f t="shared" si="31"/>
        <v>5071.2017019999994</v>
      </c>
      <c r="I93" s="4">
        <f t="shared" si="31"/>
        <v>5347.9524650000003</v>
      </c>
      <c r="J93" s="4">
        <f t="shared" si="31"/>
        <v>4424.3266739999999</v>
      </c>
      <c r="K93" s="4">
        <f t="shared" si="31"/>
        <v>5166.4311449999996</v>
      </c>
      <c r="L93" s="4">
        <f t="shared" si="31"/>
        <v>4584.6236297969999</v>
      </c>
      <c r="M93" s="3">
        <f t="shared" si="22"/>
        <v>-11.261303961557001</v>
      </c>
      <c r="N93" s="22"/>
      <c r="O93" s="21"/>
      <c r="P93" s="21"/>
      <c r="Q93" s="22"/>
    </row>
    <row r="94" spans="2:17" s="14" customFormat="1" ht="11.25" customHeight="1">
      <c r="B94" s="8" t="s">
        <v>22</v>
      </c>
      <c r="C94" s="4">
        <f>SUM(C17,C37,C57)</f>
        <v>3714.0342680000003</v>
      </c>
      <c r="D94" s="4">
        <f t="shared" ref="D94:L94" si="32">SUM(D17,D37,D57)</f>
        <v>3791.083419</v>
      </c>
      <c r="E94" s="4">
        <f t="shared" si="32"/>
        <v>4334.2854390000002</v>
      </c>
      <c r="F94" s="4">
        <f t="shared" si="32"/>
        <v>3816.3157169999999</v>
      </c>
      <c r="G94" s="4">
        <f t="shared" si="32"/>
        <v>3432.5919209999997</v>
      </c>
      <c r="H94" s="4">
        <f t="shared" si="32"/>
        <v>3425.6648279999999</v>
      </c>
      <c r="I94" s="4">
        <f t="shared" si="32"/>
        <v>3610.347882</v>
      </c>
      <c r="J94" s="4">
        <f t="shared" si="32"/>
        <v>3557.4391099999998</v>
      </c>
      <c r="K94" s="4">
        <f t="shared" si="32"/>
        <v>3617.7152290000004</v>
      </c>
      <c r="L94" s="4">
        <f t="shared" si="32"/>
        <v>4463.0003987477758</v>
      </c>
      <c r="M94" s="3">
        <f t="shared" si="22"/>
        <v>23.365166029981488</v>
      </c>
      <c r="N94" s="22"/>
      <c r="O94" s="21"/>
      <c r="P94" s="21"/>
      <c r="Q94" s="22"/>
    </row>
    <row r="95" spans="2:17" s="14" customFormat="1" ht="11.25" customHeight="1">
      <c r="B95" s="8" t="s">
        <v>8</v>
      </c>
      <c r="C95" s="4">
        <f>SUM(C18,C38,C58,C78)</f>
        <v>30593.251724000002</v>
      </c>
      <c r="D95" s="4">
        <f t="shared" ref="D95:L95" si="33">SUM(D18,D38,D58,D78)</f>
        <v>32444.285102999998</v>
      </c>
      <c r="E95" s="4">
        <f t="shared" si="33"/>
        <v>30835.664589</v>
      </c>
      <c r="F95" s="4">
        <f t="shared" si="33"/>
        <v>24153.243881999999</v>
      </c>
      <c r="G95" s="4">
        <f t="shared" si="33"/>
        <v>25200.877766000001</v>
      </c>
      <c r="H95" s="4">
        <f t="shared" si="33"/>
        <v>25908.643558999996</v>
      </c>
      <c r="I95" s="4">
        <f t="shared" si="33"/>
        <v>28211.806703000002</v>
      </c>
      <c r="J95" s="4">
        <f t="shared" si="33"/>
        <v>29006.757239999999</v>
      </c>
      <c r="K95" s="4">
        <f t="shared" si="33"/>
        <v>29615.139048999998</v>
      </c>
      <c r="L95" s="4">
        <f t="shared" si="33"/>
        <v>27025.769807496414</v>
      </c>
      <c r="M95" s="3">
        <f t="shared" si="22"/>
        <v>-8.7433972105257389</v>
      </c>
      <c r="N95" s="22"/>
      <c r="O95" s="21"/>
      <c r="P95" s="21"/>
      <c r="Q95" s="22"/>
    </row>
    <row r="96" spans="2:17" s="14" customFormat="1" ht="11.25" customHeight="1">
      <c r="B96" s="8" t="s">
        <v>9</v>
      </c>
      <c r="C96" s="4">
        <f>SUM(C19,C39,C76)</f>
        <v>1287.7704799999999</v>
      </c>
      <c r="D96" s="4">
        <f t="shared" ref="D96:L96" si="34">SUM(D19,D39,D76)</f>
        <v>1589.415894</v>
      </c>
      <c r="E96" s="4">
        <f t="shared" si="34"/>
        <v>1617.2360285</v>
      </c>
      <c r="F96" s="4">
        <f t="shared" si="34"/>
        <v>1965.8770434999999</v>
      </c>
      <c r="G96" s="4">
        <f t="shared" si="34"/>
        <v>2480.1089684999997</v>
      </c>
      <c r="H96" s="4">
        <f t="shared" si="34"/>
        <v>2606.9637645000003</v>
      </c>
      <c r="I96" s="4">
        <f t="shared" si="34"/>
        <v>2607.9845150000001</v>
      </c>
      <c r="J96" s="4">
        <f t="shared" si="34"/>
        <v>2434.9627860000001</v>
      </c>
      <c r="K96" s="4">
        <f t="shared" si="34"/>
        <v>2222.463307</v>
      </c>
      <c r="L96" s="4">
        <f t="shared" si="34"/>
        <v>2016.320294971528</v>
      </c>
      <c r="M96" s="3">
        <f t="shared" si="22"/>
        <v>-9.2754292671195948</v>
      </c>
      <c r="N96" s="22"/>
      <c r="O96" s="21"/>
      <c r="P96" s="21"/>
      <c r="Q96" s="22"/>
    </row>
    <row r="97" spans="2:17" s="14" customFormat="1" ht="11.25" customHeight="1">
      <c r="B97" s="8" t="s">
        <v>10</v>
      </c>
      <c r="C97" s="4">
        <f>SUM(C20,C40,C77)</f>
        <v>736.055744</v>
      </c>
      <c r="D97" s="4">
        <f t="shared" ref="D97:L97" si="35">SUM(D20,D40,D77)</f>
        <v>719.78999699999997</v>
      </c>
      <c r="E97" s="4">
        <f t="shared" si="35"/>
        <v>555.73950250000007</v>
      </c>
      <c r="F97" s="4">
        <f t="shared" si="35"/>
        <v>678.0715725</v>
      </c>
      <c r="G97" s="4">
        <f t="shared" si="35"/>
        <v>818.04970250000008</v>
      </c>
      <c r="H97" s="4">
        <f t="shared" si="35"/>
        <v>785.39502949999996</v>
      </c>
      <c r="I97" s="4">
        <f t="shared" si="35"/>
        <v>877.00608699999896</v>
      </c>
      <c r="J97" s="4">
        <f t="shared" si="35"/>
        <v>874.075245</v>
      </c>
      <c r="K97" s="4">
        <f t="shared" si="35"/>
        <v>889.81374999999991</v>
      </c>
      <c r="L97" s="4">
        <f t="shared" si="35"/>
        <v>728.51113397152824</v>
      </c>
      <c r="M97" s="3">
        <f t="shared" si="22"/>
        <v>-18.127683015515515</v>
      </c>
      <c r="N97" s="22"/>
      <c r="O97" s="21"/>
      <c r="P97" s="21"/>
      <c r="Q97" s="22"/>
    </row>
    <row r="98" spans="2:17" s="14" customFormat="1" ht="11.25" customHeight="1">
      <c r="B98" s="28" t="s">
        <v>11</v>
      </c>
      <c r="C98" s="29">
        <f>SUM(C84:C97)</f>
        <v>279353.82217699999</v>
      </c>
      <c r="D98" s="29">
        <f t="shared" ref="D98:L98" si="36">SUM(D84:D97)</f>
        <v>283118.64372199995</v>
      </c>
      <c r="E98" s="29">
        <f t="shared" si="36"/>
        <v>273286.24290700001</v>
      </c>
      <c r="F98" s="29">
        <f t="shared" si="36"/>
        <v>266511.74848899996</v>
      </c>
      <c r="G98" s="29">
        <f t="shared" si="36"/>
        <v>267453.84913499997</v>
      </c>
      <c r="H98" s="29">
        <f t="shared" si="36"/>
        <v>261835.69148399998</v>
      </c>
      <c r="I98" s="29">
        <f t="shared" si="36"/>
        <v>262305.75810299988</v>
      </c>
      <c r="J98" s="29">
        <f t="shared" si="36"/>
        <v>260981.90202956612</v>
      </c>
      <c r="K98" s="29">
        <f t="shared" si="36"/>
        <v>260828.83657885398</v>
      </c>
      <c r="L98" s="29">
        <f t="shared" si="36"/>
        <v>250387.23492457441</v>
      </c>
      <c r="M98" s="30">
        <f t="shared" si="22"/>
        <v>-4.0032389789550145</v>
      </c>
      <c r="N98" s="22"/>
      <c r="O98" s="21"/>
      <c r="P98" s="21"/>
      <c r="Q98" s="22"/>
    </row>
    <row r="99" spans="2:17" s="14" customFormat="1" ht="11.25" customHeight="1">
      <c r="B99" s="16" t="s">
        <v>12</v>
      </c>
      <c r="C99" s="4">
        <f>C22</f>
        <v>-3241.4938166299999</v>
      </c>
      <c r="D99" s="4">
        <f t="shared" ref="D99:L99" si="37">D22</f>
        <v>-5059.13099959801</v>
      </c>
      <c r="E99" s="4">
        <f t="shared" si="37"/>
        <v>-5955.7760918140002</v>
      </c>
      <c r="F99" s="4">
        <f t="shared" si="37"/>
        <v>-5385.7688595580003</v>
      </c>
      <c r="G99" s="4">
        <f t="shared" si="37"/>
        <v>-4512.2514306060002</v>
      </c>
      <c r="H99" s="4">
        <f t="shared" si="37"/>
        <v>-4827.5850676680002</v>
      </c>
      <c r="I99" s="4">
        <f t="shared" si="37"/>
        <v>-3607.5809876580001</v>
      </c>
      <c r="J99" s="4">
        <f t="shared" si="37"/>
        <v>-3198.4323789730001</v>
      </c>
      <c r="K99" s="4">
        <f t="shared" si="37"/>
        <v>-3027.310623246</v>
      </c>
      <c r="L99" s="4">
        <f t="shared" si="37"/>
        <v>-4527.3848438392861</v>
      </c>
      <c r="M99" s="3">
        <f t="shared" si="22"/>
        <v>49.551380987288596</v>
      </c>
      <c r="N99" s="22"/>
      <c r="O99" s="21"/>
      <c r="P99" s="21"/>
      <c r="Q99" s="22"/>
    </row>
    <row r="100" spans="2:17" s="14" customFormat="1" ht="11.25" customHeight="1">
      <c r="B100" s="16" t="s">
        <v>24</v>
      </c>
      <c r="C100" s="4">
        <f>C24</f>
        <v>-6090.1263339999996</v>
      </c>
      <c r="D100" s="4">
        <f t="shared" ref="D100:L100" si="38">D24</f>
        <v>-11199.953591</v>
      </c>
      <c r="E100" s="4">
        <f t="shared" si="38"/>
        <v>-6732.1324500000001</v>
      </c>
      <c r="F100" s="4">
        <f t="shared" si="38"/>
        <v>-3406.1240240000002</v>
      </c>
      <c r="G100" s="4">
        <f t="shared" si="38"/>
        <v>-133.163163</v>
      </c>
      <c r="H100" s="4">
        <f t="shared" si="38"/>
        <v>7658.0436909999999</v>
      </c>
      <c r="I100" s="4">
        <f t="shared" si="38"/>
        <v>9168.9935229999992</v>
      </c>
      <c r="J100" s="4">
        <f t="shared" si="38"/>
        <v>11102.311146</v>
      </c>
      <c r="K100" s="4">
        <f t="shared" si="38"/>
        <v>6862.325049</v>
      </c>
      <c r="L100" s="4">
        <f t="shared" si="38"/>
        <v>3856.6285868984164</v>
      </c>
      <c r="M100" s="3">
        <f t="shared" si="22"/>
        <v>-43.799972176188064</v>
      </c>
      <c r="N100" s="22"/>
      <c r="O100" s="21"/>
      <c r="P100" s="21"/>
      <c r="Q100" s="22"/>
    </row>
    <row r="101" spans="2:17" s="14" customFormat="1" ht="11.25" customHeight="1">
      <c r="B101" s="31" t="s">
        <v>13</v>
      </c>
      <c r="C101" s="32">
        <f>SUM(C98:C100)</f>
        <v>270022.20202637004</v>
      </c>
      <c r="D101" s="32">
        <f t="shared" ref="D101:L101" si="39">SUM(D98:D100)</f>
        <v>266859.55913140194</v>
      </c>
      <c r="E101" s="32">
        <f t="shared" si="39"/>
        <v>260598.33436518602</v>
      </c>
      <c r="F101" s="32">
        <f t="shared" si="39"/>
        <v>257719.85560544196</v>
      </c>
      <c r="G101" s="32">
        <f t="shared" si="39"/>
        <v>262808.43454139394</v>
      </c>
      <c r="H101" s="32">
        <f t="shared" si="39"/>
        <v>264666.15010733198</v>
      </c>
      <c r="I101" s="32">
        <f t="shared" si="39"/>
        <v>267867.17063834186</v>
      </c>
      <c r="J101" s="32">
        <f t="shared" si="39"/>
        <v>268885.78079659311</v>
      </c>
      <c r="K101" s="32">
        <f t="shared" si="39"/>
        <v>264663.85100460798</v>
      </c>
      <c r="L101" s="32">
        <f t="shared" si="39"/>
        <v>249716.47866763355</v>
      </c>
      <c r="M101" s="33">
        <f t="shared" si="22"/>
        <v>-5.6476818727746014</v>
      </c>
      <c r="N101" s="22"/>
      <c r="O101" s="21"/>
      <c r="P101" s="21"/>
      <c r="Q101" s="22"/>
    </row>
    <row r="102" spans="2:17" s="14" customFormat="1" ht="11.25" customHeight="1">
      <c r="B102" s="20"/>
      <c r="C102" s="21"/>
      <c r="D102" s="21"/>
      <c r="E102" s="22"/>
      <c r="F102" s="21"/>
      <c r="G102" s="21"/>
      <c r="H102" s="22"/>
      <c r="I102" s="21"/>
      <c r="J102" s="21"/>
      <c r="K102" s="22"/>
      <c r="L102" s="21"/>
      <c r="M102" s="21"/>
      <c r="N102" s="22"/>
      <c r="O102" s="21"/>
      <c r="P102" s="21"/>
      <c r="Q102" s="22"/>
    </row>
    <row r="103" spans="2:17" s="14" customFormat="1" ht="11.25" customHeight="1">
      <c r="B103" s="13" t="s">
        <v>145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2"/>
      <c r="O103" s="21"/>
      <c r="P103" s="21"/>
      <c r="Q103" s="22"/>
    </row>
    <row r="104" spans="2:17" s="14" customFormat="1" ht="11.25" customHeight="1">
      <c r="B104" s="55"/>
      <c r="C104" s="56">
        <v>2011</v>
      </c>
      <c r="D104" s="56">
        <v>2012</v>
      </c>
      <c r="E104" s="56">
        <v>2013</v>
      </c>
      <c r="F104" s="56">
        <v>2014</v>
      </c>
      <c r="G104" s="56">
        <v>2015</v>
      </c>
      <c r="H104" s="56">
        <v>2016</v>
      </c>
      <c r="I104" s="56">
        <v>2017</v>
      </c>
      <c r="J104" s="56">
        <v>2018</v>
      </c>
      <c r="K104" s="56">
        <v>2019</v>
      </c>
      <c r="L104" s="56">
        <v>2020</v>
      </c>
      <c r="M104" s="93" t="s">
        <v>117</v>
      </c>
      <c r="N104" s="22"/>
      <c r="O104" s="21"/>
      <c r="P104" s="21"/>
      <c r="Q104" s="22"/>
    </row>
    <row r="105" spans="2:17" s="14" customFormat="1" ht="11.25" customHeight="1">
      <c r="B105" s="8" t="s">
        <v>1</v>
      </c>
      <c r="C105" s="4">
        <f>C84</f>
        <v>30437.318171210001</v>
      </c>
      <c r="D105" s="4">
        <f t="shared" ref="D105:K105" si="40">D84</f>
        <v>20653.566634298</v>
      </c>
      <c r="E105" s="4">
        <f t="shared" si="40"/>
        <v>37385.436813940003</v>
      </c>
      <c r="F105" s="4">
        <f t="shared" si="40"/>
        <v>39181.985215203997</v>
      </c>
      <c r="G105" s="4">
        <f t="shared" si="40"/>
        <v>28382.579963850003</v>
      </c>
      <c r="H105" s="4">
        <f t="shared" si="40"/>
        <v>36114.888326772001</v>
      </c>
      <c r="I105" s="4">
        <f t="shared" si="40"/>
        <v>18450.61875066</v>
      </c>
      <c r="J105" s="4">
        <f t="shared" si="40"/>
        <v>34117.24134187201</v>
      </c>
      <c r="K105" s="4">
        <f t="shared" si="40"/>
        <v>24719.015265512</v>
      </c>
      <c r="L105" s="4">
        <f>L84</f>
        <v>29878.573928246689</v>
      </c>
      <c r="M105" s="3">
        <f t="shared" ref="M105:M118" si="41">((L105/K105)-1)*100</f>
        <v>20.872832543346952</v>
      </c>
      <c r="N105" s="22"/>
      <c r="O105" s="21"/>
      <c r="P105" s="21"/>
      <c r="Q105" s="22"/>
    </row>
    <row r="106" spans="2:17" s="14" customFormat="1" ht="11.25" customHeight="1">
      <c r="B106" s="8" t="s">
        <v>18</v>
      </c>
      <c r="C106" s="4">
        <f t="shared" ref="C106:L118" si="42">C85</f>
        <v>2183.53623079</v>
      </c>
      <c r="D106" s="4">
        <f t="shared" si="42"/>
        <v>3201.889743702</v>
      </c>
      <c r="E106" s="4">
        <f t="shared" si="42"/>
        <v>3289.6771840599999</v>
      </c>
      <c r="F106" s="4">
        <f t="shared" si="42"/>
        <v>3415.996026796</v>
      </c>
      <c r="G106" s="4">
        <f t="shared" si="42"/>
        <v>2895.3657881499998</v>
      </c>
      <c r="H106" s="4">
        <f t="shared" si="42"/>
        <v>3134.328910228</v>
      </c>
      <c r="I106" s="4">
        <f t="shared" si="42"/>
        <v>2248.9644183400001</v>
      </c>
      <c r="J106" s="4">
        <f t="shared" si="42"/>
        <v>1993.996008694</v>
      </c>
      <c r="K106" s="4">
        <f t="shared" si="42"/>
        <v>1645.505056342</v>
      </c>
      <c r="L106" s="4">
        <f t="shared" si="42"/>
        <v>2667.8404621979976</v>
      </c>
      <c r="M106" s="3">
        <f t="shared" si="41"/>
        <v>62.128973831820076</v>
      </c>
      <c r="N106" s="22"/>
      <c r="O106" s="21"/>
      <c r="P106" s="21"/>
      <c r="Q106" s="22"/>
    </row>
    <row r="107" spans="2:17" s="14" customFormat="1" ht="11.25" customHeight="1">
      <c r="B107" s="8" t="s">
        <v>2</v>
      </c>
      <c r="C107" s="4">
        <f t="shared" si="42"/>
        <v>55005.874866999999</v>
      </c>
      <c r="D107" s="4">
        <f t="shared" si="42"/>
        <v>58595.438799000003</v>
      </c>
      <c r="E107" s="4">
        <f t="shared" si="42"/>
        <v>54210.788119000004</v>
      </c>
      <c r="F107" s="4">
        <f t="shared" si="42"/>
        <v>54781.281335</v>
      </c>
      <c r="G107" s="4">
        <f t="shared" si="42"/>
        <v>54661.803305000001</v>
      </c>
      <c r="H107" s="4">
        <f t="shared" si="42"/>
        <v>56021.682058999999</v>
      </c>
      <c r="I107" s="4">
        <f t="shared" si="42"/>
        <v>55539.351045999996</v>
      </c>
      <c r="J107" s="4">
        <f t="shared" si="42"/>
        <v>53197.617429999998</v>
      </c>
      <c r="K107" s="4">
        <f t="shared" si="42"/>
        <v>55824.226774999996</v>
      </c>
      <c r="L107" s="4">
        <f t="shared" si="42"/>
        <v>55527.976481487771</v>
      </c>
      <c r="M107" s="3">
        <f t="shared" si="41"/>
        <v>-0.53068409654156712</v>
      </c>
      <c r="N107" s="22"/>
      <c r="O107" s="21"/>
      <c r="P107" s="21"/>
      <c r="Q107" s="22"/>
    </row>
    <row r="108" spans="2:17" s="14" customFormat="1" ht="11.25" customHeight="1">
      <c r="B108" s="8" t="s">
        <v>3</v>
      </c>
      <c r="C108" s="4">
        <f t="shared" si="42"/>
        <v>43177.464376999997</v>
      </c>
      <c r="D108" s="4">
        <f t="shared" si="42"/>
        <v>53779.891172999996</v>
      </c>
      <c r="E108" s="4">
        <f t="shared" si="42"/>
        <v>39441.537715999999</v>
      </c>
      <c r="F108" s="4">
        <f t="shared" si="42"/>
        <v>43246.056496999998</v>
      </c>
      <c r="G108" s="4">
        <f t="shared" si="42"/>
        <v>52616.477597999998</v>
      </c>
      <c r="H108" s="4">
        <f t="shared" si="42"/>
        <v>37313.777751000001</v>
      </c>
      <c r="I108" s="4">
        <f t="shared" si="42"/>
        <v>45019.420393000008</v>
      </c>
      <c r="J108" s="4">
        <f t="shared" si="42"/>
        <v>37276.805715999995</v>
      </c>
      <c r="K108" s="4">
        <f t="shared" si="42"/>
        <v>12670.637397999999</v>
      </c>
      <c r="L108" s="4">
        <f t="shared" si="42"/>
        <v>5063.5190953688934</v>
      </c>
      <c r="M108" s="3">
        <f t="shared" si="41"/>
        <v>-60.037376681869638</v>
      </c>
      <c r="N108" s="22"/>
      <c r="O108" s="21"/>
      <c r="P108" s="21"/>
      <c r="Q108" s="22"/>
    </row>
    <row r="109" spans="2:17" s="14" customFormat="1" ht="11.25" customHeight="1">
      <c r="B109" s="8" t="s">
        <v>20</v>
      </c>
      <c r="C109" s="4">
        <f t="shared" si="42"/>
        <v>7007.9228749999993</v>
      </c>
      <c r="D109" s="4">
        <f t="shared" si="42"/>
        <v>7094.5555100000001</v>
      </c>
      <c r="E109" s="4">
        <f t="shared" si="42"/>
        <v>6563.7810100000006</v>
      </c>
      <c r="F109" s="4">
        <f t="shared" si="42"/>
        <v>6244.3260209999999</v>
      </c>
      <c r="G109" s="4">
        <f t="shared" si="42"/>
        <v>6483.8134279999995</v>
      </c>
      <c r="H109" s="4">
        <f t="shared" si="42"/>
        <v>6754.6440299999995</v>
      </c>
      <c r="I109" s="4">
        <f t="shared" si="42"/>
        <v>7001.5774490000003</v>
      </c>
      <c r="J109" s="4">
        <f t="shared" si="42"/>
        <v>6682.890448000001</v>
      </c>
      <c r="K109" s="4">
        <f t="shared" si="42"/>
        <v>5695.5958879999998</v>
      </c>
      <c r="L109" s="4">
        <f t="shared" si="42"/>
        <v>4197.6184638790555</v>
      </c>
      <c r="M109" s="3">
        <f t="shared" si="41"/>
        <v>-26.300626898004118</v>
      </c>
      <c r="N109" s="22"/>
      <c r="O109" s="21"/>
      <c r="P109" s="21"/>
      <c r="Q109" s="22"/>
    </row>
    <row r="110" spans="2:17" s="14" customFormat="1" ht="11.25" customHeight="1">
      <c r="B110" s="8" t="s">
        <v>21</v>
      </c>
      <c r="C110" s="4">
        <f t="shared" si="42"/>
        <v>53430.948742</v>
      </c>
      <c r="D110" s="4">
        <f t="shared" si="42"/>
        <v>41074.444721</v>
      </c>
      <c r="E110" s="4">
        <f t="shared" si="42"/>
        <v>27569.900639</v>
      </c>
      <c r="F110" s="4">
        <f t="shared" si="42"/>
        <v>24828.833996999998</v>
      </c>
      <c r="G110" s="4">
        <f t="shared" si="42"/>
        <v>29027.289334999998</v>
      </c>
      <c r="H110" s="4">
        <f t="shared" si="42"/>
        <v>29006.482094000003</v>
      </c>
      <c r="I110" s="4">
        <f t="shared" si="42"/>
        <v>37065.787082999996</v>
      </c>
      <c r="J110" s="4">
        <f t="shared" si="42"/>
        <v>30044.467194999997</v>
      </c>
      <c r="K110" s="4">
        <f t="shared" si="42"/>
        <v>55241.970218000002</v>
      </c>
      <c r="L110" s="4">
        <f t="shared" si="42"/>
        <v>44619.027530790147</v>
      </c>
      <c r="M110" s="3">
        <f t="shared" si="41"/>
        <v>-19.229840364651739</v>
      </c>
      <c r="N110" s="22"/>
      <c r="O110" s="21"/>
      <c r="P110" s="21"/>
      <c r="Q110" s="22"/>
    </row>
    <row r="111" spans="2:17" s="14" customFormat="1" ht="11.25" customHeight="1">
      <c r="B111" s="8" t="s">
        <v>4</v>
      </c>
      <c r="C111" s="4">
        <f t="shared" si="42"/>
        <v>0</v>
      </c>
      <c r="D111" s="4">
        <f t="shared" si="42"/>
        <v>0</v>
      </c>
      <c r="E111" s="4">
        <f t="shared" si="42"/>
        <v>0</v>
      </c>
      <c r="F111" s="4">
        <f t="shared" si="42"/>
        <v>0.8892770000000001</v>
      </c>
      <c r="G111" s="4">
        <f t="shared" si="42"/>
        <v>8.2074239999999907</v>
      </c>
      <c r="H111" s="4">
        <f t="shared" si="42"/>
        <v>17.891936000000001</v>
      </c>
      <c r="I111" s="4">
        <f t="shared" si="42"/>
        <v>20.233057000000002</v>
      </c>
      <c r="J111" s="4">
        <f t="shared" si="42"/>
        <v>23.655544000000003</v>
      </c>
      <c r="K111" s="4">
        <f t="shared" si="42"/>
        <v>23.248718</v>
      </c>
      <c r="L111" s="4">
        <f t="shared" si="42"/>
        <v>20.377134309795725</v>
      </c>
      <c r="M111" s="3">
        <f t="shared" si="41"/>
        <v>-12.351578655667272</v>
      </c>
      <c r="N111" s="22"/>
      <c r="O111" s="21"/>
      <c r="P111" s="21"/>
      <c r="Q111" s="22"/>
    </row>
    <row r="112" spans="2:17" s="14" customFormat="1" ht="11.25" customHeight="1">
      <c r="B112" s="8" t="s">
        <v>5</v>
      </c>
      <c r="C112" s="4">
        <f t="shared" si="42"/>
        <v>42477.250768999998</v>
      </c>
      <c r="D112" s="4">
        <f t="shared" si="42"/>
        <v>48524.529970999996</v>
      </c>
      <c r="E112" s="4">
        <f t="shared" si="42"/>
        <v>54713.393734999991</v>
      </c>
      <c r="F112" s="4">
        <f t="shared" si="42"/>
        <v>51032.030848000002</v>
      </c>
      <c r="G112" s="4">
        <f t="shared" si="42"/>
        <v>48117.887516000003</v>
      </c>
      <c r="H112" s="4">
        <f t="shared" si="42"/>
        <v>47696.660309000006</v>
      </c>
      <c r="I112" s="4">
        <f t="shared" si="42"/>
        <v>47906.955560999901</v>
      </c>
      <c r="J112" s="4">
        <f t="shared" si="42"/>
        <v>49581.488866000094</v>
      </c>
      <c r="K112" s="4">
        <f t="shared" si="42"/>
        <v>54245.055898999999</v>
      </c>
      <c r="L112" s="4">
        <f t="shared" si="42"/>
        <v>54249.506066343711</v>
      </c>
      <c r="M112" s="3">
        <f t="shared" si="41"/>
        <v>8.2038211039803244E-3</v>
      </c>
      <c r="N112" s="22"/>
      <c r="O112" s="21"/>
      <c r="P112" s="21"/>
      <c r="Q112" s="22"/>
    </row>
    <row r="113" spans="2:17" s="14" customFormat="1" ht="11.25" customHeight="1">
      <c r="B113" s="8" t="s">
        <v>6</v>
      </c>
      <c r="C113" s="4">
        <f t="shared" si="42"/>
        <v>7440.752379999989</v>
      </c>
      <c r="D113" s="4">
        <f t="shared" si="42"/>
        <v>8202.259145</v>
      </c>
      <c r="E113" s="4">
        <f t="shared" si="42"/>
        <v>8327.2745960000011</v>
      </c>
      <c r="F113" s="4">
        <f t="shared" si="42"/>
        <v>8207.9261310000002</v>
      </c>
      <c r="G113" s="4">
        <f t="shared" si="42"/>
        <v>8243.5609049999985</v>
      </c>
      <c r="H113" s="4">
        <f t="shared" si="42"/>
        <v>7977.4671850000004</v>
      </c>
      <c r="I113" s="4">
        <f t="shared" si="42"/>
        <v>8397.7526930000004</v>
      </c>
      <c r="J113" s="4">
        <f t="shared" si="42"/>
        <v>7766.1784250000101</v>
      </c>
      <c r="K113" s="4">
        <f t="shared" si="42"/>
        <v>9252.0188810000018</v>
      </c>
      <c r="L113" s="4">
        <f t="shared" si="42"/>
        <v>15344.57049696616</v>
      </c>
      <c r="M113" s="3">
        <f t="shared" si="41"/>
        <v>65.85105039590718</v>
      </c>
      <c r="N113" s="22"/>
      <c r="O113" s="21"/>
      <c r="P113" s="21"/>
      <c r="Q113" s="22"/>
    </row>
    <row r="114" spans="2:17" s="14" customFormat="1" ht="11.25" customHeight="1">
      <c r="B114" s="8" t="s">
        <v>7</v>
      </c>
      <c r="C114" s="4">
        <f t="shared" si="42"/>
        <v>1861.6415490000002</v>
      </c>
      <c r="D114" s="4">
        <f t="shared" si="42"/>
        <v>3447.4936120000002</v>
      </c>
      <c r="E114" s="4">
        <f t="shared" si="42"/>
        <v>4441.5275350000002</v>
      </c>
      <c r="F114" s="4">
        <f t="shared" si="42"/>
        <v>4958.9149260000004</v>
      </c>
      <c r="G114" s="4">
        <f t="shared" si="42"/>
        <v>5085.2355140000009</v>
      </c>
      <c r="H114" s="4">
        <f t="shared" si="42"/>
        <v>5071.2017019999994</v>
      </c>
      <c r="I114" s="4">
        <f t="shared" si="42"/>
        <v>5347.9524650000003</v>
      </c>
      <c r="J114" s="4">
        <f t="shared" si="42"/>
        <v>4424.3266739999999</v>
      </c>
      <c r="K114" s="4">
        <f t="shared" si="42"/>
        <v>5166.4311449999996</v>
      </c>
      <c r="L114" s="4">
        <f t="shared" si="42"/>
        <v>4584.6236297969999</v>
      </c>
      <c r="M114" s="3">
        <f t="shared" si="41"/>
        <v>-11.261303961557001</v>
      </c>
      <c r="N114" s="22"/>
      <c r="O114" s="21"/>
      <c r="P114" s="21"/>
      <c r="Q114" s="22"/>
    </row>
    <row r="115" spans="2:17" s="14" customFormat="1" ht="11.25" customHeight="1">
      <c r="B115" s="8" t="s">
        <v>22</v>
      </c>
      <c r="C115" s="4">
        <f t="shared" si="42"/>
        <v>3714.0342680000003</v>
      </c>
      <c r="D115" s="4">
        <f t="shared" si="42"/>
        <v>3791.083419</v>
      </c>
      <c r="E115" s="4">
        <f t="shared" si="42"/>
        <v>4334.2854390000002</v>
      </c>
      <c r="F115" s="4">
        <f t="shared" si="42"/>
        <v>3816.3157169999999</v>
      </c>
      <c r="G115" s="4">
        <f t="shared" si="42"/>
        <v>3432.5919209999997</v>
      </c>
      <c r="H115" s="4">
        <f t="shared" si="42"/>
        <v>3425.6648279999999</v>
      </c>
      <c r="I115" s="4">
        <f t="shared" si="42"/>
        <v>3610.347882</v>
      </c>
      <c r="J115" s="4">
        <f t="shared" si="42"/>
        <v>3557.4391099999998</v>
      </c>
      <c r="K115" s="4">
        <f t="shared" si="42"/>
        <v>3617.7152290000004</v>
      </c>
      <c r="L115" s="4">
        <f t="shared" si="42"/>
        <v>4463.0003987477758</v>
      </c>
      <c r="M115" s="3">
        <f t="shared" si="41"/>
        <v>23.365166029981488</v>
      </c>
      <c r="N115" s="22"/>
      <c r="O115" s="21"/>
      <c r="P115" s="21"/>
      <c r="Q115" s="22"/>
    </row>
    <row r="116" spans="2:17" s="14" customFormat="1" ht="11.25" customHeight="1">
      <c r="B116" s="8" t="s">
        <v>8</v>
      </c>
      <c r="C116" s="4">
        <f t="shared" si="42"/>
        <v>30593.251724000002</v>
      </c>
      <c r="D116" s="4">
        <f t="shared" si="42"/>
        <v>32444.285102999998</v>
      </c>
      <c r="E116" s="4">
        <f t="shared" si="42"/>
        <v>30835.664589</v>
      </c>
      <c r="F116" s="4">
        <f t="shared" si="42"/>
        <v>24153.243881999999</v>
      </c>
      <c r="G116" s="4">
        <f t="shared" si="42"/>
        <v>25200.877766000001</v>
      </c>
      <c r="H116" s="4">
        <f t="shared" si="42"/>
        <v>25908.643558999996</v>
      </c>
      <c r="I116" s="4">
        <f t="shared" si="42"/>
        <v>28211.806703000002</v>
      </c>
      <c r="J116" s="4">
        <f t="shared" si="42"/>
        <v>29006.757239999999</v>
      </c>
      <c r="K116" s="4">
        <f t="shared" si="42"/>
        <v>29615.139048999998</v>
      </c>
      <c r="L116" s="4">
        <f t="shared" si="42"/>
        <v>27025.769807496414</v>
      </c>
      <c r="M116" s="3">
        <f t="shared" si="41"/>
        <v>-8.7433972105257389</v>
      </c>
      <c r="N116" s="22"/>
      <c r="O116" s="21"/>
      <c r="P116" s="21"/>
      <c r="Q116" s="22"/>
    </row>
    <row r="117" spans="2:17" s="14" customFormat="1" ht="11.25" customHeight="1">
      <c r="B117" s="8" t="s">
        <v>9</v>
      </c>
      <c r="C117" s="4">
        <f t="shared" si="42"/>
        <v>1287.7704799999999</v>
      </c>
      <c r="D117" s="4">
        <f t="shared" si="42"/>
        <v>1589.415894</v>
      </c>
      <c r="E117" s="4">
        <f t="shared" si="42"/>
        <v>1617.2360285</v>
      </c>
      <c r="F117" s="4">
        <f t="shared" si="42"/>
        <v>1965.8770434999999</v>
      </c>
      <c r="G117" s="4">
        <f t="shared" si="42"/>
        <v>2480.1089684999997</v>
      </c>
      <c r="H117" s="4">
        <f t="shared" si="42"/>
        <v>2606.9637645000003</v>
      </c>
      <c r="I117" s="4">
        <f t="shared" si="42"/>
        <v>2607.9845150000001</v>
      </c>
      <c r="J117" s="4">
        <f t="shared" si="42"/>
        <v>2434.9627860000001</v>
      </c>
      <c r="K117" s="4">
        <f t="shared" si="42"/>
        <v>2222.463307</v>
      </c>
      <c r="L117" s="4">
        <f t="shared" si="42"/>
        <v>2016.320294971528</v>
      </c>
      <c r="M117" s="3">
        <f t="shared" si="41"/>
        <v>-9.2754292671195948</v>
      </c>
      <c r="N117" s="22"/>
      <c r="O117" s="21"/>
      <c r="P117" s="21"/>
      <c r="Q117" s="22"/>
    </row>
    <row r="118" spans="2:17" s="14" customFormat="1" ht="11.25" customHeight="1">
      <c r="B118" s="8" t="s">
        <v>10</v>
      </c>
      <c r="C118" s="4">
        <f t="shared" si="42"/>
        <v>736.055744</v>
      </c>
      <c r="D118" s="4">
        <f t="shared" si="42"/>
        <v>719.78999699999997</v>
      </c>
      <c r="E118" s="4">
        <f t="shared" si="42"/>
        <v>555.73950250000007</v>
      </c>
      <c r="F118" s="4">
        <f t="shared" si="42"/>
        <v>678.0715725</v>
      </c>
      <c r="G118" s="4">
        <f t="shared" si="42"/>
        <v>818.04970250000008</v>
      </c>
      <c r="H118" s="4">
        <f t="shared" si="42"/>
        <v>785.39502949999996</v>
      </c>
      <c r="I118" s="4">
        <f t="shared" si="42"/>
        <v>877.00608699999896</v>
      </c>
      <c r="J118" s="4">
        <f t="shared" si="42"/>
        <v>874.075245</v>
      </c>
      <c r="K118" s="4">
        <f t="shared" si="42"/>
        <v>889.81374999999991</v>
      </c>
      <c r="L118" s="4">
        <f t="shared" si="42"/>
        <v>728.51113397152824</v>
      </c>
      <c r="M118" s="3">
        <f t="shared" si="41"/>
        <v>-18.127683015515515</v>
      </c>
      <c r="N118" s="22"/>
      <c r="O118" s="21"/>
      <c r="P118" s="21"/>
      <c r="Q118" s="22"/>
    </row>
    <row r="119" spans="2:17" s="14" customFormat="1" ht="11.25" customHeight="1">
      <c r="B119" s="42" t="s">
        <v>39</v>
      </c>
      <c r="C119" s="43">
        <f>SUM(C105,C111:C115,C118)</f>
        <v>86667.052881209995</v>
      </c>
      <c r="D119" s="43">
        <f t="shared" ref="D119:L119" si="43">SUM(D105,D111:D115,D118)</f>
        <v>85338.722778298004</v>
      </c>
      <c r="E119" s="43">
        <f t="shared" si="43"/>
        <v>109757.65762144</v>
      </c>
      <c r="F119" s="43">
        <f t="shared" si="43"/>
        <v>107876.13368670401</v>
      </c>
      <c r="G119" s="43">
        <f t="shared" si="43"/>
        <v>94088.112946349996</v>
      </c>
      <c r="H119" s="43">
        <f t="shared" si="43"/>
        <v>101089.169316272</v>
      </c>
      <c r="I119" s="43">
        <f t="shared" si="43"/>
        <v>84610.86649565991</v>
      </c>
      <c r="J119" s="43">
        <f t="shared" si="43"/>
        <v>100344.40520587211</v>
      </c>
      <c r="K119" s="43">
        <f>SUM(K105,K111:K115,K118)</f>
        <v>97913.298887511992</v>
      </c>
      <c r="L119" s="43">
        <f t="shared" si="43"/>
        <v>109269.16278838266</v>
      </c>
      <c r="M119" s="44">
        <f>((L119/K119)-1)*100</f>
        <v>11.597876927746942</v>
      </c>
      <c r="N119" s="22"/>
      <c r="O119" s="21"/>
      <c r="P119" s="21"/>
      <c r="Q119" s="22"/>
    </row>
    <row r="120" spans="2:17" s="14" customFormat="1" ht="11.25" customHeight="1">
      <c r="B120" s="42" t="s">
        <v>40</v>
      </c>
      <c r="C120" s="43">
        <f>SUM(C106:C110,C116:C117)</f>
        <v>192686.76929579</v>
      </c>
      <c r="D120" s="43">
        <f t="shared" ref="D120:L120" si="44">SUM(D106:D110,D116:D117)</f>
        <v>197779.92094370202</v>
      </c>
      <c r="E120" s="43">
        <f t="shared" si="44"/>
        <v>163528.58528556</v>
      </c>
      <c r="F120" s="43">
        <f t="shared" si="44"/>
        <v>158635.61480229598</v>
      </c>
      <c r="G120" s="43">
        <f t="shared" si="44"/>
        <v>173365.73618864999</v>
      </c>
      <c r="H120" s="43">
        <f t="shared" si="44"/>
        <v>160746.52216772799</v>
      </c>
      <c r="I120" s="43">
        <f t="shared" si="44"/>
        <v>177694.89160734002</v>
      </c>
      <c r="J120" s="43">
        <f t="shared" si="44"/>
        <v>160637.49682369397</v>
      </c>
      <c r="K120" s="43">
        <f>SUM(K106:K110,K116:K117)</f>
        <v>162915.537691342</v>
      </c>
      <c r="L120" s="43">
        <f t="shared" si="44"/>
        <v>141118.0721361918</v>
      </c>
      <c r="M120" s="44">
        <f t="shared" ref="M120:M121" si="45">((L120/K120)-1)*100</f>
        <v>-13.379611216977628</v>
      </c>
      <c r="N120" s="22"/>
      <c r="O120" s="21"/>
      <c r="P120" s="21"/>
      <c r="Q120" s="22"/>
    </row>
    <row r="121" spans="2:17" s="14" customFormat="1" ht="11.25" customHeight="1">
      <c r="B121" s="42" t="s">
        <v>41</v>
      </c>
      <c r="C121" s="43">
        <f t="shared" ref="C121" si="46">SUM(C119:C120)</f>
        <v>279353.82217699999</v>
      </c>
      <c r="D121" s="43">
        <f t="shared" ref="D121:L121" si="47">SUM(D119:D120)</f>
        <v>283118.64372200001</v>
      </c>
      <c r="E121" s="43">
        <f t="shared" si="47"/>
        <v>273286.24290700001</v>
      </c>
      <c r="F121" s="43">
        <f t="shared" si="47"/>
        <v>266511.74848900002</v>
      </c>
      <c r="G121" s="43">
        <f t="shared" si="47"/>
        <v>267453.84913499997</v>
      </c>
      <c r="H121" s="43">
        <f t="shared" si="47"/>
        <v>261835.69148400001</v>
      </c>
      <c r="I121" s="43">
        <f t="shared" si="47"/>
        <v>262305.75810299994</v>
      </c>
      <c r="J121" s="43">
        <f t="shared" si="47"/>
        <v>260981.90202956609</v>
      </c>
      <c r="K121" s="43">
        <f t="shared" si="47"/>
        <v>260828.83657885401</v>
      </c>
      <c r="L121" s="43">
        <f t="shared" si="47"/>
        <v>250387.23492457444</v>
      </c>
      <c r="M121" s="44">
        <f t="shared" si="45"/>
        <v>-4.0032389789550145</v>
      </c>
      <c r="N121" s="22"/>
      <c r="O121" s="21"/>
      <c r="P121" s="21"/>
      <c r="Q121" s="22"/>
    </row>
    <row r="122" spans="2:17" s="14" customFormat="1" ht="11.25" customHeight="1">
      <c r="B122" s="20"/>
      <c r="C122" s="21"/>
      <c r="D122" s="21"/>
      <c r="E122" s="22"/>
      <c r="F122" s="21"/>
      <c r="G122" s="21"/>
      <c r="H122" s="22"/>
      <c r="I122" s="21"/>
      <c r="J122" s="21"/>
      <c r="K122" s="22"/>
      <c r="L122" s="21"/>
      <c r="M122" s="21"/>
      <c r="N122" s="22"/>
      <c r="O122" s="21"/>
      <c r="P122" s="21"/>
      <c r="Q122" s="22"/>
    </row>
    <row r="123" spans="2:17" s="14" customFormat="1" ht="11.25" customHeight="1">
      <c r="B123" s="13" t="s">
        <v>144</v>
      </c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2"/>
      <c r="O123" s="21"/>
      <c r="P123" s="21"/>
      <c r="Q123" s="22"/>
    </row>
    <row r="124" spans="2:17" s="14" customFormat="1" ht="11.25" customHeight="1">
      <c r="B124" s="55"/>
      <c r="C124" s="56">
        <v>2011</v>
      </c>
      <c r="D124" s="56">
        <v>2012</v>
      </c>
      <c r="E124" s="56">
        <v>2013</v>
      </c>
      <c r="F124" s="56">
        <v>2014</v>
      </c>
      <c r="G124" s="56">
        <v>2015</v>
      </c>
      <c r="H124" s="56">
        <v>2016</v>
      </c>
      <c r="I124" s="56">
        <v>2017</v>
      </c>
      <c r="J124" s="56">
        <v>2018</v>
      </c>
      <c r="K124" s="56">
        <v>2019</v>
      </c>
      <c r="L124" s="56">
        <v>2020</v>
      </c>
      <c r="M124" s="22"/>
      <c r="N124" s="22"/>
      <c r="O124" s="21"/>
      <c r="P124" s="21"/>
      <c r="Q124" s="22"/>
    </row>
    <row r="125" spans="2:17" s="14" customFormat="1" ht="11.25" customHeight="1">
      <c r="B125" s="8" t="s">
        <v>1</v>
      </c>
      <c r="C125" s="3">
        <f>C105/C$121*100</f>
        <v>10.895615436371141</v>
      </c>
      <c r="D125" s="3">
        <f t="shared" ref="D125:K125" si="48">D105/D$121*100</f>
        <v>7.2950217487542641</v>
      </c>
      <c r="E125" s="3">
        <f t="shared" si="48"/>
        <v>13.679955645137381</v>
      </c>
      <c r="F125" s="3">
        <f t="shared" si="48"/>
        <v>14.701785357436576</v>
      </c>
      <c r="G125" s="3">
        <f t="shared" si="48"/>
        <v>10.612141143470183</v>
      </c>
      <c r="H125" s="3">
        <f t="shared" si="48"/>
        <v>13.792958523753768</v>
      </c>
      <c r="I125" s="3">
        <f t="shared" si="48"/>
        <v>7.0340120949289151</v>
      </c>
      <c r="J125" s="3">
        <f t="shared" si="48"/>
        <v>13.072646446575034</v>
      </c>
      <c r="K125" s="3">
        <f t="shared" si="48"/>
        <v>9.477102144738863</v>
      </c>
      <c r="L125" s="3">
        <f>L105/L$121*100</f>
        <v>11.932946157278018</v>
      </c>
      <c r="M125" s="22"/>
      <c r="N125" s="22"/>
      <c r="O125" s="21"/>
      <c r="P125" s="21"/>
      <c r="Q125" s="22"/>
    </row>
    <row r="126" spans="2:17" s="14" customFormat="1" ht="11.25" customHeight="1">
      <c r="B126" s="8" t="s">
        <v>18</v>
      </c>
      <c r="C126" s="3">
        <f t="shared" ref="C126:L126" si="49">C106/C$121*100</f>
        <v>0.78163821556968016</v>
      </c>
      <c r="D126" s="3">
        <f t="shared" si="49"/>
        <v>1.1309356747434836</v>
      </c>
      <c r="E126" s="3">
        <f t="shared" si="49"/>
        <v>1.2037478173313998</v>
      </c>
      <c r="F126" s="3">
        <f t="shared" si="49"/>
        <v>1.2817431299607385</v>
      </c>
      <c r="G126" s="3">
        <f t="shared" si="49"/>
        <v>1.0825665054042783</v>
      </c>
      <c r="H126" s="3">
        <f t="shared" si="49"/>
        <v>1.1970594583433747</v>
      </c>
      <c r="I126" s="3">
        <f t="shared" si="49"/>
        <v>0.85738278663974132</v>
      </c>
      <c r="J126" s="3">
        <f t="shared" si="49"/>
        <v>0.76403612403288579</v>
      </c>
      <c r="K126" s="3">
        <f t="shared" si="49"/>
        <v>0.63087543460499607</v>
      </c>
      <c r="L126" s="3">
        <f t="shared" si="49"/>
        <v>1.0654858116076269</v>
      </c>
      <c r="M126" s="22"/>
      <c r="N126" s="22"/>
      <c r="O126" s="21"/>
      <c r="P126" s="21"/>
      <c r="Q126" s="22"/>
    </row>
    <row r="127" spans="2:17" s="14" customFormat="1" ht="11.25" customHeight="1">
      <c r="B127" s="8" t="s">
        <v>2</v>
      </c>
      <c r="C127" s="3">
        <f t="shared" ref="C127:L127" si="50">C107/C$121*100</f>
        <v>19.690396372005964</v>
      </c>
      <c r="D127" s="3">
        <f t="shared" si="50"/>
        <v>20.696425367358025</v>
      </c>
      <c r="E127" s="3">
        <f t="shared" si="50"/>
        <v>19.836632661179387</v>
      </c>
      <c r="F127" s="3">
        <f t="shared" si="50"/>
        <v>20.554921741943787</v>
      </c>
      <c r="G127" s="3">
        <f t="shared" si="50"/>
        <v>20.437845064405455</v>
      </c>
      <c r="H127" s="3">
        <f t="shared" si="50"/>
        <v>21.395739343817961</v>
      </c>
      <c r="I127" s="3">
        <f t="shared" si="50"/>
        <v>21.173515765594171</v>
      </c>
      <c r="J127" s="3">
        <f t="shared" si="50"/>
        <v>20.383642320138105</v>
      </c>
      <c r="K127" s="3">
        <f t="shared" si="50"/>
        <v>21.402628446768066</v>
      </c>
      <c r="L127" s="3">
        <f t="shared" si="50"/>
        <v>22.176840004728984</v>
      </c>
      <c r="M127" s="22"/>
      <c r="N127" s="22"/>
      <c r="O127" s="21"/>
      <c r="P127" s="21"/>
      <c r="Q127" s="22"/>
    </row>
    <row r="128" spans="2:17" s="14" customFormat="1" ht="11.25" customHeight="1">
      <c r="B128" s="8" t="s">
        <v>3</v>
      </c>
      <c r="C128" s="3">
        <f t="shared" ref="C128:L128" si="51">C108/C$121*100</f>
        <v>15.456192451751219</v>
      </c>
      <c r="D128" s="3">
        <f t="shared" si="51"/>
        <v>18.995531507917075</v>
      </c>
      <c r="E128" s="3">
        <f t="shared" si="51"/>
        <v>14.432317300882962</v>
      </c>
      <c r="F128" s="3">
        <f t="shared" si="51"/>
        <v>16.226697975674771</v>
      </c>
      <c r="G128" s="3">
        <f t="shared" si="51"/>
        <v>19.673105385535621</v>
      </c>
      <c r="H128" s="3">
        <f t="shared" si="51"/>
        <v>14.250837057208503</v>
      </c>
      <c r="I128" s="3">
        <f t="shared" si="51"/>
        <v>17.162955445042947</v>
      </c>
      <c r="J128" s="3">
        <f t="shared" si="51"/>
        <v>14.283291456653183</v>
      </c>
      <c r="K128" s="3">
        <f t="shared" si="51"/>
        <v>4.8578361059281878</v>
      </c>
      <c r="L128" s="3">
        <f t="shared" si="51"/>
        <v>2.0222752557230828</v>
      </c>
      <c r="M128" s="22"/>
      <c r="N128" s="22"/>
      <c r="O128" s="21"/>
      <c r="P128" s="21"/>
      <c r="Q128" s="22"/>
    </row>
    <row r="129" spans="2:17" s="14" customFormat="1" ht="11.25" customHeight="1">
      <c r="B129" s="8" t="s">
        <v>20</v>
      </c>
      <c r="C129" s="3">
        <f t="shared" ref="C129:L129" si="52">C109/C$121*100</f>
        <v>2.5086189336474316</v>
      </c>
      <c r="D129" s="3">
        <f t="shared" si="52"/>
        <v>2.5058595282641609</v>
      </c>
      <c r="E129" s="3">
        <f t="shared" si="52"/>
        <v>2.4017970828607247</v>
      </c>
      <c r="F129" s="3">
        <f t="shared" si="52"/>
        <v>2.3429833980687449</v>
      </c>
      <c r="G129" s="3">
        <f t="shared" si="52"/>
        <v>2.4242737388038975</v>
      </c>
      <c r="H129" s="3">
        <f t="shared" si="52"/>
        <v>2.5797262366016116</v>
      </c>
      <c r="I129" s="3">
        <f t="shared" si="52"/>
        <v>2.6692427568634165</v>
      </c>
      <c r="J129" s="3">
        <f t="shared" si="52"/>
        <v>2.5606719837772163</v>
      </c>
      <c r="K129" s="3">
        <f t="shared" si="52"/>
        <v>2.1836526830031322</v>
      </c>
      <c r="L129" s="3">
        <f t="shared" si="52"/>
        <v>1.6764506645650397</v>
      </c>
      <c r="M129" s="22"/>
      <c r="N129" s="22"/>
      <c r="O129" s="21"/>
      <c r="P129" s="21"/>
      <c r="Q129" s="22"/>
    </row>
    <row r="130" spans="2:17" s="14" customFormat="1" ht="11.25" customHeight="1">
      <c r="B130" s="8" t="s">
        <v>21</v>
      </c>
      <c r="C130" s="3">
        <f t="shared" ref="C130:L130" si="53">C110/C$121*100</f>
        <v>19.126621689158732</v>
      </c>
      <c r="D130" s="3">
        <f t="shared" si="53"/>
        <v>14.507855851885134</v>
      </c>
      <c r="E130" s="3">
        <f t="shared" si="53"/>
        <v>10.08828704501679</v>
      </c>
      <c r="F130" s="3">
        <f t="shared" si="53"/>
        <v>9.316224946092678</v>
      </c>
      <c r="G130" s="3">
        <f t="shared" si="53"/>
        <v>10.853195580800255</v>
      </c>
      <c r="H130" s="3">
        <f t="shared" si="53"/>
        <v>11.078123814824727</v>
      </c>
      <c r="I130" s="3">
        <f t="shared" si="53"/>
        <v>14.130756164508341</v>
      </c>
      <c r="J130" s="3">
        <f t="shared" si="53"/>
        <v>11.512088371398383</v>
      </c>
      <c r="K130" s="3">
        <f t="shared" si="53"/>
        <v>21.179395247311621</v>
      </c>
      <c r="L130" s="3">
        <f t="shared" si="53"/>
        <v>17.820008893117489</v>
      </c>
      <c r="M130" s="22"/>
      <c r="N130" s="22"/>
      <c r="O130" s="21"/>
      <c r="P130" s="21"/>
      <c r="Q130" s="22"/>
    </row>
    <row r="131" spans="2:17" s="14" customFormat="1" ht="11.25" customHeight="1">
      <c r="B131" s="8" t="s">
        <v>4</v>
      </c>
      <c r="C131" s="3">
        <f t="shared" ref="C131:L131" si="54">C111/C$121*100</f>
        <v>0</v>
      </c>
      <c r="D131" s="3">
        <f t="shared" si="54"/>
        <v>0</v>
      </c>
      <c r="E131" s="3">
        <f t="shared" si="54"/>
        <v>0</v>
      </c>
      <c r="F131" s="3">
        <f t="shared" si="54"/>
        <v>3.3367271988638209E-4</v>
      </c>
      <c r="G131" s="3">
        <f t="shared" si="54"/>
        <v>3.0687253245913139E-3</v>
      </c>
      <c r="H131" s="3">
        <f t="shared" si="54"/>
        <v>6.8332685657155048E-3</v>
      </c>
      <c r="I131" s="3">
        <f t="shared" si="54"/>
        <v>7.7135390188632687E-3</v>
      </c>
      <c r="J131" s="3">
        <f t="shared" si="54"/>
        <v>9.0640553295224732E-3</v>
      </c>
      <c r="K131" s="3">
        <f t="shared" si="54"/>
        <v>8.9134001841745854E-3</v>
      </c>
      <c r="L131" s="3">
        <f t="shared" si="54"/>
        <v>8.1382480684105349E-3</v>
      </c>
      <c r="M131" s="22"/>
      <c r="N131" s="22"/>
      <c r="O131" s="21"/>
      <c r="P131" s="21"/>
      <c r="Q131" s="22"/>
    </row>
    <row r="132" spans="2:17" s="14" customFormat="1" ht="11.25" customHeight="1">
      <c r="B132" s="8" t="s">
        <v>5</v>
      </c>
      <c r="C132" s="3">
        <f t="shared" ref="C132:L132" si="55">C112/C$121*100</f>
        <v>15.205537707691072</v>
      </c>
      <c r="D132" s="3">
        <f t="shared" si="55"/>
        <v>17.139291617491367</v>
      </c>
      <c r="E132" s="3">
        <f t="shared" si="55"/>
        <v>20.020544449293446</v>
      </c>
      <c r="F132" s="3">
        <f t="shared" si="55"/>
        <v>19.148135546492163</v>
      </c>
      <c r="G132" s="3">
        <f t="shared" si="55"/>
        <v>17.991099276238877</v>
      </c>
      <c r="H132" s="3">
        <f t="shared" si="55"/>
        <v>18.216256171445064</v>
      </c>
      <c r="I132" s="3">
        <f t="shared" si="55"/>
        <v>18.263783421097532</v>
      </c>
      <c r="J132" s="3">
        <f t="shared" si="55"/>
        <v>18.99805637112075</v>
      </c>
      <c r="K132" s="3">
        <f t="shared" si="55"/>
        <v>20.797185085246735</v>
      </c>
      <c r="L132" s="3">
        <f t="shared" si="55"/>
        <v>21.666242723070763</v>
      </c>
      <c r="M132" s="22"/>
      <c r="N132" s="22"/>
      <c r="O132" s="21"/>
      <c r="P132" s="21"/>
      <c r="Q132" s="22"/>
    </row>
    <row r="133" spans="2:17" s="14" customFormat="1" ht="11.25" customHeight="1">
      <c r="B133" s="8" t="s">
        <v>6</v>
      </c>
      <c r="C133" s="3">
        <f t="shared" ref="C133:L133" si="56">C113/C$121*100</f>
        <v>2.6635584657529727</v>
      </c>
      <c r="D133" s="3">
        <f t="shared" si="56"/>
        <v>2.897110213997057</v>
      </c>
      <c r="E133" s="3">
        <f t="shared" si="56"/>
        <v>3.04708883528901</v>
      </c>
      <c r="F133" s="3">
        <f t="shared" si="56"/>
        <v>3.0797614655020631</v>
      </c>
      <c r="G133" s="3">
        <f t="shared" si="56"/>
        <v>3.0822367790410747</v>
      </c>
      <c r="H133" s="3">
        <f t="shared" si="56"/>
        <v>3.0467455142522004</v>
      </c>
      <c r="I133" s="3">
        <f t="shared" si="56"/>
        <v>3.2015129037702801</v>
      </c>
      <c r="J133" s="3">
        <f t="shared" si="56"/>
        <v>2.975753630656043</v>
      </c>
      <c r="K133" s="3">
        <f t="shared" si="56"/>
        <v>3.5471610433698819</v>
      </c>
      <c r="L133" s="3">
        <f t="shared" si="56"/>
        <v>6.1283357762181812</v>
      </c>
      <c r="M133" s="22"/>
      <c r="N133" s="22"/>
      <c r="O133" s="21"/>
      <c r="P133" s="21"/>
      <c r="Q133" s="22"/>
    </row>
    <row r="134" spans="2:17" s="14" customFormat="1" ht="11.25" customHeight="1">
      <c r="B134" s="8" t="s">
        <v>7</v>
      </c>
      <c r="C134" s="3">
        <f t="shared" ref="C134:L134" si="57">C114/C$121*100</f>
        <v>0.66640990786961729</v>
      </c>
      <c r="D134" s="3">
        <f t="shared" si="57"/>
        <v>1.2176851254575678</v>
      </c>
      <c r="E134" s="3">
        <f t="shared" si="57"/>
        <v>1.6252290959671407</v>
      </c>
      <c r="F134" s="3">
        <f t="shared" si="57"/>
        <v>1.8606740431199693</v>
      </c>
      <c r="G134" s="3">
        <f t="shared" si="57"/>
        <v>1.9013506556165425</v>
      </c>
      <c r="H134" s="3">
        <f t="shared" si="57"/>
        <v>1.9367877897998047</v>
      </c>
      <c r="I134" s="3">
        <f t="shared" si="57"/>
        <v>2.0388238915060386</v>
      </c>
      <c r="J134" s="3">
        <f t="shared" si="57"/>
        <v>1.6952618704950573</v>
      </c>
      <c r="K134" s="3">
        <f t="shared" si="57"/>
        <v>1.9807745235401069</v>
      </c>
      <c r="L134" s="3">
        <f t="shared" si="57"/>
        <v>1.8310133226951655</v>
      </c>
      <c r="M134" s="22"/>
      <c r="N134" s="22"/>
      <c r="O134" s="21"/>
      <c r="P134" s="21"/>
      <c r="Q134" s="22"/>
    </row>
    <row r="135" spans="2:17" s="14" customFormat="1" ht="11.25" customHeight="1">
      <c r="B135" s="8" t="s">
        <v>22</v>
      </c>
      <c r="C135" s="3">
        <f t="shared" ref="C135:L135" si="58">C115/C$121*100</f>
        <v>1.3295090215901073</v>
      </c>
      <c r="D135" s="3">
        <f t="shared" si="58"/>
        <v>1.3390440732410906</v>
      </c>
      <c r="E135" s="3">
        <f t="shared" si="58"/>
        <v>1.5859874221604959</v>
      </c>
      <c r="F135" s="3">
        <f t="shared" si="58"/>
        <v>1.4319502756020206</v>
      </c>
      <c r="G135" s="3">
        <f t="shared" si="58"/>
        <v>1.2834333594755503</v>
      </c>
      <c r="H135" s="3">
        <f t="shared" si="58"/>
        <v>1.3083261523990255</v>
      </c>
      <c r="I135" s="3">
        <f t="shared" si="58"/>
        <v>1.3763891071664238</v>
      </c>
      <c r="J135" s="3">
        <f t="shared" si="58"/>
        <v>1.3630980088408524</v>
      </c>
      <c r="K135" s="3">
        <f t="shared" si="58"/>
        <v>1.3870073863195296</v>
      </c>
      <c r="L135" s="3">
        <f t="shared" si="58"/>
        <v>1.7824392685562387</v>
      </c>
      <c r="M135" s="22"/>
      <c r="N135" s="22"/>
      <c r="O135" s="21"/>
      <c r="P135" s="21"/>
      <c r="Q135" s="22"/>
    </row>
    <row r="136" spans="2:17" s="14" customFormat="1" ht="11.25" customHeight="1">
      <c r="B136" s="8" t="s">
        <v>8</v>
      </c>
      <c r="C136" s="3">
        <f t="shared" ref="C136:L136" si="59">C116/C$121*100</f>
        <v>10.951434809657254</v>
      </c>
      <c r="D136" s="3">
        <f t="shared" si="59"/>
        <v>11.459607419869426</v>
      </c>
      <c r="E136" s="3">
        <f t="shared" si="59"/>
        <v>11.283284610668622</v>
      </c>
      <c r="F136" s="3">
        <f t="shared" si="59"/>
        <v>9.0627313876171947</v>
      </c>
      <c r="G136" s="3">
        <f t="shared" si="59"/>
        <v>9.4225145188617603</v>
      </c>
      <c r="H136" s="3">
        <f t="shared" si="59"/>
        <v>9.8950007205504278</v>
      </c>
      <c r="I136" s="3">
        <f t="shared" si="59"/>
        <v>10.755313534490552</v>
      </c>
      <c r="J136" s="3">
        <f t="shared" si="59"/>
        <v>11.11447077917069</v>
      </c>
      <c r="K136" s="3">
        <f t="shared" si="59"/>
        <v>11.354242666357454</v>
      </c>
      <c r="L136" s="3">
        <f t="shared" si="59"/>
        <v>10.793589304038418</v>
      </c>
      <c r="M136" s="22"/>
      <c r="N136" s="22"/>
      <c r="O136" s="21"/>
      <c r="P136" s="21"/>
      <c r="Q136" s="22"/>
    </row>
    <row r="137" spans="2:17" s="14" customFormat="1" ht="11.25" customHeight="1">
      <c r="B137" s="8" t="s">
        <v>9</v>
      </c>
      <c r="C137" s="3">
        <f t="shared" ref="C137:L137" si="60">C117/C$121*100</f>
        <v>0.46098187236688748</v>
      </c>
      <c r="D137" s="3">
        <f t="shared" si="60"/>
        <v>0.56139570079343837</v>
      </c>
      <c r="E137" s="3">
        <f t="shared" si="60"/>
        <v>0.59177366972341505</v>
      </c>
      <c r="F137" s="3">
        <f t="shared" si="60"/>
        <v>0.73763241382251454</v>
      </c>
      <c r="G137" s="3">
        <f t="shared" si="60"/>
        <v>0.92730352414862427</v>
      </c>
      <c r="H137" s="3">
        <f t="shared" si="60"/>
        <v>0.99564874052294883</v>
      </c>
      <c r="I137" s="3">
        <f t="shared" si="60"/>
        <v>0.99425362746932888</v>
      </c>
      <c r="J137" s="3">
        <f t="shared" si="60"/>
        <v>0.93300062842064357</v>
      </c>
      <c r="K137" s="3">
        <f t="shared" si="60"/>
        <v>0.85207729948529021</v>
      </c>
      <c r="L137" s="3">
        <f t="shared" si="60"/>
        <v>0.80528078660995461</v>
      </c>
      <c r="M137" s="22"/>
      <c r="N137" s="22"/>
      <c r="O137" s="21"/>
      <c r="P137" s="21"/>
      <c r="Q137" s="22"/>
    </row>
    <row r="138" spans="2:17" s="14" customFormat="1" ht="11.25" customHeight="1">
      <c r="B138" s="8" t="s">
        <v>10</v>
      </c>
      <c r="C138" s="3">
        <f t="shared" ref="C138:L138" si="61">C118/C$121*100</f>
        <v>0.26348511656791701</v>
      </c>
      <c r="D138" s="3">
        <f t="shared" si="61"/>
        <v>0.25423617022790501</v>
      </c>
      <c r="E138" s="3">
        <f t="shared" si="61"/>
        <v>0.20335436448922153</v>
      </c>
      <c r="F138" s="3">
        <f t="shared" si="61"/>
        <v>0.25442464594688841</v>
      </c>
      <c r="G138" s="3">
        <f t="shared" si="61"/>
        <v>0.30586574287329904</v>
      </c>
      <c r="H138" s="3">
        <f t="shared" si="61"/>
        <v>0.29995720791487018</v>
      </c>
      <c r="I138" s="3">
        <f t="shared" si="61"/>
        <v>0.33434496190343788</v>
      </c>
      <c r="J138" s="3">
        <f t="shared" si="61"/>
        <v>0.33491795339164088</v>
      </c>
      <c r="K138" s="3">
        <f t="shared" si="61"/>
        <v>0.34114853314195981</v>
      </c>
      <c r="L138" s="3">
        <f t="shared" si="61"/>
        <v>0.29095378372263336</v>
      </c>
      <c r="M138" s="22"/>
      <c r="N138" s="22"/>
      <c r="O138" s="21"/>
      <c r="P138" s="21"/>
      <c r="Q138" s="22"/>
    </row>
    <row r="139" spans="2:17" s="14" customFormat="1" ht="11.25" customHeight="1">
      <c r="B139" s="42" t="s">
        <v>39</v>
      </c>
      <c r="C139" s="44">
        <f>SUM(C125,C131:C135,C138)</f>
        <v>31.024115655842831</v>
      </c>
      <c r="D139" s="44">
        <f t="shared" ref="D139:L139" si="62">SUM(D125,D131:D135,D138)</f>
        <v>30.142388949169252</v>
      </c>
      <c r="E139" s="44">
        <f t="shared" si="62"/>
        <v>40.162159812336697</v>
      </c>
      <c r="F139" s="44">
        <f t="shared" si="62"/>
        <v>40.477065006819565</v>
      </c>
      <c r="G139" s="44">
        <f t="shared" si="62"/>
        <v>35.179195682040117</v>
      </c>
      <c r="H139" s="44">
        <f t="shared" si="62"/>
        <v>38.60786462813045</v>
      </c>
      <c r="I139" s="44">
        <f t="shared" si="62"/>
        <v>32.256579919391491</v>
      </c>
      <c r="J139" s="44">
        <f t="shared" si="62"/>
        <v>38.448798336408899</v>
      </c>
      <c r="K139" s="44">
        <f t="shared" si="62"/>
        <v>37.539292116541255</v>
      </c>
      <c r="L139" s="44">
        <f t="shared" si="62"/>
        <v>43.640069279609406</v>
      </c>
      <c r="M139" s="22"/>
      <c r="N139" s="22"/>
      <c r="O139" s="21"/>
      <c r="P139" s="21"/>
      <c r="Q139" s="22"/>
    </row>
    <row r="140" spans="2:17" s="14" customFormat="1" ht="11.25" customHeight="1">
      <c r="B140" s="42" t="s">
        <v>40</v>
      </c>
      <c r="C140" s="44">
        <f>SUM(C126:C130,C136:C137)</f>
        <v>68.975884344157166</v>
      </c>
      <c r="D140" s="44">
        <f t="shared" ref="D140:L140" si="63">SUM(D126:D130,D136:D137)</f>
        <v>69.857611050830741</v>
      </c>
      <c r="E140" s="44">
        <f t="shared" si="63"/>
        <v>59.837840187663303</v>
      </c>
      <c r="F140" s="44">
        <f t="shared" si="63"/>
        <v>59.522934993180435</v>
      </c>
      <c r="G140" s="44">
        <f t="shared" si="63"/>
        <v>64.820804317959883</v>
      </c>
      <c r="H140" s="44">
        <f t="shared" si="63"/>
        <v>61.392135371869557</v>
      </c>
      <c r="I140" s="44">
        <f t="shared" si="63"/>
        <v>67.743420080608502</v>
      </c>
      <c r="J140" s="44">
        <f t="shared" si="63"/>
        <v>61.551201663591108</v>
      </c>
      <c r="K140" s="44">
        <f t="shared" si="63"/>
        <v>62.460707883458738</v>
      </c>
      <c r="L140" s="44">
        <f t="shared" si="63"/>
        <v>56.359930720390594</v>
      </c>
      <c r="M140" s="22"/>
      <c r="N140" s="22"/>
      <c r="O140" s="21"/>
      <c r="P140" s="21"/>
      <c r="Q140" s="22"/>
    </row>
    <row r="141" spans="2:17" s="14" customFormat="1" ht="11.25" customHeight="1">
      <c r="B141" s="42" t="s">
        <v>41</v>
      </c>
      <c r="C141" s="44">
        <f t="shared" ref="C141" si="64">SUM(C139:C140)</f>
        <v>100</v>
      </c>
      <c r="D141" s="44">
        <f t="shared" ref="D141:L141" si="65">SUM(D139:D140)</f>
        <v>100</v>
      </c>
      <c r="E141" s="44">
        <f t="shared" si="65"/>
        <v>100</v>
      </c>
      <c r="F141" s="44">
        <f t="shared" si="65"/>
        <v>100</v>
      </c>
      <c r="G141" s="44">
        <f t="shared" si="65"/>
        <v>100</v>
      </c>
      <c r="H141" s="44">
        <f t="shared" si="65"/>
        <v>100</v>
      </c>
      <c r="I141" s="44">
        <f t="shared" si="65"/>
        <v>100</v>
      </c>
      <c r="J141" s="44">
        <f t="shared" si="65"/>
        <v>100</v>
      </c>
      <c r="K141" s="44">
        <f t="shared" si="65"/>
        <v>100</v>
      </c>
      <c r="L141" s="44">
        <f t="shared" si="65"/>
        <v>100</v>
      </c>
      <c r="M141" s="22"/>
      <c r="N141" s="22"/>
      <c r="O141" s="21"/>
      <c r="P141" s="21"/>
      <c r="Q141" s="22"/>
    </row>
    <row r="142" spans="2:17">
      <c r="B142" s="45" t="s">
        <v>95</v>
      </c>
    </row>
    <row r="143" spans="2:17">
      <c r="B143" s="45" t="s">
        <v>43</v>
      </c>
    </row>
    <row r="144" spans="2:17" s="14" customFormat="1" ht="11.25" customHeight="1">
      <c r="B144" s="20"/>
      <c r="C144" s="21"/>
      <c r="D144" s="21"/>
      <c r="E144" s="22"/>
      <c r="F144" s="21"/>
      <c r="G144" s="21"/>
      <c r="H144" s="22"/>
      <c r="I144" s="21"/>
      <c r="J144" s="21"/>
      <c r="K144" s="22"/>
      <c r="L144" s="21"/>
      <c r="M144" s="21"/>
      <c r="N144" s="22"/>
      <c r="O144" s="21"/>
      <c r="P144" s="21"/>
      <c r="Q144" s="22"/>
    </row>
    <row r="145" spans="2:12">
      <c r="B145" s="13" t="s">
        <v>144</v>
      </c>
    </row>
    <row r="146" spans="2:12">
      <c r="B146" s="55"/>
      <c r="C146" s="56">
        <v>2011</v>
      </c>
      <c r="D146" s="56">
        <v>2012</v>
      </c>
      <c r="E146" s="56">
        <v>2013</v>
      </c>
      <c r="F146" s="56">
        <v>2014</v>
      </c>
      <c r="G146" s="56">
        <v>2015</v>
      </c>
      <c r="H146" s="56">
        <v>2016</v>
      </c>
      <c r="I146" s="56">
        <v>2017</v>
      </c>
      <c r="J146" s="56">
        <v>2018</v>
      </c>
      <c r="K146" s="56">
        <v>2019</v>
      </c>
      <c r="L146" s="56">
        <v>2020</v>
      </c>
    </row>
    <row r="147" spans="2:12">
      <c r="B147" s="16" t="s">
        <v>118</v>
      </c>
      <c r="C147" s="17">
        <f>SUM(C125:C127,C131:C135,C138)</f>
        <v>51.496150243418462</v>
      </c>
      <c r="D147" s="17">
        <f t="shared" ref="D147:K147" si="66">SUM(D125:D127,D131:D135,D138)</f>
        <v>51.969749991270767</v>
      </c>
      <c r="E147" s="17">
        <f t="shared" si="66"/>
        <v>61.20254029084748</v>
      </c>
      <c r="F147" s="17">
        <f t="shared" si="66"/>
        <v>62.313729878724097</v>
      </c>
      <c r="G147" s="17">
        <f t="shared" si="66"/>
        <v>56.699607251849848</v>
      </c>
      <c r="H147" s="17">
        <f t="shared" si="66"/>
        <v>61.20066343029179</v>
      </c>
      <c r="I147" s="17">
        <f t="shared" si="66"/>
        <v>54.287478471625406</v>
      </c>
      <c r="J147" s="17">
        <f t="shared" si="66"/>
        <v>59.596476780579891</v>
      </c>
      <c r="K147" s="17">
        <f t="shared" si="66"/>
        <v>59.572795997914319</v>
      </c>
      <c r="L147" s="17">
        <f>SUM(L125:L127,L131:L135,L138)</f>
        <v>66.882395095946023</v>
      </c>
    </row>
    <row r="148" spans="2:12">
      <c r="B148" s="46" t="s">
        <v>119</v>
      </c>
      <c r="C148" s="47">
        <f>SUM(C128:C130,C136:C137)</f>
        <v>48.503849756581531</v>
      </c>
      <c r="D148" s="47">
        <f t="shared" ref="D148:L148" si="67">SUM(D128:D130,D136:D137)</f>
        <v>48.03025000872924</v>
      </c>
      <c r="E148" s="47">
        <f t="shared" si="67"/>
        <v>38.79745970915252</v>
      </c>
      <c r="F148" s="47">
        <f t="shared" si="67"/>
        <v>37.686270121275903</v>
      </c>
      <c r="G148" s="47">
        <f t="shared" si="67"/>
        <v>43.300392748150159</v>
      </c>
      <c r="H148" s="47">
        <f t="shared" si="67"/>
        <v>38.799336569708217</v>
      </c>
      <c r="I148" s="47">
        <f t="shared" si="67"/>
        <v>45.712521528374587</v>
      </c>
      <c r="J148" s="47">
        <f t="shared" si="67"/>
        <v>40.403523219420116</v>
      </c>
      <c r="K148" s="47">
        <f t="shared" si="67"/>
        <v>40.427204002085688</v>
      </c>
      <c r="L148" s="47">
        <f t="shared" si="67"/>
        <v>33.117604904053984</v>
      </c>
    </row>
    <row r="149" spans="2:12">
      <c r="B149" s="45"/>
    </row>
    <row r="150" spans="2:12">
      <c r="B150" s="13" t="s">
        <v>147</v>
      </c>
    </row>
    <row r="151" spans="2:12">
      <c r="B151" s="55"/>
      <c r="C151" s="56">
        <v>2011</v>
      </c>
      <c r="D151" s="56">
        <v>2012</v>
      </c>
      <c r="E151" s="56">
        <v>2013</v>
      </c>
      <c r="F151" s="56">
        <v>2014</v>
      </c>
      <c r="G151" s="56">
        <v>2015</v>
      </c>
      <c r="H151" s="56">
        <v>2016</v>
      </c>
      <c r="I151" s="56">
        <v>2017</v>
      </c>
      <c r="J151" s="56">
        <v>2018</v>
      </c>
      <c r="K151" s="56">
        <v>2019</v>
      </c>
      <c r="L151" s="56">
        <v>2020</v>
      </c>
    </row>
    <row r="152" spans="2:12">
      <c r="B152" s="8" t="s">
        <v>3</v>
      </c>
      <c r="C152" s="4">
        <v>41026656.882349998</v>
      </c>
      <c r="D152" s="4">
        <v>51094541.196249999</v>
      </c>
      <c r="E152" s="4">
        <v>37477568.090300001</v>
      </c>
      <c r="F152" s="4">
        <v>41090701.173199996</v>
      </c>
      <c r="G152" s="4">
        <v>49985653.718099996</v>
      </c>
      <c r="H152" s="4">
        <v>35448088.863449998</v>
      </c>
      <c r="I152" s="4">
        <v>42768449.373350002</v>
      </c>
      <c r="J152" s="4">
        <v>36001786.033950001</v>
      </c>
      <c r="K152" s="4">
        <v>12384273.151110001</v>
      </c>
      <c r="L152" s="4">
        <v>4907302.2716120183</v>
      </c>
    </row>
    <row r="153" spans="2:12">
      <c r="B153" s="8" t="s">
        <v>20</v>
      </c>
      <c r="C153" s="4">
        <v>6168042.8974400004</v>
      </c>
      <c r="D153" s="4">
        <v>6236640.8785999902</v>
      </c>
      <c r="E153" s="4">
        <v>5592117.16499002</v>
      </c>
      <c r="F153" s="4">
        <v>5198990.0236099903</v>
      </c>
      <c r="G153" s="4">
        <v>5356609.4599599801</v>
      </c>
      <c r="H153" s="4">
        <v>5601257.7528799903</v>
      </c>
      <c r="I153" s="4">
        <v>5801449.8397700004</v>
      </c>
      <c r="J153" s="4">
        <v>5489453.4621299999</v>
      </c>
      <c r="K153" s="4">
        <v>4644752.7414100002</v>
      </c>
      <c r="L153" s="4">
        <v>3331178.0199083779</v>
      </c>
    </row>
    <row r="154" spans="2:12">
      <c r="B154" s="8" t="s">
        <v>21</v>
      </c>
      <c r="C154" s="4">
        <v>20964447.882320002</v>
      </c>
      <c r="D154" s="4">
        <v>16374931.435350001</v>
      </c>
      <c r="E154" s="4">
        <v>11446736.821660001</v>
      </c>
      <c r="F154" s="4">
        <v>10536239.849479999</v>
      </c>
      <c r="G154" s="4">
        <v>12047630.31814</v>
      </c>
      <c r="H154" s="4">
        <v>11966149.05552</v>
      </c>
      <c r="I154" s="4">
        <v>14943795.11248</v>
      </c>
      <c r="J154" s="4">
        <v>11841921.429409999</v>
      </c>
      <c r="K154" s="4">
        <v>21183920.10548</v>
      </c>
      <c r="L154" s="4">
        <v>17348358.265677199</v>
      </c>
    </row>
    <row r="155" spans="2:12">
      <c r="B155" s="8" t="s">
        <v>8</v>
      </c>
      <c r="C155" s="4">
        <v>11626179.8761</v>
      </c>
      <c r="D155" s="4">
        <v>12328828.33914</v>
      </c>
      <c r="E155" s="4">
        <v>11717552.543819999</v>
      </c>
      <c r="F155" s="4">
        <v>9178232.6751600094</v>
      </c>
      <c r="G155" s="4">
        <v>9576333.5510799997</v>
      </c>
      <c r="H155" s="4">
        <v>9845284.5524199903</v>
      </c>
      <c r="I155" s="4">
        <v>10720486.54714</v>
      </c>
      <c r="J155" s="4">
        <v>11022567.7512</v>
      </c>
      <c r="K155" s="4">
        <v>11253752.83862</v>
      </c>
      <c r="L155" s="4">
        <v>10090341.598328637</v>
      </c>
    </row>
    <row r="156" spans="2:12">
      <c r="B156" s="8" t="s">
        <v>9</v>
      </c>
      <c r="C156" s="4">
        <v>309064.91519999999</v>
      </c>
      <c r="D156" s="4">
        <v>381459.81455999898</v>
      </c>
      <c r="E156" s="4">
        <v>388136.64684</v>
      </c>
      <c r="F156" s="4">
        <v>471810.49043999898</v>
      </c>
      <c r="G156" s="4">
        <v>595226.15243999998</v>
      </c>
      <c r="H156" s="4">
        <v>625671.30347999895</v>
      </c>
      <c r="I156" s="4">
        <v>625916.28359999997</v>
      </c>
      <c r="J156" s="4">
        <v>584391.06863999902</v>
      </c>
      <c r="K156" s="4">
        <v>533391.19368000003</v>
      </c>
      <c r="L156" s="4">
        <v>688018.41505316703</v>
      </c>
    </row>
    <row r="157" spans="2:12">
      <c r="B157" s="31" t="s">
        <v>25</v>
      </c>
      <c r="C157" s="43">
        <f>SUM(C152:C156)</f>
        <v>80094392.45341</v>
      </c>
      <c r="D157" s="43">
        <f t="shared" ref="D157:L157" si="68">SUM(D152:D156)</f>
        <v>86416401.663899988</v>
      </c>
      <c r="E157" s="43">
        <f t="shared" si="68"/>
        <v>66622111.267610028</v>
      </c>
      <c r="F157" s="43">
        <f t="shared" si="68"/>
        <v>66475974.211889982</v>
      </c>
      <c r="G157" s="43">
        <f t="shared" si="68"/>
        <v>77561453.19971998</v>
      </c>
      <c r="H157" s="43">
        <f t="shared" si="68"/>
        <v>63486451.527749978</v>
      </c>
      <c r="I157" s="43">
        <f t="shared" si="68"/>
        <v>74860097.156340003</v>
      </c>
      <c r="J157" s="43">
        <f t="shared" si="68"/>
        <v>64940119.745330006</v>
      </c>
      <c r="K157" s="43">
        <f t="shared" si="68"/>
        <v>50000090.030300006</v>
      </c>
      <c r="L157" s="43">
        <f t="shared" si="68"/>
        <v>36365198.570579395</v>
      </c>
    </row>
    <row r="158" spans="2:12">
      <c r="B158" s="31" t="s">
        <v>146</v>
      </c>
      <c r="C158" s="43"/>
      <c r="D158" s="44">
        <f t="shared" ref="D158:K158" si="69">((D157/C157)-1)*100</f>
        <v>7.8931982837218362</v>
      </c>
      <c r="E158" s="44">
        <f t="shared" si="69"/>
        <v>-22.905710044808458</v>
      </c>
      <c r="F158" s="44">
        <f t="shared" si="69"/>
        <v>-0.21935218344107943</v>
      </c>
      <c r="G158" s="44">
        <f t="shared" si="69"/>
        <v>16.67591805799702</v>
      </c>
      <c r="H158" s="44">
        <f t="shared" si="69"/>
        <v>-18.146902992813985</v>
      </c>
      <c r="I158" s="44">
        <f t="shared" si="69"/>
        <v>17.915075350555053</v>
      </c>
      <c r="J158" s="44">
        <f t="shared" si="69"/>
        <v>-13.251355245095164</v>
      </c>
      <c r="K158" s="44">
        <f t="shared" si="69"/>
        <v>-23.005854891581677</v>
      </c>
      <c r="L158" s="44">
        <f>((L157/K157)-1)*100</f>
        <v>-27.269733817394894</v>
      </c>
    </row>
    <row r="159" spans="2:12">
      <c r="B159" s="45"/>
    </row>
    <row r="160" spans="2:12">
      <c r="B160" s="13" t="s">
        <v>98</v>
      </c>
      <c r="C160" s="15"/>
      <c r="D160" s="15"/>
      <c r="E160" s="15"/>
      <c r="F160" s="15"/>
      <c r="G160" s="15"/>
      <c r="H160" s="39"/>
      <c r="I160" s="39"/>
      <c r="J160" s="39"/>
      <c r="K160" s="39"/>
      <c r="L160" s="39"/>
    </row>
    <row r="161" spans="2:13">
      <c r="B161" s="55"/>
      <c r="C161" s="56">
        <v>2011</v>
      </c>
      <c r="D161" s="56">
        <v>2012</v>
      </c>
      <c r="E161" s="56">
        <v>2013</v>
      </c>
      <c r="F161" s="56">
        <v>2014</v>
      </c>
      <c r="G161" s="56">
        <v>2015</v>
      </c>
      <c r="H161" s="56">
        <v>2016</v>
      </c>
      <c r="I161" s="56">
        <v>2017</v>
      </c>
      <c r="J161" s="56">
        <v>2018</v>
      </c>
      <c r="K161" s="56">
        <v>2019</v>
      </c>
      <c r="L161" s="56">
        <v>2020</v>
      </c>
    </row>
    <row r="162" spans="2:13">
      <c r="B162" s="90" t="s">
        <v>36</v>
      </c>
      <c r="C162" s="105">
        <v>-1.9890000000000001</v>
      </c>
      <c r="D162" s="105">
        <v>-1.1719999999999999</v>
      </c>
      <c r="E162" s="105">
        <v>-2.3810000000000002</v>
      </c>
      <c r="F162" s="105">
        <v>-1.089</v>
      </c>
      <c r="G162" s="105">
        <v>1.9949999999999999</v>
      </c>
      <c r="H162" s="105">
        <v>0.70699999999999996</v>
      </c>
      <c r="I162" s="105">
        <v>1.2090000000000001</v>
      </c>
      <c r="J162" s="105">
        <v>0.38</v>
      </c>
      <c r="K162" s="105">
        <v>-1.5699999999999998</v>
      </c>
      <c r="L162" s="105">
        <v>-5.6476433333217617</v>
      </c>
      <c r="M162" s="111"/>
    </row>
    <row r="163" spans="2:13">
      <c r="B163" s="40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2:13">
      <c r="B164" s="40" t="s">
        <v>15</v>
      </c>
      <c r="C164" s="106">
        <v>1.2777774269304401</v>
      </c>
      <c r="D164" s="106">
        <v>-0.26218175200104299</v>
      </c>
      <c r="E164" s="106">
        <v>0.36398867182634298</v>
      </c>
      <c r="F164" s="106">
        <v>1.4366197248218101E-3</v>
      </c>
      <c r="G164" s="106">
        <v>-4.80832028206616E-2</v>
      </c>
      <c r="H164" s="106">
        <v>0.27665102545020498</v>
      </c>
      <c r="I164" s="106">
        <v>-9.0392691132160599E-2</v>
      </c>
      <c r="J164" s="106">
        <v>-0.24385610065588301</v>
      </c>
      <c r="K164" s="106">
        <v>0.72898817851374398</v>
      </c>
      <c r="L164" s="106"/>
    </row>
    <row r="165" spans="2:13">
      <c r="B165" s="40" t="s">
        <v>16</v>
      </c>
      <c r="C165" s="106">
        <v>-0.88265023253935104</v>
      </c>
      <c r="D165" s="106">
        <v>0.69595065575299697</v>
      </c>
      <c r="E165" s="106">
        <v>-0.29592346532130398</v>
      </c>
      <c r="F165" s="106">
        <v>-0.96721982705597798</v>
      </c>
      <c r="G165" s="106">
        <v>0.36068793578328601</v>
      </c>
      <c r="H165" s="106">
        <v>4.9256248788614197E-2</v>
      </c>
      <c r="I165" s="106">
        <v>-0.12757611103018598</v>
      </c>
      <c r="J165" s="106">
        <v>0.16069747055918199</v>
      </c>
      <c r="K165" s="106">
        <v>0.207449101163518</v>
      </c>
      <c r="L165" s="106"/>
    </row>
    <row r="166" spans="2:13">
      <c r="B166" s="41" t="s">
        <v>37</v>
      </c>
      <c r="C166" s="107">
        <v>-2.38412719439108</v>
      </c>
      <c r="D166" s="107">
        <v>-1.60576890375195</v>
      </c>
      <c r="E166" s="107">
        <v>-2.4490652065050402</v>
      </c>
      <c r="F166" s="107">
        <v>-0.12321679266884399</v>
      </c>
      <c r="G166" s="107">
        <v>1.6823952670373801</v>
      </c>
      <c r="H166" s="107">
        <v>0.38109272576118097</v>
      </c>
      <c r="I166" s="107">
        <v>1.4269688021623501</v>
      </c>
      <c r="J166" s="107">
        <v>0.463158630096701</v>
      </c>
      <c r="K166" s="107">
        <v>-2.50643727967726</v>
      </c>
      <c r="L166" s="107">
        <v>-5.6251840970472147</v>
      </c>
    </row>
    <row r="168" spans="2:13">
      <c r="B168" s="13" t="s">
        <v>31</v>
      </c>
      <c r="C168" s="15"/>
      <c r="D168" s="15"/>
      <c r="E168" s="15"/>
      <c r="F168" s="15"/>
      <c r="G168" s="15"/>
      <c r="H168" s="39"/>
      <c r="I168" s="39"/>
      <c r="J168" s="39"/>
      <c r="K168" s="39"/>
      <c r="L168" s="39"/>
    </row>
    <row r="169" spans="2:13">
      <c r="B169" s="55"/>
      <c r="C169" s="56">
        <v>2011</v>
      </c>
      <c r="D169" s="56">
        <v>2012</v>
      </c>
      <c r="E169" s="56">
        <v>2013</v>
      </c>
      <c r="F169" s="56">
        <v>2014</v>
      </c>
      <c r="G169" s="56">
        <v>2015</v>
      </c>
      <c r="H169" s="56">
        <v>2016</v>
      </c>
      <c r="I169" s="56">
        <v>2017</v>
      </c>
      <c r="J169" s="56">
        <v>2018</v>
      </c>
      <c r="K169" s="56">
        <v>2019</v>
      </c>
      <c r="L169" s="56">
        <v>2020</v>
      </c>
    </row>
    <row r="170" spans="2:13">
      <c r="B170" s="90" t="s">
        <v>36</v>
      </c>
      <c r="C170" s="105">
        <v>-2.0469999999999997</v>
      </c>
      <c r="D170" s="105">
        <v>-1.2869999999999999</v>
      </c>
      <c r="E170" s="105">
        <v>-2.3040000000000003</v>
      </c>
      <c r="F170" s="105">
        <v>-1.117</v>
      </c>
      <c r="G170" s="105">
        <v>1.9720000000000002</v>
      </c>
      <c r="H170" s="105">
        <v>0.69</v>
      </c>
      <c r="I170" s="105">
        <v>1.1320000000000001</v>
      </c>
      <c r="J170" s="105">
        <v>0.42</v>
      </c>
      <c r="K170" s="105">
        <v>-1.7000000000000002</v>
      </c>
      <c r="L170" s="105">
        <v>-5.144687402394954</v>
      </c>
    </row>
    <row r="171" spans="2:13">
      <c r="B171" s="40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2:13">
      <c r="B172" s="40" t="s">
        <v>15</v>
      </c>
      <c r="C172" s="106">
        <v>1.3521699999999999</v>
      </c>
      <c r="D172" s="106">
        <v>-0.27548999999999996</v>
      </c>
      <c r="E172" s="106">
        <v>0.39750999999999997</v>
      </c>
      <c r="F172" s="106">
        <v>-3.4999999999999996E-3</v>
      </c>
      <c r="G172" s="106">
        <v>-6.0919999999999995E-2</v>
      </c>
      <c r="H172" s="106">
        <v>0.29422999999999999</v>
      </c>
      <c r="I172" s="106">
        <v>-7.357000000000001E-2</v>
      </c>
      <c r="J172" s="106">
        <v>-0.26600000000000001</v>
      </c>
      <c r="K172" s="106">
        <v>0.74299999999999999</v>
      </c>
      <c r="L172" s="106">
        <v>-7.1379708788377183E-2</v>
      </c>
    </row>
    <row r="173" spans="2:13">
      <c r="B173" s="40" t="s">
        <v>16</v>
      </c>
      <c r="C173" s="106">
        <v>-0.89009999999999989</v>
      </c>
      <c r="D173" s="106">
        <v>0.69330999999999998</v>
      </c>
      <c r="E173" s="106">
        <v>-0.27198</v>
      </c>
      <c r="F173" s="106">
        <v>-0.9887999999999999</v>
      </c>
      <c r="G173" s="106">
        <v>0.35929</v>
      </c>
      <c r="H173" s="106">
        <v>9.2549999999999993E-2</v>
      </c>
      <c r="I173" s="106">
        <v>-0.16653999999999999</v>
      </c>
      <c r="J173" s="106">
        <v>0.16600000000000001</v>
      </c>
      <c r="K173" s="106">
        <v>0.22899999999999998</v>
      </c>
      <c r="L173" s="106">
        <v>0.11507561436051583</v>
      </c>
    </row>
    <row r="174" spans="2:13">
      <c r="B174" s="41" t="s">
        <v>37</v>
      </c>
      <c r="C174" s="107">
        <v>-2.5090699999999999</v>
      </c>
      <c r="D174" s="107">
        <v>-1.70482</v>
      </c>
      <c r="E174" s="107">
        <v>-2.4295299999999997</v>
      </c>
      <c r="F174" s="107">
        <v>-0.12470000000000001</v>
      </c>
      <c r="G174" s="107">
        <v>1.67363</v>
      </c>
      <c r="H174" s="107">
        <v>0.30321999999999999</v>
      </c>
      <c r="I174" s="107">
        <v>1.3721099999999999</v>
      </c>
      <c r="J174" s="107">
        <v>0.52</v>
      </c>
      <c r="K174" s="107">
        <v>-2.6720000000000002</v>
      </c>
      <c r="L174" s="107">
        <v>-5.1883833079670927</v>
      </c>
    </row>
    <row r="176" spans="2:13">
      <c r="B176" s="13" t="s">
        <v>32</v>
      </c>
    </row>
    <row r="177" spans="2:13">
      <c r="B177" s="34"/>
      <c r="C177" s="34"/>
      <c r="D177" s="23" t="s">
        <v>35</v>
      </c>
      <c r="E177" s="23" t="s">
        <v>38</v>
      </c>
    </row>
    <row r="178" spans="2:13">
      <c r="B178" s="24" t="s">
        <v>34</v>
      </c>
      <c r="C178" s="5"/>
      <c r="D178" s="5" t="s">
        <v>79</v>
      </c>
      <c r="E178" s="25">
        <v>45450</v>
      </c>
      <c r="F178" s="26"/>
    </row>
    <row r="179" spans="2:13">
      <c r="B179" s="24">
        <v>2011</v>
      </c>
      <c r="C179" s="5"/>
      <c r="D179" s="5" t="s">
        <v>80</v>
      </c>
      <c r="E179" s="25">
        <v>43969</v>
      </c>
      <c r="F179" s="26"/>
    </row>
    <row r="180" spans="2:13">
      <c r="B180" s="24">
        <v>2012</v>
      </c>
      <c r="C180" s="5"/>
      <c r="D180" s="5" t="s">
        <v>81</v>
      </c>
      <c r="E180" s="25">
        <v>43527</v>
      </c>
      <c r="F180" s="26"/>
    </row>
    <row r="181" spans="2:13">
      <c r="B181" s="24">
        <v>2013</v>
      </c>
      <c r="C181" s="5"/>
      <c r="D181" s="5" t="s">
        <v>82</v>
      </c>
      <c r="E181" s="25">
        <v>40277</v>
      </c>
      <c r="F181" s="26"/>
    </row>
    <row r="182" spans="2:13">
      <c r="B182" s="24">
        <v>2014</v>
      </c>
      <c r="C182" s="5"/>
      <c r="D182" s="5" t="s">
        <v>83</v>
      </c>
      <c r="E182" s="25">
        <v>38948</v>
      </c>
      <c r="F182" s="26"/>
    </row>
    <row r="183" spans="2:13">
      <c r="B183" s="24">
        <v>2015</v>
      </c>
      <c r="C183" s="5"/>
      <c r="D183" s="5" t="s">
        <v>84</v>
      </c>
      <c r="E183" s="25">
        <v>40726</v>
      </c>
      <c r="F183" s="26"/>
    </row>
    <row r="184" spans="2:13">
      <c r="B184" s="24">
        <v>2016</v>
      </c>
      <c r="C184" s="5"/>
      <c r="D184" s="5" t="s">
        <v>85</v>
      </c>
      <c r="E184" s="25">
        <v>40489</v>
      </c>
    </row>
    <row r="185" spans="2:13">
      <c r="B185" s="24">
        <v>2017</v>
      </c>
      <c r="C185" s="5"/>
      <c r="D185" s="5" t="s">
        <v>33</v>
      </c>
      <c r="E185" s="25">
        <v>41381</v>
      </c>
    </row>
    <row r="186" spans="2:13">
      <c r="B186" s="24">
        <v>2018</v>
      </c>
      <c r="C186" s="5"/>
      <c r="D186" s="5" t="s">
        <v>86</v>
      </c>
      <c r="E186" s="25">
        <v>40947</v>
      </c>
    </row>
    <row r="187" spans="2:13">
      <c r="B187" s="24">
        <v>2019</v>
      </c>
      <c r="C187" s="5"/>
      <c r="D187" s="5" t="s">
        <v>89</v>
      </c>
      <c r="E187" s="25">
        <v>40455</v>
      </c>
    </row>
    <row r="188" spans="2:13">
      <c r="B188" s="137">
        <v>2020</v>
      </c>
      <c r="C188" s="138"/>
      <c r="D188" s="138" t="s">
        <v>120</v>
      </c>
      <c r="E188" s="139">
        <v>40423</v>
      </c>
      <c r="F188" s="101">
        <f>((E188/E187)-1)*100</f>
        <v>-7.9100234828821669E-2</v>
      </c>
      <c r="G188" s="101">
        <f>((E188/E178)-1)*100</f>
        <v>-11.060506050605056</v>
      </c>
    </row>
    <row r="189" spans="2:13" s="38" customFormat="1">
      <c r="B189" s="35"/>
      <c r="C189" s="36"/>
      <c r="D189" s="36"/>
      <c r="E189" s="37"/>
    </row>
    <row r="190" spans="2:13">
      <c r="B190" s="13" t="s">
        <v>143</v>
      </c>
      <c r="C190" s="15"/>
      <c r="D190" s="15"/>
      <c r="E190" s="15"/>
      <c r="F190" s="15"/>
      <c r="G190" s="15"/>
      <c r="H190" s="39"/>
      <c r="I190" s="39"/>
      <c r="J190" s="39"/>
      <c r="K190" s="39"/>
      <c r="L190" s="39"/>
    </row>
    <row r="191" spans="2:13">
      <c r="B191" s="55"/>
      <c r="C191" s="56">
        <v>2011</v>
      </c>
      <c r="D191" s="56">
        <v>2012</v>
      </c>
      <c r="E191" s="56">
        <v>2013</v>
      </c>
      <c r="F191" s="56">
        <v>2014</v>
      </c>
      <c r="G191" s="56">
        <v>2015</v>
      </c>
      <c r="H191" s="56">
        <v>2016</v>
      </c>
      <c r="I191" s="56">
        <v>2017</v>
      </c>
      <c r="J191" s="56">
        <v>2018</v>
      </c>
      <c r="K191" s="56">
        <v>2019</v>
      </c>
      <c r="L191" s="56">
        <v>2020</v>
      </c>
      <c r="M191" s="93" t="s">
        <v>117</v>
      </c>
    </row>
    <row r="192" spans="2:13">
      <c r="B192" s="40" t="s">
        <v>1</v>
      </c>
      <c r="C192" s="4">
        <f t="shared" ref="C192:L192" si="70">C8</f>
        <v>30435.66340021</v>
      </c>
      <c r="D192" s="4">
        <f t="shared" si="70"/>
        <v>20651.797535297999</v>
      </c>
      <c r="E192" s="4">
        <f t="shared" si="70"/>
        <v>37382.405530940006</v>
      </c>
      <c r="F192" s="4">
        <f t="shared" si="70"/>
        <v>39178.524159203997</v>
      </c>
      <c r="G192" s="4">
        <f t="shared" si="70"/>
        <v>28379.011570850002</v>
      </c>
      <c r="H192" s="4">
        <f t="shared" si="70"/>
        <v>36111.434365772002</v>
      </c>
      <c r="I192" s="4">
        <f t="shared" si="70"/>
        <v>18447.346771659999</v>
      </c>
      <c r="J192" s="4">
        <f t="shared" si="70"/>
        <v>34113.964229872006</v>
      </c>
      <c r="K192" s="4">
        <f t="shared" si="70"/>
        <v>24715.505746512001</v>
      </c>
      <c r="L192" s="4">
        <f t="shared" si="70"/>
        <v>29875.412462601991</v>
      </c>
      <c r="M192" s="3">
        <f>((L192/K192)-1)*100</f>
        <v>20.877204654483705</v>
      </c>
    </row>
    <row r="193" spans="2:13">
      <c r="B193" s="40" t="s">
        <v>18</v>
      </c>
      <c r="C193" s="4">
        <f t="shared" ref="C193:L193" si="71">C9</f>
        <v>2183.53623079</v>
      </c>
      <c r="D193" s="4">
        <f t="shared" si="71"/>
        <v>3201.889743702</v>
      </c>
      <c r="E193" s="4">
        <f t="shared" si="71"/>
        <v>3289.6771840599999</v>
      </c>
      <c r="F193" s="4">
        <f t="shared" si="71"/>
        <v>3415.996026796</v>
      </c>
      <c r="G193" s="4">
        <f t="shared" si="71"/>
        <v>2895.3657881499998</v>
      </c>
      <c r="H193" s="4">
        <f t="shared" si="71"/>
        <v>3134.328910228</v>
      </c>
      <c r="I193" s="4">
        <f t="shared" si="71"/>
        <v>2248.9644183400001</v>
      </c>
      <c r="J193" s="4">
        <f t="shared" si="71"/>
        <v>1993.996008694</v>
      </c>
      <c r="K193" s="4">
        <f t="shared" si="71"/>
        <v>1645.505056342</v>
      </c>
      <c r="L193" s="4">
        <f t="shared" si="71"/>
        <v>2667.8404621979976</v>
      </c>
      <c r="M193" s="3">
        <f t="shared" ref="M193:M207" si="72">((L193/K193)-1)*100</f>
        <v>62.128973831820076</v>
      </c>
    </row>
    <row r="194" spans="2:13">
      <c r="B194" s="40" t="s">
        <v>2</v>
      </c>
      <c r="C194" s="4">
        <f t="shared" ref="C194:L194" si="73">C10</f>
        <v>55005.874866999999</v>
      </c>
      <c r="D194" s="4">
        <f t="shared" si="73"/>
        <v>58595.438799000003</v>
      </c>
      <c r="E194" s="4">
        <f t="shared" si="73"/>
        <v>54210.788119000004</v>
      </c>
      <c r="F194" s="4">
        <f t="shared" si="73"/>
        <v>54781.281335</v>
      </c>
      <c r="G194" s="4">
        <f t="shared" si="73"/>
        <v>54661.803305000001</v>
      </c>
      <c r="H194" s="4">
        <f t="shared" si="73"/>
        <v>56021.682058999999</v>
      </c>
      <c r="I194" s="4">
        <f t="shared" si="73"/>
        <v>55539.351045999996</v>
      </c>
      <c r="J194" s="4">
        <f t="shared" si="73"/>
        <v>53197.617429999998</v>
      </c>
      <c r="K194" s="4">
        <f t="shared" si="73"/>
        <v>55824.226774999996</v>
      </c>
      <c r="L194" s="4">
        <f t="shared" si="73"/>
        <v>55527.976481487771</v>
      </c>
      <c r="M194" s="3">
        <f t="shared" si="72"/>
        <v>-0.53068409654156712</v>
      </c>
    </row>
    <row r="195" spans="2:13">
      <c r="B195" s="40" t="s">
        <v>3</v>
      </c>
      <c r="C195" s="4">
        <f t="shared" ref="C195:L195" si="74">C11</f>
        <v>40412.479847999995</v>
      </c>
      <c r="D195" s="4">
        <f t="shared" si="74"/>
        <v>51097.323935999993</v>
      </c>
      <c r="E195" s="4">
        <f t="shared" si="74"/>
        <v>37090.897312000001</v>
      </c>
      <c r="F195" s="4">
        <f t="shared" si="74"/>
        <v>41058.278770999998</v>
      </c>
      <c r="G195" s="4">
        <f t="shared" si="74"/>
        <v>50754.794511</v>
      </c>
      <c r="H195" s="4">
        <f t="shared" si="74"/>
        <v>35010.909780000002</v>
      </c>
      <c r="I195" s="4">
        <f t="shared" si="74"/>
        <v>42421.888556000005</v>
      </c>
      <c r="J195" s="4">
        <f t="shared" si="74"/>
        <v>34881.034784999996</v>
      </c>
      <c r="K195" s="4">
        <f t="shared" si="74"/>
        <v>10670.697703</v>
      </c>
      <c r="L195" s="4">
        <f t="shared" si="74"/>
        <v>4905.0217045531999</v>
      </c>
      <c r="M195" s="3">
        <f t="shared" si="72"/>
        <v>-54.032792971220765</v>
      </c>
    </row>
    <row r="196" spans="2:13">
      <c r="B196" s="40" t="s">
        <v>20</v>
      </c>
      <c r="C196" s="4">
        <f t="shared" ref="C196:L196" si="75">C12</f>
        <v>-10.012343000000001</v>
      </c>
      <c r="D196" s="4">
        <f t="shared" si="75"/>
        <v>-3.8126410000000002</v>
      </c>
      <c r="E196" s="4">
        <f t="shared" si="75"/>
        <v>-2.012715</v>
      </c>
      <c r="F196" s="4">
        <f t="shared" si="75"/>
        <v>-0.81973099999999999</v>
      </c>
      <c r="G196" s="4">
        <f t="shared" si="75"/>
        <v>1.6617999999999997E-2</v>
      </c>
      <c r="H196" s="4">
        <f t="shared" si="75"/>
        <v>2.3499999999999999E-4</v>
      </c>
      <c r="I196" s="4">
        <f t="shared" si="75"/>
        <v>-9.9999999999999995E-7</v>
      </c>
      <c r="J196" s="4">
        <f t="shared" si="75"/>
        <v>-9.9999999999999995E-7</v>
      </c>
      <c r="K196" s="4">
        <f t="shared" si="75"/>
        <v>-9.9999999999999995E-7</v>
      </c>
      <c r="L196" s="4">
        <f t="shared" si="75"/>
        <v>0</v>
      </c>
      <c r="M196" s="3" t="s">
        <v>19</v>
      </c>
    </row>
    <row r="197" spans="2:13">
      <c r="B197" s="40" t="s">
        <v>21</v>
      </c>
      <c r="C197" s="4">
        <f t="shared" ref="C197:L197" si="76">C13</f>
        <v>49193.213946000003</v>
      </c>
      <c r="D197" s="4">
        <f t="shared" si="76"/>
        <v>37316.789670999999</v>
      </c>
      <c r="E197" s="4">
        <f t="shared" si="76"/>
        <v>24126.557304999998</v>
      </c>
      <c r="F197" s="4">
        <f t="shared" si="76"/>
        <v>21120.508624999999</v>
      </c>
      <c r="G197" s="4">
        <f t="shared" si="76"/>
        <v>25034.545559999999</v>
      </c>
      <c r="H197" s="4">
        <f t="shared" si="76"/>
        <v>25463.066258000003</v>
      </c>
      <c r="I197" s="4">
        <f t="shared" si="76"/>
        <v>33647.980778999998</v>
      </c>
      <c r="J197" s="4">
        <f t="shared" si="76"/>
        <v>26402.923068999997</v>
      </c>
      <c r="K197" s="4">
        <f t="shared" si="76"/>
        <v>51143.255619000003</v>
      </c>
      <c r="L197" s="4">
        <f t="shared" si="76"/>
        <v>38936.698531622402</v>
      </c>
      <c r="M197" s="3">
        <f t="shared" si="72"/>
        <v>-23.867383762802142</v>
      </c>
    </row>
    <row r="198" spans="2:13">
      <c r="B198" s="40" t="s">
        <v>5</v>
      </c>
      <c r="C198" s="4">
        <f t="shared" ref="C198:L198" si="77">C14</f>
        <v>42115.787092999999</v>
      </c>
      <c r="D198" s="4">
        <f t="shared" si="77"/>
        <v>48156.257946999998</v>
      </c>
      <c r="E198" s="4">
        <f t="shared" si="77"/>
        <v>54344.500781999996</v>
      </c>
      <c r="F198" s="4">
        <f t="shared" si="77"/>
        <v>50636.662464000001</v>
      </c>
      <c r="G198" s="4">
        <f t="shared" si="77"/>
        <v>47715.882145000003</v>
      </c>
      <c r="H198" s="4">
        <f t="shared" si="77"/>
        <v>47298.163668000001</v>
      </c>
      <c r="I198" s="4">
        <f t="shared" si="77"/>
        <v>47508.105951999903</v>
      </c>
      <c r="J198" s="4">
        <f t="shared" si="77"/>
        <v>48955.703093000098</v>
      </c>
      <c r="K198" s="4">
        <f t="shared" si="77"/>
        <v>53100.854504000003</v>
      </c>
      <c r="L198" s="4">
        <f t="shared" si="77"/>
        <v>53108.896271999998</v>
      </c>
      <c r="M198" s="3">
        <f t="shared" si="72"/>
        <v>1.5144328796790063E-2</v>
      </c>
    </row>
    <row r="199" spans="2:13">
      <c r="B199" s="40" t="s">
        <v>6</v>
      </c>
      <c r="C199" s="4">
        <f t="shared" ref="C199:L199" si="78">C15</f>
        <v>7105.8708019999895</v>
      </c>
      <c r="D199" s="4">
        <f t="shared" si="78"/>
        <v>7830.0693760000004</v>
      </c>
      <c r="E199" s="4">
        <f t="shared" si="78"/>
        <v>7918.3761039999999</v>
      </c>
      <c r="F199" s="4">
        <f t="shared" si="78"/>
        <v>7802.7909200000004</v>
      </c>
      <c r="G199" s="4">
        <f t="shared" si="78"/>
        <v>7845.3145369999993</v>
      </c>
      <c r="H199" s="4">
        <f t="shared" si="78"/>
        <v>7579.2182120000007</v>
      </c>
      <c r="I199" s="4">
        <f t="shared" si="78"/>
        <v>8000.7121639999996</v>
      </c>
      <c r="J199" s="4">
        <f t="shared" si="78"/>
        <v>7380.5475820000102</v>
      </c>
      <c r="K199" s="4">
        <f t="shared" si="78"/>
        <v>8851.9733770000003</v>
      </c>
      <c r="L199" s="4">
        <f t="shared" si="78"/>
        <v>14958.158527203001</v>
      </c>
      <c r="M199" s="3">
        <f t="shared" si="72"/>
        <v>68.981060947027288</v>
      </c>
    </row>
    <row r="200" spans="2:13">
      <c r="B200" s="40" t="s">
        <v>7</v>
      </c>
      <c r="C200" s="4">
        <f t="shared" ref="C200:L200" si="79">C16</f>
        <v>1861.6415490000002</v>
      </c>
      <c r="D200" s="4">
        <f t="shared" si="79"/>
        <v>3447.4936120000002</v>
      </c>
      <c r="E200" s="4">
        <f t="shared" si="79"/>
        <v>4441.5275350000002</v>
      </c>
      <c r="F200" s="4">
        <f t="shared" si="79"/>
        <v>4958.9149260000004</v>
      </c>
      <c r="G200" s="4">
        <f t="shared" si="79"/>
        <v>5085.2355140000009</v>
      </c>
      <c r="H200" s="4">
        <f t="shared" si="79"/>
        <v>5071.2017019999994</v>
      </c>
      <c r="I200" s="4">
        <f t="shared" si="79"/>
        <v>5347.9524650000003</v>
      </c>
      <c r="J200" s="4">
        <f t="shared" si="79"/>
        <v>4424.3266739999999</v>
      </c>
      <c r="K200" s="4">
        <f t="shared" si="79"/>
        <v>5166.4311449999996</v>
      </c>
      <c r="L200" s="4">
        <f t="shared" si="79"/>
        <v>4584.6236297969999</v>
      </c>
      <c r="M200" s="3">
        <f t="shared" si="72"/>
        <v>-11.261303961557001</v>
      </c>
    </row>
    <row r="201" spans="2:13">
      <c r="B201" s="8" t="s">
        <v>22</v>
      </c>
      <c r="C201" s="4">
        <f t="shared" ref="C201:L201" si="80">C17</f>
        <v>3705.130529</v>
      </c>
      <c r="D201" s="4">
        <f t="shared" si="80"/>
        <v>3782.4631420000001</v>
      </c>
      <c r="E201" s="4">
        <f t="shared" si="80"/>
        <v>4325.2771579999999</v>
      </c>
      <c r="F201" s="4">
        <f t="shared" si="80"/>
        <v>3805.563474</v>
      </c>
      <c r="G201" s="4">
        <f t="shared" si="80"/>
        <v>3422.5667469999999</v>
      </c>
      <c r="H201" s="4">
        <f t="shared" si="80"/>
        <v>3415.0193380000001</v>
      </c>
      <c r="I201" s="4">
        <f t="shared" si="80"/>
        <v>3599.155882</v>
      </c>
      <c r="J201" s="4">
        <f t="shared" si="80"/>
        <v>3547.1749180000002</v>
      </c>
      <c r="K201" s="4">
        <f t="shared" si="80"/>
        <v>3606.802287</v>
      </c>
      <c r="L201" s="4">
        <f t="shared" si="80"/>
        <v>4454.0057129999996</v>
      </c>
      <c r="M201" s="3">
        <f t="shared" si="72"/>
        <v>23.48904538110046</v>
      </c>
    </row>
    <row r="202" spans="2:13">
      <c r="B202" s="8" t="s">
        <v>8</v>
      </c>
      <c r="C202" s="4">
        <f t="shared" ref="C202:L202" si="81">C18</f>
        <v>30555.110683999999</v>
      </c>
      <c r="D202" s="4">
        <f t="shared" si="81"/>
        <v>32417.788432999998</v>
      </c>
      <c r="E202" s="4">
        <f t="shared" si="81"/>
        <v>30809.943767000001</v>
      </c>
      <c r="F202" s="4">
        <f t="shared" si="81"/>
        <v>24128.021298</v>
      </c>
      <c r="G202" s="4">
        <f t="shared" si="81"/>
        <v>25169.328039</v>
      </c>
      <c r="H202" s="4">
        <f t="shared" si="81"/>
        <v>25873.942241999997</v>
      </c>
      <c r="I202" s="4">
        <f t="shared" si="81"/>
        <v>28175.562469</v>
      </c>
      <c r="J202" s="4">
        <f t="shared" si="81"/>
        <v>28971.782793999999</v>
      </c>
      <c r="K202" s="4">
        <f t="shared" si="81"/>
        <v>29580.711578999999</v>
      </c>
      <c r="L202" s="4">
        <f t="shared" si="81"/>
        <v>26992.954569999998</v>
      </c>
      <c r="M202" s="3">
        <f t="shared" si="72"/>
        <v>-8.7481229181690985</v>
      </c>
    </row>
    <row r="203" spans="2:13">
      <c r="B203" s="40" t="s">
        <v>9</v>
      </c>
      <c r="C203" s="4">
        <f t="shared" ref="C203:L203" si="82">C19</f>
        <v>1160.5408359999999</v>
      </c>
      <c r="D203" s="4">
        <f t="shared" si="82"/>
        <v>1465.4718789999999</v>
      </c>
      <c r="E203" s="4">
        <f t="shared" si="82"/>
        <v>1500.150535</v>
      </c>
      <c r="F203" s="4">
        <f t="shared" si="82"/>
        <v>1833.3435569999999</v>
      </c>
      <c r="G203" s="4">
        <f t="shared" si="82"/>
        <v>2324.7147409999998</v>
      </c>
      <c r="H203" s="4">
        <f t="shared" si="82"/>
        <v>2471.3086455000002</v>
      </c>
      <c r="I203" s="4">
        <f t="shared" si="82"/>
        <v>2459.1288610000001</v>
      </c>
      <c r="J203" s="4">
        <f t="shared" si="82"/>
        <v>2293.8582025000001</v>
      </c>
      <c r="K203" s="4">
        <f t="shared" si="82"/>
        <v>2071.6030475000002</v>
      </c>
      <c r="L203" s="4">
        <f t="shared" si="82"/>
        <v>1895.8075969999998</v>
      </c>
      <c r="M203" s="3">
        <f t="shared" si="72"/>
        <v>-8.4859621495609225</v>
      </c>
    </row>
    <row r="204" spans="2:13">
      <c r="B204" s="41" t="s">
        <v>10</v>
      </c>
      <c r="C204" s="4">
        <f t="shared" ref="C204:L204" si="83">C20</f>
        <v>608.8261</v>
      </c>
      <c r="D204" s="4">
        <f t="shared" si="83"/>
        <v>595.84598199999994</v>
      </c>
      <c r="E204" s="4">
        <f t="shared" si="83"/>
        <v>438.65400900000003</v>
      </c>
      <c r="F204" s="4">
        <f t="shared" si="83"/>
        <v>545.53808600000002</v>
      </c>
      <c r="G204" s="4">
        <f t="shared" si="83"/>
        <v>662.65547500000002</v>
      </c>
      <c r="H204" s="4">
        <f t="shared" si="83"/>
        <v>649.73991049999995</v>
      </c>
      <c r="I204" s="4">
        <f t="shared" si="83"/>
        <v>728.150432999999</v>
      </c>
      <c r="J204" s="4">
        <f t="shared" si="83"/>
        <v>732.97066150000001</v>
      </c>
      <c r="K204" s="4">
        <f t="shared" si="83"/>
        <v>738.95349049999993</v>
      </c>
      <c r="L204" s="4">
        <f t="shared" si="83"/>
        <v>607.99843599999986</v>
      </c>
      <c r="M204" s="3">
        <f t="shared" si="72"/>
        <v>-17.72169103787461</v>
      </c>
    </row>
    <row r="205" spans="2:13">
      <c r="B205" s="42" t="s">
        <v>39</v>
      </c>
      <c r="C205" s="43">
        <f t="shared" ref="C205:G205" si="84">SUM(C192,C198:C201,C204)</f>
        <v>85832.91947321</v>
      </c>
      <c r="D205" s="43">
        <f t="shared" si="84"/>
        <v>84463.927594297988</v>
      </c>
      <c r="E205" s="43">
        <f t="shared" si="84"/>
        <v>108850.74111894</v>
      </c>
      <c r="F205" s="43">
        <f t="shared" si="84"/>
        <v>106927.994029204</v>
      </c>
      <c r="G205" s="43">
        <f t="shared" si="84"/>
        <v>93110.665988850014</v>
      </c>
      <c r="H205" s="43">
        <f>SUM(H192,H198:H201,H204)</f>
        <v>100124.777196272</v>
      </c>
      <c r="I205" s="43">
        <f t="shared" ref="I205:L205" si="85">SUM(I192,I198:I201,I204)</f>
        <v>83631.423667659896</v>
      </c>
      <c r="J205" s="43">
        <f t="shared" si="85"/>
        <v>99154.687158372122</v>
      </c>
      <c r="K205" s="43">
        <f t="shared" si="85"/>
        <v>96180.520550012006</v>
      </c>
      <c r="L205" s="43">
        <f t="shared" si="85"/>
        <v>107589.095040602</v>
      </c>
      <c r="M205" s="44">
        <f>((L205/K205)-1)*100</f>
        <v>11.861626892170696</v>
      </c>
    </row>
    <row r="206" spans="2:13">
      <c r="B206" s="42" t="s">
        <v>40</v>
      </c>
      <c r="C206" s="43">
        <f t="shared" ref="C206:G206" si="86">SUM(C193:C197,C202:C203)</f>
        <v>178500.74406878999</v>
      </c>
      <c r="D206" s="43">
        <f t="shared" si="86"/>
        <v>184090.889820702</v>
      </c>
      <c r="E206" s="43">
        <f t="shared" si="86"/>
        <v>151026.00150705999</v>
      </c>
      <c r="F206" s="43">
        <f t="shared" si="86"/>
        <v>146336.60988179597</v>
      </c>
      <c r="G206" s="43">
        <f t="shared" si="86"/>
        <v>160840.56856214997</v>
      </c>
      <c r="H206" s="43">
        <f>SUM(H193:H197,H202:H203)</f>
        <v>147975.23812972801</v>
      </c>
      <c r="I206" s="43">
        <f t="shared" ref="I206:L206" si="87">SUM(I193:I197,I202:I203)</f>
        <v>164492.87612833999</v>
      </c>
      <c r="J206" s="43">
        <f t="shared" si="87"/>
        <v>147741.21228819402</v>
      </c>
      <c r="K206" s="43">
        <f t="shared" si="87"/>
        <v>150935.999778842</v>
      </c>
      <c r="L206" s="43">
        <f t="shared" si="87"/>
        <v>130926.29934686137</v>
      </c>
      <c r="M206" s="44">
        <f t="shared" si="72"/>
        <v>-13.257076152342528</v>
      </c>
    </row>
    <row r="207" spans="2:13">
      <c r="B207" s="42" t="s">
        <v>41</v>
      </c>
      <c r="C207" s="43">
        <f t="shared" ref="C207:G207" si="88">SUM(C205:C206)</f>
        <v>264333.66354199999</v>
      </c>
      <c r="D207" s="43">
        <f t="shared" si="88"/>
        <v>268554.817415</v>
      </c>
      <c r="E207" s="43">
        <f t="shared" si="88"/>
        <v>259876.74262599999</v>
      </c>
      <c r="F207" s="43">
        <f t="shared" si="88"/>
        <v>253264.60391099995</v>
      </c>
      <c r="G207" s="43">
        <f t="shared" si="88"/>
        <v>253951.234551</v>
      </c>
      <c r="H207" s="43">
        <f>SUM(H205:H206)</f>
        <v>248100.01532599999</v>
      </c>
      <c r="I207" s="43">
        <f t="shared" ref="I207:L207" si="89">SUM(I205:I206)</f>
        <v>248124.29979599989</v>
      </c>
      <c r="J207" s="43">
        <f t="shared" si="89"/>
        <v>246895.89944656612</v>
      </c>
      <c r="K207" s="43">
        <f t="shared" si="89"/>
        <v>247116.52032885401</v>
      </c>
      <c r="L207" s="43">
        <f t="shared" si="89"/>
        <v>238515.39438746337</v>
      </c>
      <c r="M207" s="44">
        <f t="shared" si="72"/>
        <v>-3.4805952794837669</v>
      </c>
    </row>
    <row r="209" spans="2:12">
      <c r="B209" s="13" t="s">
        <v>142</v>
      </c>
    </row>
    <row r="210" spans="2:12">
      <c r="B210" s="55"/>
      <c r="C210" s="56">
        <v>2011</v>
      </c>
      <c r="D210" s="56">
        <v>2012</v>
      </c>
      <c r="E210" s="56">
        <v>2013</v>
      </c>
      <c r="F210" s="56">
        <v>2014</v>
      </c>
      <c r="G210" s="56">
        <v>2015</v>
      </c>
      <c r="H210" s="56">
        <v>2016</v>
      </c>
      <c r="I210" s="56">
        <v>2017</v>
      </c>
      <c r="J210" s="56">
        <v>2018</v>
      </c>
      <c r="K210" s="56">
        <v>2019</v>
      </c>
      <c r="L210" s="56">
        <v>2020</v>
      </c>
    </row>
    <row r="211" spans="2:12">
      <c r="B211" s="40" t="s">
        <v>1</v>
      </c>
      <c r="C211" s="3">
        <f t="shared" ref="C211:C223" si="90">C192/$C$207*100</f>
        <v>11.514107962028104</v>
      </c>
      <c r="D211" s="3">
        <f t="shared" ref="D211:D223" si="91">D192/$D$207*100</f>
        <v>7.6899747076160638</v>
      </c>
      <c r="E211" s="3">
        <f>E192/$E$207*100</f>
        <v>14.384667574788971</v>
      </c>
      <c r="F211" s="3">
        <f>F192/$F$207*100</f>
        <v>15.469403759623582</v>
      </c>
      <c r="G211" s="3">
        <f>G192/$G$207*100</f>
        <v>11.174984685947948</v>
      </c>
      <c r="H211" s="3">
        <f>H192/$H$207*100</f>
        <v>14.555192315615972</v>
      </c>
      <c r="I211" s="3">
        <f>I192/$I$207*100</f>
        <v>7.4347199314322845</v>
      </c>
      <c r="J211" s="3">
        <f>J192/$J$207*100</f>
        <v>13.81714492073006</v>
      </c>
      <c r="K211" s="3">
        <f>K192/$K$207*100</f>
        <v>10.001559472277075</v>
      </c>
      <c r="L211" s="3">
        <f>L192/$L$207*100</f>
        <v>12.525569906850539</v>
      </c>
    </row>
    <row r="212" spans="2:12">
      <c r="B212" s="40" t="s">
        <v>18</v>
      </c>
      <c r="C212" s="3">
        <f t="shared" si="90"/>
        <v>0.82605302765118971</v>
      </c>
      <c r="D212" s="3">
        <f t="shared" si="91"/>
        <v>1.1922667314338633</v>
      </c>
      <c r="E212" s="3">
        <f t="shared" ref="E212:E223" si="92">E193/$E$207*100</f>
        <v>1.2658605579008348</v>
      </c>
      <c r="F212" s="3">
        <f t="shared" ref="F212:F223" si="93">F193/$F$207*100</f>
        <v>1.3487854102172208</v>
      </c>
      <c r="G212" s="3">
        <f t="shared" ref="G212:G223" si="94">G193/$G$207*100</f>
        <v>1.1401266834828223</v>
      </c>
      <c r="H212" s="3">
        <f t="shared" ref="H212:H223" si="95">H193/$H$207*100</f>
        <v>1.2633328160457931</v>
      </c>
      <c r="I212" s="3">
        <f t="shared" ref="I212:I223" si="96">I193/$I$207*100</f>
        <v>0.90638620247554502</v>
      </c>
      <c r="J212" s="3">
        <f t="shared" ref="J212:J223" si="97">J193/$J$207*100</f>
        <v>0.80762621540644342</v>
      </c>
      <c r="K212" s="3">
        <f t="shared" ref="K212:K223" si="98">K193/$K$207*100</f>
        <v>0.66588225431153669</v>
      </c>
      <c r="L212" s="3">
        <f t="shared" ref="L212:L223" si="99">L193/$L$207*100</f>
        <v>1.1185191920418125</v>
      </c>
    </row>
    <row r="213" spans="2:12">
      <c r="B213" s="40" t="s">
        <v>2</v>
      </c>
      <c r="C213" s="3">
        <f t="shared" si="90"/>
        <v>20.809258317664149</v>
      </c>
      <c r="D213" s="3">
        <f t="shared" si="91"/>
        <v>21.818800110538319</v>
      </c>
      <c r="E213" s="3">
        <f t="shared" si="92"/>
        <v>20.860192247759979</v>
      </c>
      <c r="F213" s="3">
        <f t="shared" si="93"/>
        <v>21.630058243058219</v>
      </c>
      <c r="G213" s="3">
        <f t="shared" si="94"/>
        <v>21.524527495070117</v>
      </c>
      <c r="H213" s="3">
        <f t="shared" si="95"/>
        <v>22.580281579341413</v>
      </c>
      <c r="I213" s="3">
        <f t="shared" si="96"/>
        <v>22.383680716343676</v>
      </c>
      <c r="J213" s="3">
        <f t="shared" si="97"/>
        <v>21.546577950158778</v>
      </c>
      <c r="K213" s="3">
        <f t="shared" si="98"/>
        <v>22.590244756081493</v>
      </c>
      <c r="L213" s="3">
        <f t="shared" si="99"/>
        <v>23.280667742260576</v>
      </c>
    </row>
    <row r="214" spans="2:12">
      <c r="B214" s="40" t="s">
        <v>3</v>
      </c>
      <c r="C214" s="3">
        <f t="shared" si="90"/>
        <v>15.288434816240819</v>
      </c>
      <c r="D214" s="3">
        <f t="shared" si="91"/>
        <v>19.026776144938363</v>
      </c>
      <c r="E214" s="3">
        <f t="shared" si="92"/>
        <v>14.272495852150623</v>
      </c>
      <c r="F214" s="3">
        <f t="shared" si="93"/>
        <v>16.211613520785694</v>
      </c>
      <c r="G214" s="3">
        <f t="shared" si="94"/>
        <v>19.986039682278893</v>
      </c>
      <c r="H214" s="3">
        <f t="shared" si="95"/>
        <v>14.111611292726502</v>
      </c>
      <c r="I214" s="3">
        <f t="shared" si="96"/>
        <v>17.097031040844435</v>
      </c>
      <c r="J214" s="3">
        <f t="shared" si="97"/>
        <v>14.127830742911565</v>
      </c>
      <c r="K214" s="3">
        <f t="shared" si="98"/>
        <v>4.3180835052224795</v>
      </c>
      <c r="L214" s="3">
        <f t="shared" si="99"/>
        <v>2.0564801350243638</v>
      </c>
    </row>
    <row r="215" spans="2:12">
      <c r="B215" s="40" t="s">
        <v>20</v>
      </c>
      <c r="C215" s="3">
        <f t="shared" si="90"/>
        <v>-3.7877668950058417E-3</v>
      </c>
      <c r="D215" s="3">
        <f t="shared" si="91"/>
        <v>-1.419688180126106E-3</v>
      </c>
      <c r="E215" s="3">
        <f t="shared" si="92"/>
        <v>-7.7448831306023663E-4</v>
      </c>
      <c r="F215" s="3">
        <f t="shared" si="93"/>
        <v>-3.2366583697106868E-4</v>
      </c>
      <c r="G215" s="3">
        <f t="shared" si="94"/>
        <v>6.5437760243148847E-6</v>
      </c>
      <c r="H215" s="3">
        <f t="shared" si="95"/>
        <v>9.4719865168574542E-8</v>
      </c>
      <c r="I215" s="3">
        <f t="shared" si="96"/>
        <v>-4.030238073506581E-10</v>
      </c>
      <c r="J215" s="3">
        <f t="shared" si="97"/>
        <v>-4.0502900300959537E-10</v>
      </c>
      <c r="K215" s="3">
        <f t="shared" si="98"/>
        <v>-4.0466740089623914E-10</v>
      </c>
      <c r="L215" s="3">
        <f t="shared" si="99"/>
        <v>0</v>
      </c>
    </row>
    <row r="216" spans="2:12">
      <c r="B216" s="40" t="s">
        <v>21</v>
      </c>
      <c r="C216" s="3">
        <f t="shared" si="90"/>
        <v>18.610272065549339</v>
      </c>
      <c r="D216" s="3">
        <f t="shared" si="91"/>
        <v>13.895408777320146</v>
      </c>
      <c r="E216" s="3">
        <f t="shared" si="92"/>
        <v>9.2838462808199758</v>
      </c>
      <c r="F216" s="3">
        <f t="shared" si="93"/>
        <v>8.3393053347565242</v>
      </c>
      <c r="G216" s="3">
        <f t="shared" si="94"/>
        <v>9.8580129386897752</v>
      </c>
      <c r="H216" s="3">
        <f t="shared" si="95"/>
        <v>10.263226394622301</v>
      </c>
      <c r="I216" s="3">
        <f t="shared" si="96"/>
        <v>13.560937323214342</v>
      </c>
      <c r="J216" s="3">
        <f t="shared" si="97"/>
        <v>10.693949607176116</v>
      </c>
      <c r="K216" s="3">
        <f t="shared" si="98"/>
        <v>20.696008324712711</v>
      </c>
      <c r="L216" s="3">
        <f t="shared" si="99"/>
        <v>16.32460606226973</v>
      </c>
    </row>
    <row r="217" spans="2:12">
      <c r="B217" s="40" t="s">
        <v>5</v>
      </c>
      <c r="C217" s="3">
        <f t="shared" si="90"/>
        <v>15.932812540279501</v>
      </c>
      <c r="D217" s="3">
        <f t="shared" si="91"/>
        <v>17.931630648272353</v>
      </c>
      <c r="E217" s="3">
        <f t="shared" si="92"/>
        <v>20.911644586914633</v>
      </c>
      <c r="F217" s="3">
        <f t="shared" si="93"/>
        <v>19.993580501203514</v>
      </c>
      <c r="G217" s="3">
        <f t="shared" si="94"/>
        <v>18.789387745786847</v>
      </c>
      <c r="H217" s="3">
        <f t="shared" si="95"/>
        <v>19.064151852570774</v>
      </c>
      <c r="I217" s="3">
        <f t="shared" si="96"/>
        <v>19.146897740793463</v>
      </c>
      <c r="J217" s="3">
        <f t="shared" si="97"/>
        <v>19.828479615391597</v>
      </c>
      <c r="K217" s="3">
        <f t="shared" si="98"/>
        <v>21.488184777503037</v>
      </c>
      <c r="L217" s="3">
        <f t="shared" si="99"/>
        <v>22.266443811054678</v>
      </c>
    </row>
    <row r="218" spans="2:12">
      <c r="B218" s="40" t="s">
        <v>6</v>
      </c>
      <c r="C218" s="3">
        <f t="shared" si="90"/>
        <v>2.6882201482714052</v>
      </c>
      <c r="D218" s="3">
        <f t="shared" si="91"/>
        <v>2.9156316953719466</v>
      </c>
      <c r="E218" s="3">
        <f t="shared" si="92"/>
        <v>3.0469737399301184</v>
      </c>
      <c r="F218" s="3">
        <f t="shared" si="93"/>
        <v>3.0808848925221266</v>
      </c>
      <c r="G218" s="3">
        <f t="shared" si="94"/>
        <v>3.0892996251311611</v>
      </c>
      <c r="H218" s="3">
        <f t="shared" si="95"/>
        <v>3.0549043707397647</v>
      </c>
      <c r="I218" s="3">
        <f t="shared" si="96"/>
        <v>3.2244774778520031</v>
      </c>
      <c r="J218" s="3">
        <f t="shared" si="97"/>
        <v>2.9893358288023442</v>
      </c>
      <c r="K218" s="3">
        <f t="shared" si="98"/>
        <v>3.5821050592732955</v>
      </c>
      <c r="L218" s="3">
        <f t="shared" si="99"/>
        <v>6.2713597860705708</v>
      </c>
    </row>
    <row r="219" spans="2:12">
      <c r="B219" s="40" t="s">
        <v>7</v>
      </c>
      <c r="C219" s="3">
        <f t="shared" si="90"/>
        <v>0.70427713370083256</v>
      </c>
      <c r="D219" s="3">
        <f t="shared" si="91"/>
        <v>1.283720636696887</v>
      </c>
      <c r="E219" s="3">
        <f t="shared" si="92"/>
        <v>1.7090900440413774</v>
      </c>
      <c r="F219" s="3">
        <f t="shared" si="93"/>
        <v>1.9579976236010537</v>
      </c>
      <c r="G219" s="3">
        <f t="shared" si="94"/>
        <v>2.0024456754427602</v>
      </c>
      <c r="H219" s="3">
        <f t="shared" si="95"/>
        <v>2.0440150700258966</v>
      </c>
      <c r="I219" s="3">
        <f t="shared" si="96"/>
        <v>2.1553521639746371</v>
      </c>
      <c r="J219" s="3">
        <f t="shared" si="97"/>
        <v>1.7919806217589793</v>
      </c>
      <c r="K219" s="3">
        <f t="shared" si="98"/>
        <v>2.0906862633565306</v>
      </c>
      <c r="L219" s="3">
        <f t="shared" si="99"/>
        <v>1.9221499901802452</v>
      </c>
    </row>
    <row r="220" spans="2:12">
      <c r="B220" s="8" t="s">
        <v>22</v>
      </c>
      <c r="C220" s="3">
        <f t="shared" si="90"/>
        <v>1.4016869737105169</v>
      </c>
      <c r="D220" s="3">
        <f t="shared" si="91"/>
        <v>1.4084510486195927</v>
      </c>
      <c r="E220" s="3">
        <f t="shared" si="92"/>
        <v>1.6643571542008648</v>
      </c>
      <c r="F220" s="3">
        <f t="shared" si="93"/>
        <v>1.5026037650872517</v>
      </c>
      <c r="G220" s="3">
        <f t="shared" si="94"/>
        <v>1.3477259730795519</v>
      </c>
      <c r="H220" s="3">
        <f t="shared" si="95"/>
        <v>1.3764688138018499</v>
      </c>
      <c r="I220" s="3">
        <f t="shared" si="96"/>
        <v>1.450545506812156</v>
      </c>
      <c r="J220" s="3">
        <f t="shared" si="97"/>
        <v>1.4367087205381834</v>
      </c>
      <c r="K220" s="3">
        <f t="shared" si="98"/>
        <v>1.4595553070269012</v>
      </c>
      <c r="L220" s="3">
        <f t="shared" si="99"/>
        <v>1.8673871028066886</v>
      </c>
    </row>
    <row r="221" spans="2:12">
      <c r="B221" s="8" t="s">
        <v>8</v>
      </c>
      <c r="C221" s="3">
        <f t="shared" si="90"/>
        <v>11.559296033115773</v>
      </c>
      <c r="D221" s="3">
        <f t="shared" si="91"/>
        <v>12.071199744260971</v>
      </c>
      <c r="E221" s="3">
        <f t="shared" si="92"/>
        <v>11.855598717942968</v>
      </c>
      <c r="F221" s="3">
        <f t="shared" si="93"/>
        <v>9.5268035585734108</v>
      </c>
      <c r="G221" s="3">
        <f t="shared" si="94"/>
        <v>9.9110870965052715</v>
      </c>
      <c r="H221" s="3">
        <f t="shared" si="95"/>
        <v>10.428835406560534</v>
      </c>
      <c r="I221" s="3">
        <f t="shared" si="96"/>
        <v>11.355422460502689</v>
      </c>
      <c r="J221" s="3">
        <f t="shared" si="97"/>
        <v>11.734412300464371</v>
      </c>
      <c r="K221" s="3">
        <f t="shared" si="98"/>
        <v>11.970349671335216</v>
      </c>
      <c r="L221" s="3">
        <f t="shared" si="99"/>
        <v>11.317070178770305</v>
      </c>
    </row>
    <row r="222" spans="2:12">
      <c r="B222" s="40" t="s">
        <v>9</v>
      </c>
      <c r="C222" s="3">
        <f t="shared" si="90"/>
        <v>0.43904390399961352</v>
      </c>
      <c r="D222" s="3">
        <f t="shared" si="91"/>
        <v>0.54568817387304358</v>
      </c>
      <c r="E222" s="3">
        <f t="shared" si="92"/>
        <v>0.57725463226962659</v>
      </c>
      <c r="F222" s="3">
        <f t="shared" si="93"/>
        <v>0.72388463634036193</v>
      </c>
      <c r="G222" s="3">
        <f t="shared" si="94"/>
        <v>0.91541777503473276</v>
      </c>
      <c r="H222" s="3">
        <f t="shared" si="95"/>
        <v>0.99609370932635166</v>
      </c>
      <c r="I222" s="3">
        <f t="shared" si="96"/>
        <v>0.99108747632610739</v>
      </c>
      <c r="J222" s="3">
        <f t="shared" si="97"/>
        <v>0.92907910080395772</v>
      </c>
      <c r="K222" s="3">
        <f t="shared" si="98"/>
        <v>0.8383102209205533</v>
      </c>
      <c r="L222" s="3">
        <f t="shared" si="99"/>
        <v>0.79483657726523904</v>
      </c>
    </row>
    <row r="223" spans="2:12">
      <c r="B223" s="41" t="s">
        <v>10</v>
      </c>
      <c r="C223" s="3">
        <f t="shared" si="90"/>
        <v>0.23032484468375841</v>
      </c>
      <c r="D223" s="3">
        <f t="shared" si="91"/>
        <v>0.22187126923857567</v>
      </c>
      <c r="E223" s="3">
        <f t="shared" si="92"/>
        <v>0.16879309959309682</v>
      </c>
      <c r="F223" s="3">
        <f t="shared" si="93"/>
        <v>0.21540242006802823</v>
      </c>
      <c r="G223" s="3">
        <f t="shared" si="94"/>
        <v>0.26093807977409994</v>
      </c>
      <c r="H223" s="3">
        <f t="shared" si="95"/>
        <v>0.26188628390298596</v>
      </c>
      <c r="I223" s="3">
        <f t="shared" si="96"/>
        <v>0.29346195983168988</v>
      </c>
      <c r="J223" s="3">
        <f t="shared" si="97"/>
        <v>0.29687437626262864</v>
      </c>
      <c r="K223" s="3">
        <f t="shared" si="98"/>
        <v>0.29903038838383872</v>
      </c>
      <c r="L223" s="3">
        <f t="shared" si="99"/>
        <v>0.25490951540524837</v>
      </c>
    </row>
    <row r="224" spans="2:12">
      <c r="B224" s="42" t="s">
        <v>39</v>
      </c>
      <c r="C224" s="44">
        <f t="shared" ref="C224:G224" si="100">SUM(C211,C217:C220,C223)</f>
        <v>32.471429602674114</v>
      </c>
      <c r="D224" s="44">
        <f t="shared" si="100"/>
        <v>31.45128000581542</v>
      </c>
      <c r="E224" s="44">
        <f t="shared" si="100"/>
        <v>41.885526199469055</v>
      </c>
      <c r="F224" s="44">
        <f t="shared" si="100"/>
        <v>42.219872962105562</v>
      </c>
      <c r="G224" s="44">
        <f t="shared" si="100"/>
        <v>36.664781785162369</v>
      </c>
      <c r="H224" s="44">
        <f>SUM(H211,H217:H220,H223)</f>
        <v>40.356618706657244</v>
      </c>
      <c r="I224" s="44">
        <f t="shared" ref="I224:L224" si="101">SUM(I211,I217:I220,I223)</f>
        <v>33.705454780696229</v>
      </c>
      <c r="J224" s="44">
        <f t="shared" si="101"/>
        <v>40.1605240834838</v>
      </c>
      <c r="K224" s="44">
        <f t="shared" si="101"/>
        <v>38.921121267820681</v>
      </c>
      <c r="L224" s="44">
        <f t="shared" si="101"/>
        <v>45.107820112367968</v>
      </c>
    </row>
    <row r="225" spans="1:14">
      <c r="B225" s="42" t="s">
        <v>40</v>
      </c>
      <c r="C225" s="44">
        <f t="shared" ref="C225:G225" si="102">SUM(C212:C216,C221:C222)</f>
        <v>67.528570397325879</v>
      </c>
      <c r="D225" s="44">
        <f t="shared" si="102"/>
        <v>68.54871999418458</v>
      </c>
      <c r="E225" s="44">
        <f t="shared" si="102"/>
        <v>58.114473800530945</v>
      </c>
      <c r="F225" s="44">
        <f t="shared" si="102"/>
        <v>57.780127037894466</v>
      </c>
      <c r="G225" s="44">
        <f t="shared" si="102"/>
        <v>63.335218214837639</v>
      </c>
      <c r="H225" s="44">
        <f>SUM(H212:H216,H221:H222)</f>
        <v>59.643381293342763</v>
      </c>
      <c r="I225" s="44">
        <f t="shared" ref="I225:L225" si="103">SUM(I212:I216,I221:I222)</f>
        <v>66.294545219303757</v>
      </c>
      <c r="J225" s="44">
        <f t="shared" si="103"/>
        <v>59.8394759165162</v>
      </c>
      <c r="K225" s="44">
        <f t="shared" si="103"/>
        <v>61.078878732179319</v>
      </c>
      <c r="L225" s="44">
        <f t="shared" si="103"/>
        <v>54.892179887632018</v>
      </c>
    </row>
    <row r="226" spans="1:14">
      <c r="B226" s="42" t="s">
        <v>41</v>
      </c>
      <c r="C226" s="44">
        <f t="shared" ref="C226:G226" si="104">SUM(C224:C225)</f>
        <v>100</v>
      </c>
      <c r="D226" s="44">
        <f t="shared" si="104"/>
        <v>100</v>
      </c>
      <c r="E226" s="44">
        <f t="shared" si="104"/>
        <v>100</v>
      </c>
      <c r="F226" s="44">
        <f t="shared" si="104"/>
        <v>100.00000000000003</v>
      </c>
      <c r="G226" s="44">
        <f t="shared" si="104"/>
        <v>100</v>
      </c>
      <c r="H226" s="44">
        <f>SUM(H224:H225)</f>
        <v>100</v>
      </c>
      <c r="I226" s="44">
        <f t="shared" ref="I226:L226" si="105">SUM(I224:I225)</f>
        <v>99.999999999999986</v>
      </c>
      <c r="J226" s="44">
        <f t="shared" si="105"/>
        <v>100</v>
      </c>
      <c r="K226" s="44">
        <f t="shared" si="105"/>
        <v>100</v>
      </c>
      <c r="L226" s="44">
        <f t="shared" si="105"/>
        <v>99.999999999999986</v>
      </c>
    </row>
    <row r="227" spans="1:14">
      <c r="B227" s="45" t="s">
        <v>42</v>
      </c>
    </row>
    <row r="228" spans="1:14">
      <c r="B228" s="45" t="s">
        <v>43</v>
      </c>
    </row>
    <row r="229" spans="1:14">
      <c r="B229" s="45"/>
    </row>
    <row r="230" spans="1:14">
      <c r="B230" s="13" t="s">
        <v>142</v>
      </c>
    </row>
    <row r="231" spans="1:14">
      <c r="B231" s="55"/>
      <c r="C231" s="56">
        <v>2011</v>
      </c>
      <c r="D231" s="56">
        <v>2012</v>
      </c>
      <c r="E231" s="56">
        <v>2013</v>
      </c>
      <c r="F231" s="56">
        <v>2014</v>
      </c>
      <c r="G231" s="56">
        <v>2015</v>
      </c>
      <c r="H231" s="56">
        <v>2016</v>
      </c>
      <c r="I231" s="56">
        <v>2017</v>
      </c>
      <c r="J231" s="56">
        <v>2018</v>
      </c>
      <c r="K231" s="56">
        <v>2019</v>
      </c>
      <c r="L231" s="56">
        <v>2020</v>
      </c>
    </row>
    <row r="232" spans="1:14">
      <c r="B232" s="16" t="s">
        <v>118</v>
      </c>
      <c r="C232" s="17">
        <f>SUM(C211:C213,C217:C220,C223)</f>
        <v>54.106740947989458</v>
      </c>
      <c r="D232" s="17">
        <f t="shared" ref="D232:G232" si="106">SUM(D211:D213,D217:D220,D223)</f>
        <v>54.4623468477876</v>
      </c>
      <c r="E232" s="17">
        <f t="shared" si="106"/>
        <v>64.011579005129875</v>
      </c>
      <c r="F232" s="17">
        <f t="shared" si="106"/>
        <v>65.198716615381002</v>
      </c>
      <c r="G232" s="17">
        <f t="shared" si="106"/>
        <v>59.329435963715305</v>
      </c>
      <c r="H232" s="17">
        <f>SUM(H211:H213,H217:H220,H223)</f>
        <v>64.20023310204445</v>
      </c>
      <c r="I232" s="17">
        <f>SUM(I211:I213,I217:I220,I223)</f>
        <v>56.995521699515457</v>
      </c>
      <c r="J232" s="17">
        <f>SUM(J211:J213,J217:J220,J223)</f>
        <v>62.514728249049021</v>
      </c>
      <c r="K232" s="17">
        <f>SUM(K211:K213,K217:K220,K223)</f>
        <v>62.17724827821371</v>
      </c>
      <c r="L232" s="17">
        <f>SUM(L211:L213,L217:L220,L223)</f>
        <v>69.507007046670353</v>
      </c>
    </row>
    <row r="233" spans="1:14">
      <c r="B233" s="46" t="s">
        <v>119</v>
      </c>
      <c r="C233" s="47">
        <f t="shared" ref="C233:G233" si="107">SUM(C214:C216,C221:C222)</f>
        <v>45.893259052010535</v>
      </c>
      <c r="D233" s="47">
        <f t="shared" si="107"/>
        <v>45.537653152212407</v>
      </c>
      <c r="E233" s="47">
        <f t="shared" si="107"/>
        <v>35.988420994870133</v>
      </c>
      <c r="F233" s="47">
        <f t="shared" si="107"/>
        <v>34.801283384619026</v>
      </c>
      <c r="G233" s="47">
        <f t="shared" si="107"/>
        <v>40.670564036284695</v>
      </c>
      <c r="H233" s="47">
        <f>SUM(H214:H216,H221:H222)</f>
        <v>35.799766897955557</v>
      </c>
      <c r="I233" s="47">
        <f>SUM(I214:I216,I221:I222)</f>
        <v>43.00447830048455</v>
      </c>
      <c r="J233" s="47">
        <f>SUM(J214:J216,J221:J222)</f>
        <v>37.485271750950986</v>
      </c>
      <c r="K233" s="47">
        <f>SUM(K214:K216,K221:K222)</f>
        <v>37.82275172178629</v>
      </c>
      <c r="L233" s="47">
        <f>SUM(L214:L216,L221:L222)</f>
        <v>30.49299295332964</v>
      </c>
    </row>
    <row r="234" spans="1:14">
      <c r="B234" s="45"/>
    </row>
    <row r="235" spans="1:14">
      <c r="A235" s="84"/>
      <c r="B235" s="13" t="s">
        <v>141</v>
      </c>
      <c r="C235" s="85"/>
      <c r="D235" s="86"/>
      <c r="E235" s="86"/>
      <c r="F235" s="86"/>
      <c r="G235" s="86"/>
      <c r="H235" s="86"/>
      <c r="I235" s="86"/>
      <c r="J235" s="86"/>
      <c r="K235" s="86"/>
      <c r="L235" s="86"/>
    </row>
    <row r="236" spans="1:14">
      <c r="A236" s="84"/>
      <c r="B236" s="55"/>
      <c r="C236" s="56">
        <v>2011</v>
      </c>
      <c r="D236" s="56">
        <v>2012</v>
      </c>
      <c r="E236" s="56">
        <v>2013</v>
      </c>
      <c r="F236" s="56">
        <v>2014</v>
      </c>
      <c r="G236" s="56">
        <v>2015</v>
      </c>
      <c r="H236" s="56">
        <v>2016</v>
      </c>
      <c r="I236" s="56">
        <v>2017</v>
      </c>
      <c r="J236" s="56">
        <v>2018</v>
      </c>
      <c r="K236" s="56">
        <v>2019</v>
      </c>
      <c r="L236" s="56">
        <v>2020</v>
      </c>
      <c r="M236" s="93" t="s">
        <v>117</v>
      </c>
      <c r="N236" s="93" t="s">
        <v>121</v>
      </c>
    </row>
    <row r="237" spans="1:14">
      <c r="A237" s="84"/>
      <c r="B237" s="40" t="s">
        <v>1</v>
      </c>
      <c r="C237" s="4">
        <v>16703.63078</v>
      </c>
      <c r="D237" s="4">
        <v>16926.57878</v>
      </c>
      <c r="E237" s="4">
        <v>16984.611779999999</v>
      </c>
      <c r="F237" s="4">
        <v>16990.841779999999</v>
      </c>
      <c r="G237" s="4">
        <v>17024.221629999996</v>
      </c>
      <c r="H237" s="4">
        <v>17028.321629999999</v>
      </c>
      <c r="I237" s="4">
        <v>17025.484629999995</v>
      </c>
      <c r="J237" s="4">
        <v>17044.29623</v>
      </c>
      <c r="K237" s="4">
        <v>17082.753229999998</v>
      </c>
      <c r="L237" s="4">
        <v>17082.648229999999</v>
      </c>
      <c r="M237" s="3">
        <f>((L237/K237)-1)*100</f>
        <v>-6.1465501834945258E-4</v>
      </c>
      <c r="N237" s="4">
        <f>L237-K237</f>
        <v>-0.10499999999956344</v>
      </c>
    </row>
    <row r="238" spans="1:14">
      <c r="A238" s="84"/>
      <c r="B238" s="8" t="s">
        <v>56</v>
      </c>
      <c r="C238" s="4">
        <v>2450.9399999999996</v>
      </c>
      <c r="D238" s="4">
        <v>2450.9399999999996</v>
      </c>
      <c r="E238" s="4">
        <v>2450.9399999999996</v>
      </c>
      <c r="F238" s="4">
        <v>2450.9399999999996</v>
      </c>
      <c r="G238" s="4">
        <v>3328.8900000000003</v>
      </c>
      <c r="H238" s="4">
        <v>3328.8900000000003</v>
      </c>
      <c r="I238" s="4">
        <v>3328.8900000000003</v>
      </c>
      <c r="J238" s="4">
        <v>3328.8900000000003</v>
      </c>
      <c r="K238" s="4">
        <v>3328.8900000000003</v>
      </c>
      <c r="L238" s="4">
        <v>3328.8900000000003</v>
      </c>
      <c r="M238" s="3">
        <f t="shared" ref="M238:M252" si="108">((L238/K238)-1)*100</f>
        <v>0</v>
      </c>
      <c r="N238" s="4">
        <f t="shared" ref="N238:N249" si="109">L238-K238</f>
        <v>0</v>
      </c>
    </row>
    <row r="239" spans="1:14">
      <c r="A239" s="84"/>
      <c r="B239" s="40" t="s">
        <v>2</v>
      </c>
      <c r="C239" s="4">
        <v>7572.58</v>
      </c>
      <c r="D239" s="4">
        <v>7572.58</v>
      </c>
      <c r="E239" s="4">
        <v>7572.58</v>
      </c>
      <c r="F239" s="4">
        <v>7572.58</v>
      </c>
      <c r="G239" s="4">
        <v>7572.58</v>
      </c>
      <c r="H239" s="4">
        <v>7572.58</v>
      </c>
      <c r="I239" s="4">
        <v>7117.29</v>
      </c>
      <c r="J239" s="4">
        <v>7117.29</v>
      </c>
      <c r="K239" s="4">
        <v>7117.29</v>
      </c>
      <c r="L239" s="4">
        <v>7117.29</v>
      </c>
      <c r="M239" s="3">
        <f t="shared" si="108"/>
        <v>0</v>
      </c>
      <c r="N239" s="4">
        <f t="shared" si="109"/>
        <v>0</v>
      </c>
    </row>
    <row r="240" spans="1:14">
      <c r="A240" s="84"/>
      <c r="B240" s="40" t="s">
        <v>3</v>
      </c>
      <c r="C240" s="4">
        <v>11103.390000000001</v>
      </c>
      <c r="D240" s="4">
        <v>10595.47</v>
      </c>
      <c r="E240" s="4">
        <v>10610.37</v>
      </c>
      <c r="F240" s="4">
        <v>10468.02</v>
      </c>
      <c r="G240" s="4">
        <v>10468.02</v>
      </c>
      <c r="H240" s="4">
        <v>9535.869999999999</v>
      </c>
      <c r="I240" s="4">
        <v>9535.869999999999</v>
      </c>
      <c r="J240" s="4">
        <v>9561.8849999999984</v>
      </c>
      <c r="K240" s="4">
        <v>9215.0449999999983</v>
      </c>
      <c r="L240" s="4">
        <v>5977.875</v>
      </c>
      <c r="M240" s="3">
        <f t="shared" si="108"/>
        <v>-35.12918276579223</v>
      </c>
      <c r="N240" s="4">
        <f t="shared" si="109"/>
        <v>-3237.1699999999983</v>
      </c>
    </row>
    <row r="241" spans="1:14">
      <c r="A241" s="84"/>
      <c r="B241" s="40" t="s">
        <v>20</v>
      </c>
      <c r="C241" s="4">
        <v>806.52</v>
      </c>
      <c r="D241" s="4">
        <v>505.52</v>
      </c>
      <c r="E241" s="4">
        <v>505.52</v>
      </c>
      <c r="F241" s="4">
        <v>505.52</v>
      </c>
      <c r="G241" s="4"/>
      <c r="H241" s="4"/>
      <c r="I241" s="4"/>
      <c r="J241" s="4"/>
      <c r="K241" s="4"/>
      <c r="L241" s="4"/>
      <c r="M241" s="3" t="s">
        <v>19</v>
      </c>
      <c r="N241" s="4">
        <f t="shared" si="109"/>
        <v>0</v>
      </c>
    </row>
    <row r="242" spans="1:14">
      <c r="A242" s="84"/>
      <c r="B242" s="40" t="s">
        <v>21</v>
      </c>
      <c r="C242" s="4">
        <v>24911.730000000003</v>
      </c>
      <c r="D242" s="4">
        <v>24947.71</v>
      </c>
      <c r="E242" s="4">
        <v>24947.71</v>
      </c>
      <c r="F242" s="4">
        <v>24947.71</v>
      </c>
      <c r="G242" s="4">
        <v>24947.71</v>
      </c>
      <c r="H242" s="4">
        <v>24947.71</v>
      </c>
      <c r="I242" s="4">
        <v>24947.71</v>
      </c>
      <c r="J242" s="4">
        <v>24561.86</v>
      </c>
      <c r="K242" s="4">
        <v>24561.86</v>
      </c>
      <c r="L242" s="4">
        <v>24561.86</v>
      </c>
      <c r="M242" s="3">
        <f t="shared" si="108"/>
        <v>0</v>
      </c>
      <c r="N242" s="4">
        <f t="shared" si="109"/>
        <v>0</v>
      </c>
    </row>
    <row r="243" spans="1:14">
      <c r="A243" s="84"/>
      <c r="B243" s="40" t="s">
        <v>5</v>
      </c>
      <c r="C243" s="4">
        <v>21018.087449999999</v>
      </c>
      <c r="D243" s="4">
        <v>22608.70205</v>
      </c>
      <c r="E243" s="4">
        <v>22852.974049999993</v>
      </c>
      <c r="F243" s="4">
        <v>22871.444549999997</v>
      </c>
      <c r="G243" s="4">
        <v>22800.504149999997</v>
      </c>
      <c r="H243" s="4">
        <v>22846.557150000001</v>
      </c>
      <c r="I243" s="4">
        <v>22872.119750000002</v>
      </c>
      <c r="J243" s="4">
        <v>23124.938000000002</v>
      </c>
      <c r="K243" s="4">
        <v>25440.547000000002</v>
      </c>
      <c r="L243" s="4">
        <v>26614.926500000005</v>
      </c>
      <c r="M243" s="3">
        <f t="shared" si="108"/>
        <v>4.6161723645328889</v>
      </c>
      <c r="N243" s="4">
        <f t="shared" si="109"/>
        <v>1174.3795000000027</v>
      </c>
    </row>
    <row r="244" spans="1:14">
      <c r="A244" s="84"/>
      <c r="B244" s="40" t="s">
        <v>6</v>
      </c>
      <c r="C244" s="4">
        <v>4032.0594600000986</v>
      </c>
      <c r="D244" s="4">
        <v>4293.5912300000982</v>
      </c>
      <c r="E244" s="4">
        <v>4396.5001700001485</v>
      </c>
      <c r="F244" s="4">
        <v>4402.664610000149</v>
      </c>
      <c r="G244" s="4">
        <v>4432.3164410001282</v>
      </c>
      <c r="H244" s="4">
        <v>4436.3023810001287</v>
      </c>
      <c r="I244" s="4">
        <v>4438.1887550001275</v>
      </c>
      <c r="J244" s="4">
        <v>4463.9920600001287</v>
      </c>
      <c r="K244" s="4">
        <v>8665.5349400001269</v>
      </c>
      <c r="L244" s="4">
        <v>10182.223726000126</v>
      </c>
      <c r="M244" s="3">
        <f t="shared" si="108"/>
        <v>17.502540772168153</v>
      </c>
      <c r="N244" s="4">
        <f t="shared" si="109"/>
        <v>1516.6887859999988</v>
      </c>
    </row>
    <row r="245" spans="1:14">
      <c r="A245" s="84"/>
      <c r="B245" s="40" t="s">
        <v>7</v>
      </c>
      <c r="C245" s="4">
        <v>998.52</v>
      </c>
      <c r="D245" s="4">
        <v>1949.92</v>
      </c>
      <c r="E245" s="4">
        <v>2299.4275000000002</v>
      </c>
      <c r="F245" s="4">
        <v>2299.4275000000002</v>
      </c>
      <c r="G245" s="4">
        <v>2304.0129999999999</v>
      </c>
      <c r="H245" s="4">
        <v>2304.0129999999999</v>
      </c>
      <c r="I245" s="4">
        <v>2304.0129999999999</v>
      </c>
      <c r="J245" s="4">
        <v>2304.0129999999999</v>
      </c>
      <c r="K245" s="4">
        <v>2304.0129999999999</v>
      </c>
      <c r="L245" s="4">
        <v>2304.0129999999999</v>
      </c>
      <c r="M245" s="3">
        <f t="shared" si="108"/>
        <v>0</v>
      </c>
      <c r="N245" s="4">
        <f t="shared" si="109"/>
        <v>0</v>
      </c>
    </row>
    <row r="246" spans="1:14">
      <c r="A246" s="84"/>
      <c r="B246" s="8" t="s">
        <v>22</v>
      </c>
      <c r="C246" s="4">
        <v>882.91990999999996</v>
      </c>
      <c r="D246" s="4">
        <v>968.43241</v>
      </c>
      <c r="E246" s="4">
        <v>944.44241000000011</v>
      </c>
      <c r="F246" s="4">
        <v>981.96541000000002</v>
      </c>
      <c r="G246" s="4">
        <v>876.26799999999992</v>
      </c>
      <c r="H246" s="4">
        <v>864.57499999999982</v>
      </c>
      <c r="I246" s="4">
        <v>866.30100000000004</v>
      </c>
      <c r="J246" s="4">
        <v>871.03700000000015</v>
      </c>
      <c r="K246" s="4">
        <v>1071.7659999999998</v>
      </c>
      <c r="L246" s="4">
        <v>1070.5939999999998</v>
      </c>
      <c r="M246" s="3">
        <f t="shared" si="108"/>
        <v>-0.10935222800499966</v>
      </c>
      <c r="N246" s="4">
        <f t="shared" si="109"/>
        <v>-1.1720000000000255</v>
      </c>
    </row>
    <row r="247" spans="1:14">
      <c r="A247" s="84"/>
      <c r="B247" s="8" t="s">
        <v>8</v>
      </c>
      <c r="C247" s="4">
        <v>7179.0716999999986</v>
      </c>
      <c r="D247" s="4">
        <v>7117.1501999999982</v>
      </c>
      <c r="E247" s="4">
        <v>7057.8806999999997</v>
      </c>
      <c r="F247" s="4">
        <v>7047.8021999999992</v>
      </c>
      <c r="G247" s="4">
        <v>6136.6146100000005</v>
      </c>
      <c r="H247" s="4">
        <v>5955.3416099999995</v>
      </c>
      <c r="I247" s="4">
        <v>5791.2566100000013</v>
      </c>
      <c r="J247" s="4">
        <v>5717.4235000000008</v>
      </c>
      <c r="K247" s="4">
        <v>5667.2295000000004</v>
      </c>
      <c r="L247" s="4">
        <v>5655.7725000000009</v>
      </c>
      <c r="M247" s="3">
        <f t="shared" si="108"/>
        <v>-0.20216227347065185</v>
      </c>
      <c r="N247" s="4">
        <f t="shared" si="109"/>
        <v>-11.456999999999425</v>
      </c>
    </row>
    <row r="248" spans="1:14">
      <c r="A248" s="84"/>
      <c r="B248" s="8" t="s">
        <v>57</v>
      </c>
      <c r="C248" s="4" t="s">
        <v>19</v>
      </c>
      <c r="D248" s="4" t="s">
        <v>19</v>
      </c>
      <c r="E248" s="4" t="s">
        <v>19</v>
      </c>
      <c r="F248" s="4" t="s">
        <v>19</v>
      </c>
      <c r="G248" s="4">
        <v>469.58749999999998</v>
      </c>
      <c r="H248" s="4">
        <v>457.65549999999996</v>
      </c>
      <c r="I248" s="4">
        <v>457.65549999999996</v>
      </c>
      <c r="J248" s="4">
        <v>451.1275</v>
      </c>
      <c r="K248" s="4">
        <v>451.1275</v>
      </c>
      <c r="L248" s="4">
        <v>441.44749999999999</v>
      </c>
      <c r="M248" s="3">
        <f t="shared" si="108"/>
        <v>-2.1457348532288534</v>
      </c>
      <c r="N248" s="4">
        <f t="shared" si="109"/>
        <v>-9.6800000000000068</v>
      </c>
    </row>
    <row r="249" spans="1:14">
      <c r="A249" s="84"/>
      <c r="B249" s="40" t="s">
        <v>58</v>
      </c>
      <c r="C249" s="4" t="s">
        <v>19</v>
      </c>
      <c r="D249" s="4" t="s">
        <v>19</v>
      </c>
      <c r="E249" s="4" t="s">
        <v>19</v>
      </c>
      <c r="F249" s="4" t="s">
        <v>19</v>
      </c>
      <c r="G249" s="4">
        <v>121.7915</v>
      </c>
      <c r="H249" s="4">
        <v>121.7915</v>
      </c>
      <c r="I249" s="4">
        <v>121.7915</v>
      </c>
      <c r="J249" s="4">
        <v>121.7915</v>
      </c>
      <c r="K249" s="4">
        <v>121.7915</v>
      </c>
      <c r="L249" s="4">
        <v>121.7915</v>
      </c>
      <c r="M249" s="3">
        <f t="shared" si="108"/>
        <v>0</v>
      </c>
      <c r="N249" s="4">
        <f t="shared" si="109"/>
        <v>0</v>
      </c>
    </row>
    <row r="250" spans="1:14">
      <c r="B250" s="42" t="s">
        <v>87</v>
      </c>
      <c r="C250" s="43">
        <f t="shared" ref="C250:K250" si="110">SUM(C237,C243:C246,C249)</f>
        <v>43635.217600000091</v>
      </c>
      <c r="D250" s="43">
        <f t="shared" si="110"/>
        <v>46747.224470000103</v>
      </c>
      <c r="E250" s="43">
        <f t="shared" si="110"/>
        <v>47477.955910000142</v>
      </c>
      <c r="F250" s="43">
        <f t="shared" si="110"/>
        <v>47546.343850000136</v>
      </c>
      <c r="G250" s="43">
        <f t="shared" si="110"/>
        <v>47559.114721000115</v>
      </c>
      <c r="H250" s="43">
        <f t="shared" si="110"/>
        <v>47601.560661000127</v>
      </c>
      <c r="I250" s="43">
        <f t="shared" si="110"/>
        <v>47627.898635000121</v>
      </c>
      <c r="J250" s="43">
        <f t="shared" si="110"/>
        <v>47930.067790000125</v>
      </c>
      <c r="K250" s="43">
        <f t="shared" si="110"/>
        <v>54686.405670000131</v>
      </c>
      <c r="L250" s="43">
        <f>SUM(L237,L243:L246,L249)</f>
        <v>57376.196956000131</v>
      </c>
      <c r="M250" s="44">
        <f t="shared" si="108"/>
        <v>4.9185739180433341</v>
      </c>
      <c r="N250" s="43">
        <f>SUM(N237,N243:N246,N249)</f>
        <v>2689.7912860000019</v>
      </c>
    </row>
    <row r="251" spans="1:14">
      <c r="B251" s="42" t="s">
        <v>88</v>
      </c>
      <c r="C251" s="43">
        <f t="shared" ref="C251:K251" si="111">SUM(C238:C242,C247:C248,)</f>
        <v>54024.231700000004</v>
      </c>
      <c r="D251" s="43">
        <f t="shared" si="111"/>
        <v>53189.370199999998</v>
      </c>
      <c r="E251" s="43">
        <f t="shared" si="111"/>
        <v>53145.000699999997</v>
      </c>
      <c r="F251" s="43">
        <f t="shared" si="111"/>
        <v>52992.572200000002</v>
      </c>
      <c r="G251" s="43">
        <f t="shared" si="111"/>
        <v>52923.402110000003</v>
      </c>
      <c r="H251" s="43">
        <f>SUM(H238:H242,H247:H248,)</f>
        <v>51798.047110000007</v>
      </c>
      <c r="I251" s="43">
        <f>SUM(I238:I242,I247:I248,)</f>
        <v>51178.67211</v>
      </c>
      <c r="J251" s="43">
        <f t="shared" si="111"/>
        <v>50738.47600000001</v>
      </c>
      <c r="K251" s="43">
        <f t="shared" si="111"/>
        <v>50341.442000000003</v>
      </c>
      <c r="L251" s="43">
        <f>SUM(L238:L242,L247:L248,)</f>
        <v>47083.135000000002</v>
      </c>
      <c r="M251" s="44">
        <f t="shared" si="108"/>
        <v>-6.4724149141377367</v>
      </c>
      <c r="N251" s="43">
        <f>SUM(N238:N242,N247:N248,)</f>
        <v>-3258.3069999999975</v>
      </c>
    </row>
    <row r="252" spans="1:14">
      <c r="A252" s="84"/>
      <c r="B252" s="31" t="s">
        <v>25</v>
      </c>
      <c r="C252" s="32">
        <f>SUM(C237:C249)</f>
        <v>97659.449300000109</v>
      </c>
      <c r="D252" s="32">
        <f t="shared" ref="D252:L252" si="112">SUM(D237:D249)</f>
        <v>99936.594670000093</v>
      </c>
      <c r="E252" s="32">
        <f t="shared" si="112"/>
        <v>100622.95661000014</v>
      </c>
      <c r="F252" s="32">
        <f>SUM(F237:F249)</f>
        <v>100538.91605000016</v>
      </c>
      <c r="G252" s="32">
        <f>SUM(G237:G249)</f>
        <v>100482.51683100013</v>
      </c>
      <c r="H252" s="32">
        <f t="shared" si="112"/>
        <v>99399.607771000141</v>
      </c>
      <c r="I252" s="32">
        <f t="shared" si="112"/>
        <v>98806.570745000136</v>
      </c>
      <c r="J252" s="32">
        <f t="shared" si="112"/>
        <v>98668.543790000142</v>
      </c>
      <c r="K252" s="32">
        <f t="shared" si="112"/>
        <v>105027.84767000015</v>
      </c>
      <c r="L252" s="32">
        <f t="shared" si="112"/>
        <v>104459.33195600014</v>
      </c>
      <c r="M252" s="44">
        <f t="shared" si="108"/>
        <v>-0.54129997578004074</v>
      </c>
      <c r="N252" s="32">
        <f t="shared" ref="N252" si="113">SUM(N237:N249)</f>
        <v>-568.5157139999958</v>
      </c>
    </row>
    <row r="253" spans="1:14" s="38" customFormat="1">
      <c r="A253" s="84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2"/>
      <c r="N253" s="21"/>
    </row>
    <row r="254" spans="1:14">
      <c r="A254" s="84"/>
      <c r="B254" s="13" t="s">
        <v>140</v>
      </c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2"/>
      <c r="N254" s="21"/>
    </row>
    <row r="255" spans="1:14">
      <c r="A255" s="84"/>
      <c r="B255" s="55"/>
      <c r="C255" s="56">
        <v>2011</v>
      </c>
      <c r="D255" s="56">
        <v>2012</v>
      </c>
      <c r="E255" s="56">
        <v>2013</v>
      </c>
      <c r="F255" s="56">
        <v>2014</v>
      </c>
      <c r="G255" s="56">
        <v>2015</v>
      </c>
      <c r="H255" s="56">
        <v>2016</v>
      </c>
      <c r="I255" s="56">
        <v>2017</v>
      </c>
      <c r="J255" s="56">
        <v>2018</v>
      </c>
      <c r="K255" s="56">
        <v>2019</v>
      </c>
      <c r="L255" s="56">
        <v>2020</v>
      </c>
      <c r="M255" s="93" t="s">
        <v>117</v>
      </c>
      <c r="N255" s="93" t="s">
        <v>121</v>
      </c>
    </row>
    <row r="256" spans="1:14">
      <c r="A256" s="84"/>
      <c r="B256" s="16" t="s">
        <v>3</v>
      </c>
      <c r="C256" s="18">
        <v>468.4</v>
      </c>
      <c r="D256" s="18">
        <v>468.4</v>
      </c>
      <c r="E256" s="18">
        <v>468.4</v>
      </c>
      <c r="F256" s="18">
        <v>468.4</v>
      </c>
      <c r="G256" s="18">
        <v>468.4</v>
      </c>
      <c r="H256" s="18">
        <v>468.4</v>
      </c>
      <c r="I256" s="18">
        <v>468.4</v>
      </c>
      <c r="J256" s="18">
        <v>468.4</v>
      </c>
      <c r="K256" s="18">
        <v>468.4</v>
      </c>
      <c r="L256" s="18">
        <v>241.19999999999996</v>
      </c>
      <c r="M256" s="17">
        <f t="shared" ref="M256:M267" si="114">((L256/K256)-1)*100</f>
        <v>-48.505550811272421</v>
      </c>
      <c r="N256" s="4">
        <f>L256-K256</f>
        <v>-227.20000000000002</v>
      </c>
    </row>
    <row r="257" spans="1:14">
      <c r="A257" s="84"/>
      <c r="B257" s="96" t="s">
        <v>26</v>
      </c>
      <c r="C257" s="97">
        <v>182</v>
      </c>
      <c r="D257" s="97">
        <v>182</v>
      </c>
      <c r="E257" s="97">
        <v>182</v>
      </c>
      <c r="F257" s="97">
        <v>182</v>
      </c>
      <c r="G257" s="97">
        <v>182</v>
      </c>
      <c r="H257" s="97">
        <v>182</v>
      </c>
      <c r="I257" s="97">
        <v>182</v>
      </c>
      <c r="J257" s="97">
        <v>182</v>
      </c>
      <c r="K257" s="97">
        <v>139.4</v>
      </c>
      <c r="L257" s="97">
        <v>139.4</v>
      </c>
      <c r="M257" s="103">
        <f t="shared" si="114"/>
        <v>0</v>
      </c>
      <c r="N257" s="97">
        <f t="shared" ref="N257:N267" si="115">L257-K257</f>
        <v>0</v>
      </c>
    </row>
    <row r="258" spans="1:14">
      <c r="A258" s="84"/>
      <c r="B258" s="96" t="s">
        <v>27</v>
      </c>
      <c r="C258" s="97">
        <v>533.4</v>
      </c>
      <c r="D258" s="97">
        <v>557.4</v>
      </c>
      <c r="E258" s="97">
        <v>605.4</v>
      </c>
      <c r="F258" s="97">
        <v>605.4</v>
      </c>
      <c r="G258" s="97">
        <v>605.4</v>
      </c>
      <c r="H258" s="97">
        <v>605.4</v>
      </c>
      <c r="I258" s="97">
        <v>605.4</v>
      </c>
      <c r="J258" s="97">
        <v>605.4</v>
      </c>
      <c r="K258" s="97">
        <v>605.4</v>
      </c>
      <c r="L258" s="97">
        <v>605.4</v>
      </c>
      <c r="M258" s="103">
        <f t="shared" si="114"/>
        <v>0</v>
      </c>
      <c r="N258" s="97">
        <f t="shared" si="115"/>
        <v>0</v>
      </c>
    </row>
    <row r="259" spans="1:14">
      <c r="A259" s="84"/>
      <c r="B259" s="16" t="s">
        <v>29</v>
      </c>
      <c r="C259" s="18">
        <f t="shared" ref="C259:K259" si="116">SUM(C257:C258)</f>
        <v>715.4</v>
      </c>
      <c r="D259" s="18">
        <f t="shared" si="116"/>
        <v>739.4</v>
      </c>
      <c r="E259" s="18">
        <f t="shared" si="116"/>
        <v>787.4</v>
      </c>
      <c r="F259" s="18">
        <f t="shared" si="116"/>
        <v>787.4</v>
      </c>
      <c r="G259" s="18">
        <f t="shared" si="116"/>
        <v>787.4</v>
      </c>
      <c r="H259" s="18">
        <f t="shared" si="116"/>
        <v>787.4</v>
      </c>
      <c r="I259" s="18">
        <f t="shared" si="116"/>
        <v>787.4</v>
      </c>
      <c r="J259" s="18">
        <f t="shared" si="116"/>
        <v>787.4</v>
      </c>
      <c r="K259" s="18">
        <f t="shared" si="116"/>
        <v>744.8</v>
      </c>
      <c r="L259" s="18">
        <f t="shared" ref="L259" si="117">SUM(L257:L258)</f>
        <v>744.8</v>
      </c>
      <c r="M259" s="17">
        <f t="shared" si="114"/>
        <v>0</v>
      </c>
      <c r="N259" s="18">
        <f t="shared" si="115"/>
        <v>0</v>
      </c>
    </row>
    <row r="260" spans="1:14">
      <c r="A260" s="84"/>
      <c r="B260" s="16" t="s">
        <v>21</v>
      </c>
      <c r="C260" s="18">
        <v>857.95</v>
      </c>
      <c r="D260" s="18">
        <v>857.95</v>
      </c>
      <c r="E260" s="18">
        <v>857.95</v>
      </c>
      <c r="F260" s="18">
        <v>857.95</v>
      </c>
      <c r="G260" s="18">
        <v>857.95</v>
      </c>
      <c r="H260" s="18">
        <v>857.95</v>
      </c>
      <c r="I260" s="18">
        <v>857.95</v>
      </c>
      <c r="J260" s="18">
        <v>857.95</v>
      </c>
      <c r="K260" s="18">
        <v>857.95</v>
      </c>
      <c r="L260" s="18">
        <v>857.95</v>
      </c>
      <c r="M260" s="17">
        <f t="shared" si="114"/>
        <v>0</v>
      </c>
      <c r="N260" s="18">
        <f t="shared" si="115"/>
        <v>0</v>
      </c>
    </row>
    <row r="261" spans="1:14">
      <c r="A261" s="84"/>
      <c r="B261" s="16" t="s">
        <v>30</v>
      </c>
      <c r="C261" s="18" t="s">
        <v>19</v>
      </c>
      <c r="D261" s="18" t="s">
        <v>19</v>
      </c>
      <c r="E261" s="18" t="s">
        <v>19</v>
      </c>
      <c r="F261" s="18" t="s">
        <v>19</v>
      </c>
      <c r="G261" s="18" t="s">
        <v>19</v>
      </c>
      <c r="H261" s="18" t="s">
        <v>19</v>
      </c>
      <c r="I261" s="18" t="s">
        <v>19</v>
      </c>
      <c r="J261" s="18" t="s">
        <v>19</v>
      </c>
      <c r="K261" s="18" t="s">
        <v>19</v>
      </c>
      <c r="L261" s="18" t="s">
        <v>19</v>
      </c>
      <c r="M261" s="17" t="s">
        <v>19</v>
      </c>
      <c r="N261" s="18" t="s">
        <v>19</v>
      </c>
    </row>
    <row r="262" spans="1:14">
      <c r="A262" s="84"/>
      <c r="B262" s="19" t="s">
        <v>5</v>
      </c>
      <c r="C262" s="18">
        <v>3.6762999999999901</v>
      </c>
      <c r="D262" s="18">
        <v>3.6762999999999901</v>
      </c>
      <c r="E262" s="18">
        <v>3.6762999999999999</v>
      </c>
      <c r="F262" s="18">
        <v>3.6762999999999999</v>
      </c>
      <c r="G262" s="18">
        <v>3.6474999999999906</v>
      </c>
      <c r="H262" s="18">
        <v>3.6474999999999906</v>
      </c>
      <c r="I262" s="18">
        <v>3.6474999999999906</v>
      </c>
      <c r="J262" s="18">
        <v>3.6374999999999909</v>
      </c>
      <c r="K262" s="18">
        <v>3.6374999999999909</v>
      </c>
      <c r="L262" s="18">
        <v>3.6374999999999909</v>
      </c>
      <c r="M262" s="17">
        <f t="shared" si="114"/>
        <v>0</v>
      </c>
      <c r="N262" s="18">
        <f t="shared" si="115"/>
        <v>0</v>
      </c>
    </row>
    <row r="263" spans="1:14">
      <c r="A263" s="84"/>
      <c r="B263" s="19" t="s">
        <v>6</v>
      </c>
      <c r="C263" s="18">
        <v>63.132079999999704</v>
      </c>
      <c r="D263" s="18">
        <v>77.5061299999997</v>
      </c>
      <c r="E263" s="18">
        <v>77.674929999999904</v>
      </c>
      <c r="F263" s="18">
        <v>77.733829999999898</v>
      </c>
      <c r="G263" s="18">
        <v>78.831459999999851</v>
      </c>
      <c r="H263" s="18">
        <v>79.428214999999838</v>
      </c>
      <c r="I263" s="18">
        <v>79.997084999999828</v>
      </c>
      <c r="J263" s="18">
        <v>80.442744999999846</v>
      </c>
      <c r="K263" s="18">
        <v>81.253994999999847</v>
      </c>
      <c r="L263" s="18">
        <v>81.38134499999984</v>
      </c>
      <c r="M263" s="17">
        <f t="shared" si="114"/>
        <v>0.15673075520779012</v>
      </c>
      <c r="N263" s="18">
        <f t="shared" si="115"/>
        <v>0.12734999999999275</v>
      </c>
    </row>
    <row r="264" spans="1:14">
      <c r="A264" s="84"/>
      <c r="B264" s="8" t="s">
        <v>22</v>
      </c>
      <c r="C264" s="18" t="s">
        <v>19</v>
      </c>
      <c r="D264" s="18">
        <v>2.13</v>
      </c>
      <c r="E264" s="18">
        <v>2.13</v>
      </c>
      <c r="F264" s="18">
        <v>2.13</v>
      </c>
      <c r="G264" s="18">
        <v>2.13</v>
      </c>
      <c r="H264" s="18">
        <v>2.13</v>
      </c>
      <c r="I264" s="18">
        <v>2.13</v>
      </c>
      <c r="J264" s="18">
        <v>2.13</v>
      </c>
      <c r="K264" s="18">
        <v>2.13</v>
      </c>
      <c r="L264" s="18">
        <v>2.13</v>
      </c>
      <c r="M264" s="17">
        <f t="shared" si="114"/>
        <v>0</v>
      </c>
      <c r="N264" s="18">
        <f t="shared" si="115"/>
        <v>0</v>
      </c>
    </row>
    <row r="265" spans="1:14">
      <c r="A265" s="84"/>
      <c r="B265" s="8" t="s">
        <v>8</v>
      </c>
      <c r="C265" s="18">
        <v>82.170999999999992</v>
      </c>
      <c r="D265" s="18">
        <v>85.625</v>
      </c>
      <c r="E265" s="18">
        <v>85.625</v>
      </c>
      <c r="F265" s="18">
        <v>85.625</v>
      </c>
      <c r="G265" s="18">
        <v>10.486999999999998</v>
      </c>
      <c r="H265" s="18">
        <v>10.486999999999998</v>
      </c>
      <c r="I265" s="18">
        <v>10.486999999999998</v>
      </c>
      <c r="J265" s="18">
        <v>10.486999999999998</v>
      </c>
      <c r="K265" s="18">
        <v>10.486999999999998</v>
      </c>
      <c r="L265" s="18">
        <v>10.486999999999998</v>
      </c>
      <c r="M265" s="17">
        <f t="shared" si="114"/>
        <v>0</v>
      </c>
      <c r="N265" s="18">
        <f t="shared" si="115"/>
        <v>0</v>
      </c>
    </row>
    <row r="266" spans="1:14">
      <c r="A266" s="84"/>
      <c r="B266" s="8" t="s">
        <v>9</v>
      </c>
      <c r="C266" s="18" t="s">
        <v>19</v>
      </c>
      <c r="D266" s="18" t="s">
        <v>19</v>
      </c>
      <c r="E266" s="18" t="s">
        <v>19</v>
      </c>
      <c r="F266" s="18" t="s">
        <v>19</v>
      </c>
      <c r="G266" s="18">
        <v>37.400000000000006</v>
      </c>
      <c r="H266" s="18">
        <v>37.400000000000006</v>
      </c>
      <c r="I266" s="18">
        <v>37.400000000000006</v>
      </c>
      <c r="J266" s="18">
        <v>37.400000000000006</v>
      </c>
      <c r="K266" s="18">
        <v>37.400000000000006</v>
      </c>
      <c r="L266" s="18">
        <v>37.400000000000006</v>
      </c>
      <c r="M266" s="17">
        <f t="shared" si="114"/>
        <v>0</v>
      </c>
      <c r="N266" s="18">
        <f t="shared" si="115"/>
        <v>0</v>
      </c>
    </row>
    <row r="267" spans="1:14">
      <c r="A267" s="84"/>
      <c r="B267" s="8" t="s">
        <v>10</v>
      </c>
      <c r="C267" s="18" t="s">
        <v>19</v>
      </c>
      <c r="D267" s="18" t="s">
        <v>19</v>
      </c>
      <c r="E267" s="18" t="s">
        <v>19</v>
      </c>
      <c r="F267" s="18" t="s">
        <v>19</v>
      </c>
      <c r="G267" s="18">
        <v>37.400000000000006</v>
      </c>
      <c r="H267" s="18">
        <v>37.400000000000006</v>
      </c>
      <c r="I267" s="18">
        <v>37.400000000000006</v>
      </c>
      <c r="J267" s="18">
        <v>37.400000000000006</v>
      </c>
      <c r="K267" s="18">
        <v>37.400000000000006</v>
      </c>
      <c r="L267" s="18">
        <v>37.400000000000006</v>
      </c>
      <c r="M267" s="17">
        <f t="shared" si="114"/>
        <v>0</v>
      </c>
      <c r="N267" s="18">
        <f t="shared" si="115"/>
        <v>0</v>
      </c>
    </row>
    <row r="268" spans="1:14">
      <c r="B268" s="42" t="s">
        <v>87</v>
      </c>
      <c r="C268" s="43">
        <f>SUM(C262:C264,C267)</f>
        <v>66.808379999999687</v>
      </c>
      <c r="D268" s="43">
        <f t="shared" ref="D268:K268" si="118">SUM(D262:D264,D267)</f>
        <v>83.312429999999679</v>
      </c>
      <c r="E268" s="43">
        <f t="shared" si="118"/>
        <v>83.481229999999897</v>
      </c>
      <c r="F268" s="43">
        <f t="shared" si="118"/>
        <v>83.540129999999891</v>
      </c>
      <c r="G268" s="43">
        <f t="shared" si="118"/>
        <v>122.00895999999985</v>
      </c>
      <c r="H268" s="43">
        <f t="shared" si="118"/>
        <v>122.60571499999983</v>
      </c>
      <c r="I268" s="43">
        <f t="shared" si="118"/>
        <v>123.17458499999982</v>
      </c>
      <c r="J268" s="43">
        <f t="shared" si="118"/>
        <v>123.61024499999984</v>
      </c>
      <c r="K268" s="43">
        <f t="shared" si="118"/>
        <v>124.42149499999984</v>
      </c>
      <c r="L268" s="43">
        <f>SUM(L262:L264,L267)</f>
        <v>124.54884499999983</v>
      </c>
      <c r="M268" s="44">
        <f t="shared" ref="M268:M270" si="119">((L268/K268)-1)*100</f>
        <v>0.10235369700386521</v>
      </c>
      <c r="N268" s="43">
        <f t="shared" ref="N268" si="120">SUM(N262:N264,N267)</f>
        <v>0.12734999999999275</v>
      </c>
    </row>
    <row r="269" spans="1:14">
      <c r="B269" s="42" t="s">
        <v>88</v>
      </c>
      <c r="C269" s="43">
        <f>SUM(C256,C259:C261,C265:C266)</f>
        <v>2123.9209999999998</v>
      </c>
      <c r="D269" s="43">
        <f t="shared" ref="D269:K269" si="121">SUM(D256,D259:D261,D265:D266)</f>
        <v>2151.375</v>
      </c>
      <c r="E269" s="43">
        <f t="shared" si="121"/>
        <v>2199.375</v>
      </c>
      <c r="F269" s="43">
        <f t="shared" si="121"/>
        <v>2199.375</v>
      </c>
      <c r="G269" s="43">
        <f t="shared" si="121"/>
        <v>2161.6370000000002</v>
      </c>
      <c r="H269" s="43">
        <f>SUM(H256,H259:H261,H265:H266)</f>
        <v>2161.6370000000002</v>
      </c>
      <c r="I269" s="43">
        <f t="shared" si="121"/>
        <v>2161.6370000000002</v>
      </c>
      <c r="J269" s="43">
        <f t="shared" si="121"/>
        <v>2161.6370000000002</v>
      </c>
      <c r="K269" s="43">
        <f t="shared" si="121"/>
        <v>2119.0369999999998</v>
      </c>
      <c r="L269" s="43">
        <f>SUM(L256,L259:L261,L265:L266)</f>
        <v>1891.837</v>
      </c>
      <c r="M269" s="44">
        <f t="shared" si="119"/>
        <v>-10.721851482536637</v>
      </c>
      <c r="N269" s="43">
        <f>SUM(N256,N259:N261,N265:N266)</f>
        <v>-227.20000000000002</v>
      </c>
    </row>
    <row r="270" spans="1:14">
      <c r="A270" s="84"/>
      <c r="B270" s="31" t="s">
        <v>25</v>
      </c>
      <c r="C270" s="32">
        <f>SUM(C268:C269)</f>
        <v>2190.7293799999993</v>
      </c>
      <c r="D270" s="32">
        <f t="shared" ref="D270:L270" si="122">SUM(D268:D269)</f>
        <v>2234.6874299999995</v>
      </c>
      <c r="E270" s="32">
        <f t="shared" si="122"/>
        <v>2282.8562299999999</v>
      </c>
      <c r="F270" s="32">
        <f t="shared" si="122"/>
        <v>2282.9151299999999</v>
      </c>
      <c r="G270" s="32">
        <f t="shared" si="122"/>
        <v>2283.6459599999998</v>
      </c>
      <c r="H270" s="32">
        <f t="shared" si="122"/>
        <v>2284.2427149999999</v>
      </c>
      <c r="I270" s="32">
        <f t="shared" si="122"/>
        <v>2284.8115849999999</v>
      </c>
      <c r="J270" s="32">
        <f t="shared" si="122"/>
        <v>2285.247245</v>
      </c>
      <c r="K270" s="32">
        <f t="shared" si="122"/>
        <v>2243.4584949999999</v>
      </c>
      <c r="L270" s="32">
        <f t="shared" si="122"/>
        <v>2016.3858449999998</v>
      </c>
      <c r="M270" s="44">
        <f t="shared" si="119"/>
        <v>-10.121544503991375</v>
      </c>
      <c r="N270" s="32">
        <f t="shared" ref="N270" si="123">SUM(N268:N269)</f>
        <v>-227.07265000000001</v>
      </c>
    </row>
    <row r="271" spans="1:14" s="38" customFormat="1">
      <c r="A271" s="84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2"/>
      <c r="N271" s="21"/>
    </row>
    <row r="272" spans="1:14" s="38" customFormat="1">
      <c r="A272" s="84"/>
      <c r="B272" s="13" t="s">
        <v>139</v>
      </c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2"/>
      <c r="N272" s="21"/>
    </row>
    <row r="273" spans="1:14">
      <c r="A273" s="84"/>
      <c r="B273" s="55"/>
      <c r="C273" s="56">
        <v>2011</v>
      </c>
      <c r="D273" s="56">
        <v>2012</v>
      </c>
      <c r="E273" s="56">
        <v>2013</v>
      </c>
      <c r="F273" s="56">
        <v>2014</v>
      </c>
      <c r="G273" s="56">
        <v>2015</v>
      </c>
      <c r="H273" s="56">
        <v>2016</v>
      </c>
      <c r="I273" s="56">
        <v>2017</v>
      </c>
      <c r="J273" s="56">
        <v>2018</v>
      </c>
      <c r="K273" s="56">
        <v>2019</v>
      </c>
      <c r="L273" s="56">
        <v>2020</v>
      </c>
      <c r="M273" s="93" t="s">
        <v>117</v>
      </c>
      <c r="N273" s="93" t="s">
        <v>121</v>
      </c>
    </row>
    <row r="274" spans="1:14">
      <c r="A274" s="84"/>
      <c r="B274" s="16" t="s">
        <v>1</v>
      </c>
      <c r="C274" s="18">
        <v>1.2630000000000001</v>
      </c>
      <c r="D274" s="18">
        <v>1.2630000000000001</v>
      </c>
      <c r="E274" s="18">
        <v>1.2630000000000001</v>
      </c>
      <c r="F274" s="18">
        <v>1.2630000000000001</v>
      </c>
      <c r="G274" s="18">
        <v>2.02</v>
      </c>
      <c r="H274" s="18">
        <v>2.02</v>
      </c>
      <c r="I274" s="18">
        <v>2.02</v>
      </c>
      <c r="J274" s="18">
        <v>2.02</v>
      </c>
      <c r="K274" s="18">
        <v>2.02</v>
      </c>
      <c r="L274" s="18">
        <v>2.02</v>
      </c>
      <c r="M274" s="17">
        <f t="shared" ref="M274:M288" si="124">((L274/K274)-1)*100</f>
        <v>0</v>
      </c>
      <c r="N274" s="4">
        <f>L274-K274</f>
        <v>0</v>
      </c>
    </row>
    <row r="275" spans="1:14">
      <c r="A275" s="84"/>
      <c r="B275" s="96" t="s">
        <v>26</v>
      </c>
      <c r="C275" s="97">
        <v>476.73000000000008</v>
      </c>
      <c r="D275" s="97">
        <v>476.73000000000008</v>
      </c>
      <c r="E275" s="97">
        <v>496.2000000000001</v>
      </c>
      <c r="F275" s="97">
        <v>495.92000000000013</v>
      </c>
      <c r="G275" s="97">
        <v>495.92000000000013</v>
      </c>
      <c r="H275" s="97">
        <v>495.92000000000013</v>
      </c>
      <c r="I275" s="97">
        <v>495.92000000000013</v>
      </c>
      <c r="J275" s="97">
        <v>495.92</v>
      </c>
      <c r="K275" s="97">
        <v>495.92</v>
      </c>
      <c r="L275" s="97">
        <v>495.92</v>
      </c>
      <c r="M275" s="103">
        <f t="shared" si="124"/>
        <v>0</v>
      </c>
      <c r="N275" s="97">
        <f t="shared" ref="N275:N284" si="125">L275-K275</f>
        <v>0</v>
      </c>
    </row>
    <row r="276" spans="1:14">
      <c r="A276" s="84"/>
      <c r="B276" s="96" t="s">
        <v>27</v>
      </c>
      <c r="C276" s="97">
        <v>557.16000000000008</v>
      </c>
      <c r="D276" s="97">
        <v>557.16000000000008</v>
      </c>
      <c r="E276" s="97">
        <v>557.16000000000008</v>
      </c>
      <c r="F276" s="97">
        <v>557.16000000000008</v>
      </c>
      <c r="G276" s="97">
        <v>557.1400000000001</v>
      </c>
      <c r="H276" s="97">
        <v>557.1400000000001</v>
      </c>
      <c r="I276" s="97">
        <v>557.1400000000001</v>
      </c>
      <c r="J276" s="97">
        <v>557.1400000000001</v>
      </c>
      <c r="K276" s="97">
        <v>557.1400000000001</v>
      </c>
      <c r="L276" s="97">
        <v>557.1400000000001</v>
      </c>
      <c r="M276" s="103">
        <f t="shared" si="124"/>
        <v>0</v>
      </c>
      <c r="N276" s="97">
        <f t="shared" si="125"/>
        <v>0</v>
      </c>
    </row>
    <row r="277" spans="1:14">
      <c r="A277" s="84"/>
      <c r="B277" s="96" t="s">
        <v>28</v>
      </c>
      <c r="C277" s="97">
        <v>659.78</v>
      </c>
      <c r="D277" s="97">
        <v>659.78</v>
      </c>
      <c r="E277" s="97">
        <v>482.64</v>
      </c>
      <c r="F277" s="97">
        <v>482.64</v>
      </c>
      <c r="G277" s="97">
        <v>482.64</v>
      </c>
      <c r="H277" s="97">
        <v>482.64</v>
      </c>
      <c r="I277" s="97">
        <v>482.64</v>
      </c>
      <c r="J277" s="97">
        <v>482.64</v>
      </c>
      <c r="K277" s="97">
        <v>482.64</v>
      </c>
      <c r="L277" s="97">
        <v>482.64</v>
      </c>
      <c r="M277" s="103">
        <f t="shared" si="124"/>
        <v>0</v>
      </c>
      <c r="N277" s="97">
        <f t="shared" si="125"/>
        <v>0</v>
      </c>
    </row>
    <row r="278" spans="1:14">
      <c r="A278" s="84"/>
      <c r="B278" s="16" t="s">
        <v>29</v>
      </c>
      <c r="C278" s="18">
        <f t="shared" ref="C278:K278" si="126">SUM(C275:C277)</f>
        <v>1693.67</v>
      </c>
      <c r="D278" s="18">
        <f t="shared" si="126"/>
        <v>1693.67</v>
      </c>
      <c r="E278" s="18">
        <f t="shared" si="126"/>
        <v>1536</v>
      </c>
      <c r="F278" s="18">
        <f t="shared" si="126"/>
        <v>1535.7200000000003</v>
      </c>
      <c r="G278" s="18">
        <f t="shared" si="126"/>
        <v>1535.7000000000003</v>
      </c>
      <c r="H278" s="18">
        <f t="shared" si="126"/>
        <v>1535.7000000000003</v>
      </c>
      <c r="I278" s="18">
        <f t="shared" si="126"/>
        <v>1535.7000000000003</v>
      </c>
      <c r="J278" s="18">
        <f t="shared" si="126"/>
        <v>1535.7000000000003</v>
      </c>
      <c r="K278" s="18">
        <f t="shared" si="126"/>
        <v>1535.7000000000003</v>
      </c>
      <c r="L278" s="18">
        <f t="shared" ref="L278" si="127">SUM(L275:L277)</f>
        <v>1535.7000000000003</v>
      </c>
      <c r="M278" s="17">
        <f t="shared" si="124"/>
        <v>0</v>
      </c>
      <c r="N278" s="18">
        <f t="shared" si="125"/>
        <v>0</v>
      </c>
    </row>
    <row r="279" spans="1:14">
      <c r="A279" s="84"/>
      <c r="B279" s="16" t="s">
        <v>21</v>
      </c>
      <c r="C279" s="18">
        <v>864.2</v>
      </c>
      <c r="D279" s="18">
        <v>864.2</v>
      </c>
      <c r="E279" s="18">
        <v>864.2</v>
      </c>
      <c r="F279" s="18">
        <v>864.2</v>
      </c>
      <c r="G279" s="18">
        <v>864.2</v>
      </c>
      <c r="H279" s="18">
        <v>864.2</v>
      </c>
      <c r="I279" s="18">
        <v>864.2</v>
      </c>
      <c r="J279" s="18">
        <v>864.2</v>
      </c>
      <c r="K279" s="18">
        <v>864.2</v>
      </c>
      <c r="L279" s="18">
        <v>864.2</v>
      </c>
      <c r="M279" s="17">
        <f t="shared" si="124"/>
        <v>0</v>
      </c>
      <c r="N279" s="18">
        <f t="shared" si="125"/>
        <v>0</v>
      </c>
    </row>
    <row r="280" spans="1:14">
      <c r="A280" s="84"/>
      <c r="B280" s="16" t="s">
        <v>30</v>
      </c>
      <c r="C280" s="18" t="s">
        <v>19</v>
      </c>
      <c r="D280" s="18" t="s">
        <v>19</v>
      </c>
      <c r="E280" s="18" t="s">
        <v>19</v>
      </c>
      <c r="F280" s="18" t="s">
        <v>19</v>
      </c>
      <c r="G280" s="18" t="s">
        <v>19</v>
      </c>
      <c r="H280" s="18" t="s">
        <v>19</v>
      </c>
      <c r="I280" s="18" t="s">
        <v>19</v>
      </c>
      <c r="J280" s="18" t="s">
        <v>19</v>
      </c>
      <c r="K280" s="18" t="s">
        <v>19</v>
      </c>
      <c r="L280" s="18" t="s">
        <v>19</v>
      </c>
      <c r="M280" s="17" t="s">
        <v>19</v>
      </c>
      <c r="N280" s="18" t="s">
        <v>19</v>
      </c>
    </row>
    <row r="281" spans="1:14">
      <c r="A281" s="84"/>
      <c r="B281" s="16" t="s">
        <v>4</v>
      </c>
      <c r="C281" s="18" t="s">
        <v>19</v>
      </c>
      <c r="D281" s="18" t="s">
        <v>19</v>
      </c>
      <c r="E281" s="18" t="s">
        <v>19</v>
      </c>
      <c r="F281" s="18">
        <v>11.39</v>
      </c>
      <c r="G281" s="18">
        <v>11.39</v>
      </c>
      <c r="H281" s="18">
        <v>11.39</v>
      </c>
      <c r="I281" s="18">
        <v>11.39</v>
      </c>
      <c r="J281" s="18">
        <v>11.39</v>
      </c>
      <c r="K281" s="18">
        <v>11.39</v>
      </c>
      <c r="L281" s="18">
        <v>11.39</v>
      </c>
      <c r="M281" s="17">
        <f t="shared" si="124"/>
        <v>0</v>
      </c>
      <c r="N281" s="18">
        <f t="shared" si="125"/>
        <v>0</v>
      </c>
    </row>
    <row r="282" spans="1:14">
      <c r="A282" s="84"/>
      <c r="B282" s="19" t="s">
        <v>5</v>
      </c>
      <c r="C282" s="18">
        <v>145.13499999999999</v>
      </c>
      <c r="D282" s="18">
        <v>145.47499999999999</v>
      </c>
      <c r="E282" s="18">
        <v>152.59</v>
      </c>
      <c r="F282" s="18">
        <v>152.59</v>
      </c>
      <c r="G282" s="18">
        <v>152.05499999999998</v>
      </c>
      <c r="H282" s="18">
        <v>152.05499999999998</v>
      </c>
      <c r="I282" s="18">
        <v>206.89999999999995</v>
      </c>
      <c r="J282" s="18">
        <v>417.71499999999997</v>
      </c>
      <c r="K282" s="18">
        <v>430.315</v>
      </c>
      <c r="L282" s="18">
        <v>444.71500000000003</v>
      </c>
      <c r="M282" s="17">
        <f t="shared" si="124"/>
        <v>3.3463857871559366</v>
      </c>
      <c r="N282" s="18">
        <f t="shared" si="125"/>
        <v>14.400000000000034</v>
      </c>
    </row>
    <row r="283" spans="1:14">
      <c r="A283" s="84"/>
      <c r="B283" s="19" t="s">
        <v>6</v>
      </c>
      <c r="C283" s="18">
        <v>138.04025999999908</v>
      </c>
      <c r="D283" s="18">
        <v>161.15557999999911</v>
      </c>
      <c r="E283" s="18">
        <v>164.19107999999801</v>
      </c>
      <c r="F283" s="18">
        <v>165.24327999999801</v>
      </c>
      <c r="G283" s="18">
        <v>167.18666999999962</v>
      </c>
      <c r="H283" s="18">
        <v>167.19166999999962</v>
      </c>
      <c r="I283" s="18">
        <v>167.25116999999963</v>
      </c>
      <c r="J283" s="18">
        <v>167.34816999999964</v>
      </c>
      <c r="K283" s="18">
        <v>167.10714499999966</v>
      </c>
      <c r="L283" s="18">
        <v>167.10714499999966</v>
      </c>
      <c r="M283" s="17">
        <f t="shared" si="124"/>
        <v>0</v>
      </c>
      <c r="N283" s="18">
        <f>L283-K283</f>
        <v>0</v>
      </c>
    </row>
    <row r="284" spans="1:14">
      <c r="A284" s="84"/>
      <c r="B284" s="8" t="s">
        <v>22</v>
      </c>
      <c r="C284" s="18">
        <v>3.3679999999999999</v>
      </c>
      <c r="D284" s="18">
        <v>3.3679999999999999</v>
      </c>
      <c r="E284" s="18">
        <v>3.3679999999999999</v>
      </c>
      <c r="F284" s="18">
        <v>3.3679999999999999</v>
      </c>
      <c r="G284" s="18">
        <v>3.6960000000000002</v>
      </c>
      <c r="H284" s="18">
        <v>3.6960000000000002</v>
      </c>
      <c r="I284" s="18">
        <v>3.6960000000000002</v>
      </c>
      <c r="J284" s="18">
        <v>3.6960000000000002</v>
      </c>
      <c r="K284" s="18">
        <v>3.6960000000000002</v>
      </c>
      <c r="L284" s="18">
        <v>3.6960000000000002</v>
      </c>
      <c r="M284" s="17">
        <f t="shared" si="124"/>
        <v>0</v>
      </c>
      <c r="N284" s="18">
        <f t="shared" si="125"/>
        <v>0</v>
      </c>
    </row>
    <row r="285" spans="1:14">
      <c r="A285" s="84"/>
      <c r="B285" s="8" t="s">
        <v>8</v>
      </c>
      <c r="C285" s="18">
        <v>33.268000000000001</v>
      </c>
      <c r="D285" s="18">
        <v>33.268000000000001</v>
      </c>
      <c r="E285" s="18">
        <v>33.268000000000001</v>
      </c>
      <c r="F285" s="18">
        <v>33.268000000000001</v>
      </c>
      <c r="G285" s="18" t="s">
        <v>19</v>
      </c>
      <c r="H285" s="18" t="s">
        <v>19</v>
      </c>
      <c r="I285" s="18" t="s">
        <v>19</v>
      </c>
      <c r="J285" s="18" t="s">
        <v>19</v>
      </c>
      <c r="K285" s="18" t="s">
        <v>19</v>
      </c>
      <c r="L285" s="18" t="s">
        <v>19</v>
      </c>
      <c r="M285" s="17" t="s">
        <v>19</v>
      </c>
      <c r="N285" s="18" t="s">
        <v>19</v>
      </c>
    </row>
    <row r="286" spans="1:14">
      <c r="A286" s="84"/>
      <c r="B286" s="42" t="s">
        <v>87</v>
      </c>
      <c r="C286" s="43">
        <f>SUM(C274,C281:C284)</f>
        <v>287.8062599999991</v>
      </c>
      <c r="D286" s="43">
        <f t="shared" ref="D286:K286" si="128">SUM(D274,D281:D284)</f>
        <v>311.26157999999913</v>
      </c>
      <c r="E286" s="43">
        <f t="shared" si="128"/>
        <v>321.41207999999801</v>
      </c>
      <c r="F286" s="43">
        <f t="shared" si="128"/>
        <v>333.85427999999803</v>
      </c>
      <c r="G286" s="43">
        <f t="shared" si="128"/>
        <v>336.34766999999965</v>
      </c>
      <c r="H286" s="43">
        <f t="shared" si="128"/>
        <v>336.35266999999965</v>
      </c>
      <c r="I286" s="43">
        <f t="shared" si="128"/>
        <v>391.25716999999963</v>
      </c>
      <c r="J286" s="43">
        <f t="shared" si="128"/>
        <v>602.16916999999967</v>
      </c>
      <c r="K286" s="43">
        <f t="shared" si="128"/>
        <v>614.52814499999965</v>
      </c>
      <c r="L286" s="43">
        <f>SUM(L274,L281:L284)</f>
        <v>628.92814499999974</v>
      </c>
      <c r="M286" s="44">
        <f t="shared" si="124"/>
        <v>2.3432612675535092</v>
      </c>
      <c r="N286" s="43">
        <f t="shared" ref="N286" si="129">SUM(N274,N281:N284)</f>
        <v>14.400000000000034</v>
      </c>
    </row>
    <row r="287" spans="1:14">
      <c r="A287" s="84"/>
      <c r="B287" s="42" t="s">
        <v>88</v>
      </c>
      <c r="C287" s="43">
        <f>SUM(C278:C280,C285)</f>
        <v>2591.1379999999999</v>
      </c>
      <c r="D287" s="43">
        <f t="shared" ref="D287:K287" si="130">SUM(D278:D280,D285)</f>
        <v>2591.1379999999999</v>
      </c>
      <c r="E287" s="43">
        <f t="shared" si="130"/>
        <v>2433.4679999999998</v>
      </c>
      <c r="F287" s="43">
        <f t="shared" si="130"/>
        <v>2433.1880000000001</v>
      </c>
      <c r="G287" s="43">
        <f t="shared" si="130"/>
        <v>2399.9000000000005</v>
      </c>
      <c r="H287" s="43">
        <f t="shared" si="130"/>
        <v>2399.9000000000005</v>
      </c>
      <c r="I287" s="43">
        <f t="shared" si="130"/>
        <v>2399.9000000000005</v>
      </c>
      <c r="J287" s="43">
        <f t="shared" si="130"/>
        <v>2399.9000000000005</v>
      </c>
      <c r="K287" s="43">
        <f t="shared" si="130"/>
        <v>2399.9000000000005</v>
      </c>
      <c r="L287" s="43">
        <f>SUM(L278:L280,L285)</f>
        <v>2399.9000000000005</v>
      </c>
      <c r="M287" s="44">
        <f t="shared" si="124"/>
        <v>0</v>
      </c>
      <c r="N287" s="43">
        <f t="shared" ref="N287" si="131">SUM(N278:N280,N285)</f>
        <v>0</v>
      </c>
    </row>
    <row r="288" spans="1:14">
      <c r="A288" s="84"/>
      <c r="B288" s="31" t="s">
        <v>25</v>
      </c>
      <c r="C288" s="32">
        <f>SUM(C286:C287)</f>
        <v>2878.9442599999988</v>
      </c>
      <c r="D288" s="32">
        <f t="shared" ref="D288:L288" si="132">SUM(D286:D287)</f>
        <v>2902.3995799999989</v>
      </c>
      <c r="E288" s="32">
        <f t="shared" si="132"/>
        <v>2754.8800799999981</v>
      </c>
      <c r="F288" s="32">
        <f t="shared" si="132"/>
        <v>2767.0422799999983</v>
      </c>
      <c r="G288" s="32">
        <f t="shared" si="132"/>
        <v>2736.2476700000002</v>
      </c>
      <c r="H288" s="32">
        <f t="shared" si="132"/>
        <v>2736.2526700000003</v>
      </c>
      <c r="I288" s="32">
        <f t="shared" si="132"/>
        <v>2791.1571700000004</v>
      </c>
      <c r="J288" s="32">
        <f t="shared" si="132"/>
        <v>3002.0691700000002</v>
      </c>
      <c r="K288" s="32">
        <f t="shared" si="132"/>
        <v>3014.4281450000003</v>
      </c>
      <c r="L288" s="32">
        <f t="shared" si="132"/>
        <v>3028.8281450000004</v>
      </c>
      <c r="M288" s="44">
        <f t="shared" si="124"/>
        <v>0.47770254613250795</v>
      </c>
      <c r="N288" s="32">
        <f t="shared" ref="N288" si="133">SUM(N286:N287)</f>
        <v>14.400000000000034</v>
      </c>
    </row>
    <row r="289" spans="1:14" s="38" customFormat="1">
      <c r="A289" s="84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2"/>
      <c r="N289" s="21"/>
    </row>
    <row r="290" spans="1:14" s="38" customFormat="1">
      <c r="A290" s="84"/>
      <c r="B290" s="13" t="s">
        <v>138</v>
      </c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2"/>
      <c r="N290" s="21"/>
    </row>
    <row r="291" spans="1:14">
      <c r="A291" s="84"/>
      <c r="B291" s="55"/>
      <c r="C291" s="56">
        <v>2011</v>
      </c>
      <c r="D291" s="56">
        <v>2012</v>
      </c>
      <c r="E291" s="56">
        <v>2013</v>
      </c>
      <c r="F291" s="56">
        <v>2014</v>
      </c>
      <c r="G291" s="56">
        <v>2015</v>
      </c>
      <c r="H291" s="56">
        <v>2016</v>
      </c>
      <c r="I291" s="56">
        <v>2017</v>
      </c>
      <c r="J291" s="56">
        <v>2018</v>
      </c>
      <c r="K291" s="56">
        <v>2019</v>
      </c>
      <c r="L291" s="56">
        <v>2020</v>
      </c>
      <c r="M291" s="93" t="s">
        <v>117</v>
      </c>
      <c r="N291" s="93" t="s">
        <v>121</v>
      </c>
    </row>
    <row r="292" spans="1:14">
      <c r="A292" s="84"/>
      <c r="B292" s="96" t="s">
        <v>26</v>
      </c>
      <c r="C292" s="97">
        <v>77.52</v>
      </c>
      <c r="D292" s="97">
        <v>77.52</v>
      </c>
      <c r="E292" s="97">
        <v>77.52</v>
      </c>
      <c r="F292" s="97">
        <v>77.52</v>
      </c>
      <c r="G292" s="97">
        <v>77.52</v>
      </c>
      <c r="H292" s="97">
        <v>77.52</v>
      </c>
      <c r="I292" s="97">
        <v>77.52</v>
      </c>
      <c r="J292" s="97">
        <v>77.52</v>
      </c>
      <c r="K292" s="97">
        <v>77.52</v>
      </c>
      <c r="L292" s="97">
        <v>77.52</v>
      </c>
      <c r="M292" s="103">
        <f t="shared" ref="M292:M297" si="134">((L292/K292)-1)*100</f>
        <v>0</v>
      </c>
      <c r="N292" s="97">
        <f t="shared" ref="N292:N294" si="135">L292-K292</f>
        <v>0</v>
      </c>
    </row>
    <row r="293" spans="1:14">
      <c r="A293" s="84"/>
      <c r="B293" s="96" t="s">
        <v>27</v>
      </c>
      <c r="C293" s="97">
        <v>13.3</v>
      </c>
      <c r="D293" s="97">
        <v>13.3</v>
      </c>
      <c r="E293" s="97">
        <v>13.3</v>
      </c>
      <c r="F293" s="97">
        <v>13.3</v>
      </c>
      <c r="G293" s="97">
        <v>13.3</v>
      </c>
      <c r="H293" s="97">
        <v>13.3</v>
      </c>
      <c r="I293" s="97">
        <v>13.3</v>
      </c>
      <c r="J293" s="97">
        <v>13.3</v>
      </c>
      <c r="K293" s="97">
        <v>13.3</v>
      </c>
      <c r="L293" s="97">
        <v>13.3</v>
      </c>
      <c r="M293" s="103">
        <f t="shared" si="134"/>
        <v>0</v>
      </c>
      <c r="N293" s="97">
        <f t="shared" si="135"/>
        <v>0</v>
      </c>
    </row>
    <row r="294" spans="1:14">
      <c r="A294" s="84"/>
      <c r="B294" s="16" t="s">
        <v>29</v>
      </c>
      <c r="C294" s="109">
        <f>SUM(C292:C293)</f>
        <v>90.82</v>
      </c>
      <c r="D294" s="109">
        <f t="shared" ref="D294:L294" si="136">SUM(D292:D293)</f>
        <v>90.82</v>
      </c>
      <c r="E294" s="109">
        <f t="shared" si="136"/>
        <v>90.82</v>
      </c>
      <c r="F294" s="109">
        <f t="shared" si="136"/>
        <v>90.82</v>
      </c>
      <c r="G294" s="109">
        <f t="shared" si="136"/>
        <v>90.82</v>
      </c>
      <c r="H294" s="109">
        <f t="shared" si="136"/>
        <v>90.82</v>
      </c>
      <c r="I294" s="109">
        <f t="shared" si="136"/>
        <v>90.82</v>
      </c>
      <c r="J294" s="109">
        <f t="shared" si="136"/>
        <v>90.82</v>
      </c>
      <c r="K294" s="109">
        <f t="shared" si="136"/>
        <v>90.82</v>
      </c>
      <c r="L294" s="109">
        <f t="shared" si="136"/>
        <v>90.82</v>
      </c>
      <c r="M294" s="110">
        <f t="shared" si="134"/>
        <v>0</v>
      </c>
      <c r="N294" s="109">
        <f t="shared" si="135"/>
        <v>0</v>
      </c>
    </row>
    <row r="295" spans="1:14">
      <c r="A295" s="84"/>
      <c r="B295" s="42" t="s">
        <v>87</v>
      </c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4"/>
      <c r="N295" s="43"/>
    </row>
    <row r="296" spans="1:14">
      <c r="A296" s="84"/>
      <c r="B296" s="42" t="s">
        <v>88</v>
      </c>
      <c r="C296" s="43">
        <f>C294</f>
        <v>90.82</v>
      </c>
      <c r="D296" s="43">
        <f t="shared" ref="D296:L296" si="137">D294</f>
        <v>90.82</v>
      </c>
      <c r="E296" s="43">
        <f t="shared" si="137"/>
        <v>90.82</v>
      </c>
      <c r="F296" s="43">
        <f t="shared" si="137"/>
        <v>90.82</v>
      </c>
      <c r="G296" s="43">
        <f t="shared" si="137"/>
        <v>90.82</v>
      </c>
      <c r="H296" s="43">
        <f t="shared" si="137"/>
        <v>90.82</v>
      </c>
      <c r="I296" s="43">
        <f t="shared" si="137"/>
        <v>90.82</v>
      </c>
      <c r="J296" s="43">
        <f t="shared" si="137"/>
        <v>90.82</v>
      </c>
      <c r="K296" s="43">
        <f t="shared" si="137"/>
        <v>90.82</v>
      </c>
      <c r="L296" s="43">
        <f t="shared" si="137"/>
        <v>90.82</v>
      </c>
      <c r="M296" s="44">
        <f t="shared" si="134"/>
        <v>0</v>
      </c>
      <c r="N296" s="43">
        <f t="shared" ref="N296" si="138">N294</f>
        <v>0</v>
      </c>
    </row>
    <row r="297" spans="1:14">
      <c r="A297" s="84"/>
      <c r="B297" s="31" t="s">
        <v>25</v>
      </c>
      <c r="C297" s="32">
        <f>SUM(C295:C296)</f>
        <v>90.82</v>
      </c>
      <c r="D297" s="32">
        <f t="shared" ref="D297:L297" si="139">SUM(D295:D296)</f>
        <v>90.82</v>
      </c>
      <c r="E297" s="32">
        <f t="shared" si="139"/>
        <v>90.82</v>
      </c>
      <c r="F297" s="32">
        <f t="shared" si="139"/>
        <v>90.82</v>
      </c>
      <c r="G297" s="32">
        <f t="shared" si="139"/>
        <v>90.82</v>
      </c>
      <c r="H297" s="32">
        <f t="shared" si="139"/>
        <v>90.82</v>
      </c>
      <c r="I297" s="32">
        <f t="shared" si="139"/>
        <v>90.82</v>
      </c>
      <c r="J297" s="32">
        <f t="shared" si="139"/>
        <v>90.82</v>
      </c>
      <c r="K297" s="32">
        <f t="shared" si="139"/>
        <v>90.82</v>
      </c>
      <c r="L297" s="32">
        <f t="shared" si="139"/>
        <v>90.82</v>
      </c>
      <c r="M297" s="44">
        <f t="shared" si="134"/>
        <v>0</v>
      </c>
      <c r="N297" s="32">
        <f t="shared" ref="N297" si="140">SUM(N295:N296)</f>
        <v>0</v>
      </c>
    </row>
    <row r="298" spans="1:14" s="38" customFormat="1">
      <c r="A298" s="84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2"/>
      <c r="N298" s="21"/>
    </row>
    <row r="299" spans="1:14" s="38" customFormat="1">
      <c r="A299" s="84"/>
      <c r="B299" s="13" t="s">
        <v>137</v>
      </c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2"/>
      <c r="N299" s="21"/>
    </row>
    <row r="300" spans="1:14">
      <c r="A300" s="84"/>
      <c r="B300" s="55"/>
      <c r="C300" s="56">
        <v>2011</v>
      </c>
      <c r="D300" s="56">
        <v>2012</v>
      </c>
      <c r="E300" s="56">
        <v>2013</v>
      </c>
      <c r="F300" s="56">
        <v>2014</v>
      </c>
      <c r="G300" s="56">
        <v>2015</v>
      </c>
      <c r="H300" s="56">
        <v>2016</v>
      </c>
      <c r="I300" s="56">
        <v>2017</v>
      </c>
      <c r="J300" s="56">
        <v>2018</v>
      </c>
      <c r="K300" s="56">
        <v>2019</v>
      </c>
      <c r="L300" s="56">
        <v>2020</v>
      </c>
      <c r="M300" s="93" t="s">
        <v>117</v>
      </c>
      <c r="N300" s="93" t="s">
        <v>121</v>
      </c>
    </row>
    <row r="301" spans="1:14">
      <c r="A301" s="84"/>
      <c r="B301" s="96" t="s">
        <v>26</v>
      </c>
      <c r="C301" s="97">
        <v>64.64</v>
      </c>
      <c r="D301" s="97">
        <v>64.64</v>
      </c>
      <c r="E301" s="97">
        <v>64.64</v>
      </c>
      <c r="F301" s="97">
        <v>64.64</v>
      </c>
      <c r="G301" s="97">
        <v>64.64</v>
      </c>
      <c r="H301" s="97">
        <v>64.64</v>
      </c>
      <c r="I301" s="97">
        <v>64.64</v>
      </c>
      <c r="J301" s="97">
        <v>64.64</v>
      </c>
      <c r="K301" s="97">
        <v>64.64</v>
      </c>
      <c r="L301" s="97">
        <v>64.64</v>
      </c>
      <c r="M301" s="103">
        <f t="shared" ref="M301" si="141">((L301/K301)-1)*100</f>
        <v>0</v>
      </c>
      <c r="N301" s="97">
        <f>L301-K301</f>
        <v>0</v>
      </c>
    </row>
    <row r="302" spans="1:14">
      <c r="A302" s="84"/>
      <c r="B302" s="96" t="s">
        <v>27</v>
      </c>
      <c r="C302" s="97">
        <v>11.5</v>
      </c>
      <c r="D302" s="97">
        <v>11.5</v>
      </c>
      <c r="E302" s="97">
        <v>11.5</v>
      </c>
      <c r="F302" s="97">
        <v>11.5</v>
      </c>
      <c r="G302" s="97">
        <v>11.5</v>
      </c>
      <c r="H302" s="97">
        <v>11.5</v>
      </c>
      <c r="I302" s="97">
        <v>11.5</v>
      </c>
      <c r="J302" s="97">
        <v>11.5</v>
      </c>
      <c r="K302" s="97">
        <v>11.5</v>
      </c>
      <c r="L302" s="97">
        <v>11.5</v>
      </c>
      <c r="M302" s="103">
        <f t="shared" ref="M302" si="142">((L302/K302)-1)*100</f>
        <v>0</v>
      </c>
      <c r="N302" s="97">
        <f t="shared" ref="N302" si="143">L302-K302</f>
        <v>0</v>
      </c>
    </row>
    <row r="303" spans="1:14">
      <c r="A303" s="84"/>
      <c r="B303" s="16" t="s">
        <v>29</v>
      </c>
      <c r="C303" s="18">
        <f t="shared" ref="C303:K303" si="144">SUM(C301:C302)</f>
        <v>76.14</v>
      </c>
      <c r="D303" s="18">
        <f t="shared" si="144"/>
        <v>76.14</v>
      </c>
      <c r="E303" s="18">
        <f t="shared" si="144"/>
        <v>76.14</v>
      </c>
      <c r="F303" s="18">
        <f t="shared" si="144"/>
        <v>76.14</v>
      </c>
      <c r="G303" s="18">
        <f t="shared" si="144"/>
        <v>76.14</v>
      </c>
      <c r="H303" s="18">
        <f t="shared" si="144"/>
        <v>76.14</v>
      </c>
      <c r="I303" s="18">
        <f t="shared" si="144"/>
        <v>76.14</v>
      </c>
      <c r="J303" s="18">
        <f t="shared" si="144"/>
        <v>76.14</v>
      </c>
      <c r="K303" s="18">
        <f t="shared" si="144"/>
        <v>76.14</v>
      </c>
      <c r="L303" s="18">
        <f t="shared" ref="L303" si="145">SUM(L301:L302)</f>
        <v>76.14</v>
      </c>
      <c r="M303" s="17">
        <f t="shared" ref="M303:M310" si="146">((L303/K303)-1)*100</f>
        <v>0</v>
      </c>
      <c r="N303" s="18">
        <f t="shared" ref="N303:N307" si="147">L303-K303</f>
        <v>0</v>
      </c>
    </row>
    <row r="304" spans="1:14">
      <c r="A304" s="84"/>
      <c r="B304" s="19" t="s">
        <v>6</v>
      </c>
      <c r="C304" s="18">
        <v>5.79E-2</v>
      </c>
      <c r="D304" s="18">
        <v>5.79E-2</v>
      </c>
      <c r="E304" s="18">
        <v>5.79E-2</v>
      </c>
      <c r="F304" s="18">
        <v>5.79E-2</v>
      </c>
      <c r="G304" s="18">
        <v>5.9700000000000003E-2</v>
      </c>
      <c r="H304" s="18">
        <v>5.9700000000000003E-2</v>
      </c>
      <c r="I304" s="18">
        <v>5.9700000000000003E-2</v>
      </c>
      <c r="J304" s="18">
        <v>5.9700000000000003E-2</v>
      </c>
      <c r="K304" s="18">
        <v>5.9700000000000003E-2</v>
      </c>
      <c r="L304" s="18">
        <v>5.9700000000000003E-2</v>
      </c>
      <c r="M304" s="17">
        <f t="shared" si="146"/>
        <v>0</v>
      </c>
      <c r="N304" s="18">
        <f t="shared" si="147"/>
        <v>0</v>
      </c>
    </row>
    <row r="305" spans="1:17">
      <c r="A305" s="84"/>
      <c r="B305" s="8" t="s">
        <v>8</v>
      </c>
      <c r="C305" s="18">
        <v>2.1680000000000001</v>
      </c>
      <c r="D305" s="18">
        <v>2.1680000000000001</v>
      </c>
      <c r="E305" s="18">
        <v>2.1680000000000001</v>
      </c>
      <c r="F305" s="18">
        <v>2.1680000000000001</v>
      </c>
      <c r="G305" s="109" t="s">
        <v>19</v>
      </c>
      <c r="H305" s="109" t="s">
        <v>19</v>
      </c>
      <c r="I305" s="109" t="s">
        <v>19</v>
      </c>
      <c r="J305" s="109" t="s">
        <v>19</v>
      </c>
      <c r="K305" s="109" t="s">
        <v>19</v>
      </c>
      <c r="L305" s="109" t="s">
        <v>19</v>
      </c>
      <c r="M305" s="109" t="s">
        <v>19</v>
      </c>
      <c r="N305" s="109" t="s">
        <v>19</v>
      </c>
    </row>
    <row r="306" spans="1:17">
      <c r="A306" s="84"/>
      <c r="B306" s="8" t="s">
        <v>9</v>
      </c>
      <c r="C306" s="109" t="s">
        <v>19</v>
      </c>
      <c r="D306" s="109" t="s">
        <v>19</v>
      </c>
      <c r="E306" s="109" t="s">
        <v>19</v>
      </c>
      <c r="F306" s="109" t="s">
        <v>19</v>
      </c>
      <c r="G306" s="18">
        <v>1.0840000000000001</v>
      </c>
      <c r="H306" s="18">
        <v>1.0840000000000001</v>
      </c>
      <c r="I306" s="18">
        <v>1.0840000000000001</v>
      </c>
      <c r="J306" s="18">
        <v>1.0840000000000001</v>
      </c>
      <c r="K306" s="18">
        <v>1.0840000000000001</v>
      </c>
      <c r="L306" s="18">
        <v>1.0840000000000001</v>
      </c>
      <c r="M306" s="17">
        <f t="shared" si="146"/>
        <v>0</v>
      </c>
      <c r="N306" s="18">
        <f t="shared" si="147"/>
        <v>0</v>
      </c>
    </row>
    <row r="307" spans="1:17">
      <c r="A307" s="84"/>
      <c r="B307" s="8" t="s">
        <v>10</v>
      </c>
      <c r="C307" s="109" t="s">
        <v>19</v>
      </c>
      <c r="D307" s="109" t="s">
        <v>19</v>
      </c>
      <c r="E307" s="109" t="s">
        <v>19</v>
      </c>
      <c r="F307" s="109" t="s">
        <v>19</v>
      </c>
      <c r="G307" s="18">
        <v>1.0840000000000001</v>
      </c>
      <c r="H307" s="18">
        <v>1.0840000000000001</v>
      </c>
      <c r="I307" s="18">
        <v>1.0840000000000001</v>
      </c>
      <c r="J307" s="18">
        <v>1.0840000000000001</v>
      </c>
      <c r="K307" s="18">
        <v>1.0840000000000001</v>
      </c>
      <c r="L307" s="18">
        <v>1.0840000000000001</v>
      </c>
      <c r="M307" s="17">
        <f t="shared" si="146"/>
        <v>0</v>
      </c>
      <c r="N307" s="18">
        <f t="shared" si="147"/>
        <v>0</v>
      </c>
    </row>
    <row r="308" spans="1:17">
      <c r="A308" s="84"/>
      <c r="B308" s="42" t="s">
        <v>87</v>
      </c>
      <c r="C308" s="43">
        <f t="shared" ref="C308:L308" si="148">SUM(C304,C307)</f>
        <v>5.79E-2</v>
      </c>
      <c r="D308" s="43">
        <f t="shared" si="148"/>
        <v>5.79E-2</v>
      </c>
      <c r="E308" s="43">
        <f t="shared" si="148"/>
        <v>5.79E-2</v>
      </c>
      <c r="F308" s="43">
        <f t="shared" si="148"/>
        <v>5.79E-2</v>
      </c>
      <c r="G308" s="43">
        <f t="shared" si="148"/>
        <v>1.1437000000000002</v>
      </c>
      <c r="H308" s="43">
        <f t="shared" si="148"/>
        <v>1.1437000000000002</v>
      </c>
      <c r="I308" s="43">
        <f t="shared" si="148"/>
        <v>1.1437000000000002</v>
      </c>
      <c r="J308" s="43">
        <f t="shared" si="148"/>
        <v>1.1437000000000002</v>
      </c>
      <c r="K308" s="43">
        <f t="shared" si="148"/>
        <v>1.1437000000000002</v>
      </c>
      <c r="L308" s="43">
        <f t="shared" si="148"/>
        <v>1.1437000000000002</v>
      </c>
      <c r="M308" s="44">
        <f t="shared" si="146"/>
        <v>0</v>
      </c>
      <c r="N308" s="43">
        <f>SUM(N304,N307)</f>
        <v>0</v>
      </c>
    </row>
    <row r="309" spans="1:17">
      <c r="A309" s="84"/>
      <c r="B309" s="42" t="s">
        <v>88</v>
      </c>
      <c r="C309" s="43">
        <f t="shared" ref="C309:L309" si="149">SUM(C303,C306,C305)</f>
        <v>78.308000000000007</v>
      </c>
      <c r="D309" s="43">
        <f t="shared" si="149"/>
        <v>78.308000000000007</v>
      </c>
      <c r="E309" s="43">
        <f t="shared" si="149"/>
        <v>78.308000000000007</v>
      </c>
      <c r="F309" s="43">
        <f t="shared" si="149"/>
        <v>78.308000000000007</v>
      </c>
      <c r="G309" s="43">
        <f t="shared" si="149"/>
        <v>77.224000000000004</v>
      </c>
      <c r="H309" s="43">
        <f t="shared" si="149"/>
        <v>77.224000000000004</v>
      </c>
      <c r="I309" s="43">
        <f t="shared" si="149"/>
        <v>77.224000000000004</v>
      </c>
      <c r="J309" s="43">
        <f t="shared" si="149"/>
        <v>77.224000000000004</v>
      </c>
      <c r="K309" s="43">
        <f t="shared" si="149"/>
        <v>77.224000000000004</v>
      </c>
      <c r="L309" s="43">
        <f t="shared" si="149"/>
        <v>77.224000000000004</v>
      </c>
      <c r="M309" s="44">
        <f t="shared" si="146"/>
        <v>0</v>
      </c>
      <c r="N309" s="43">
        <f>SUM(N303,N306,N305)</f>
        <v>0</v>
      </c>
    </row>
    <row r="310" spans="1:17">
      <c r="A310" s="84"/>
      <c r="B310" s="31" t="s">
        <v>25</v>
      </c>
      <c r="C310" s="32">
        <f>SUM(C308:C309)</f>
        <v>78.365900000000011</v>
      </c>
      <c r="D310" s="32">
        <f t="shared" ref="D310:L310" si="150">SUM(D308:D309)</f>
        <v>78.365900000000011</v>
      </c>
      <c r="E310" s="32">
        <f t="shared" si="150"/>
        <v>78.365900000000011</v>
      </c>
      <c r="F310" s="32">
        <f t="shared" si="150"/>
        <v>78.365900000000011</v>
      </c>
      <c r="G310" s="32">
        <f t="shared" si="150"/>
        <v>78.367699999999999</v>
      </c>
      <c r="H310" s="32">
        <f t="shared" si="150"/>
        <v>78.367699999999999</v>
      </c>
      <c r="I310" s="32">
        <f t="shared" si="150"/>
        <v>78.367699999999999</v>
      </c>
      <c r="J310" s="32">
        <f t="shared" si="150"/>
        <v>78.367699999999999</v>
      </c>
      <c r="K310" s="32">
        <f t="shared" si="150"/>
        <v>78.367699999999999</v>
      </c>
      <c r="L310" s="32">
        <f t="shared" si="150"/>
        <v>78.367699999999999</v>
      </c>
      <c r="M310" s="44">
        <f t="shared" si="146"/>
        <v>0</v>
      </c>
      <c r="N310" s="32">
        <f t="shared" ref="N310" si="151">SUM(N308:N309)</f>
        <v>0</v>
      </c>
    </row>
    <row r="311" spans="1:17">
      <c r="H311" s="113"/>
      <c r="I311" s="113"/>
      <c r="J311" s="113"/>
      <c r="K311" s="113"/>
      <c r="L311" s="113"/>
    </row>
    <row r="312" spans="1:17" s="14" customFormat="1" ht="11.25" customHeight="1">
      <c r="B312" s="13" t="s">
        <v>136</v>
      </c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2"/>
      <c r="O312" s="21"/>
      <c r="P312" s="21"/>
      <c r="Q312" s="22"/>
    </row>
    <row r="313" spans="1:17" s="14" customFormat="1" ht="11.25" customHeight="1">
      <c r="B313" s="55"/>
      <c r="C313" s="56">
        <v>2011</v>
      </c>
      <c r="D313" s="56">
        <v>2012</v>
      </c>
      <c r="E313" s="56">
        <v>2013</v>
      </c>
      <c r="F313" s="56">
        <v>2014</v>
      </c>
      <c r="G313" s="56">
        <v>2015</v>
      </c>
      <c r="H313" s="56">
        <v>2016</v>
      </c>
      <c r="I313" s="56">
        <v>2017</v>
      </c>
      <c r="J313" s="56">
        <v>2018</v>
      </c>
      <c r="K313" s="56">
        <v>2019</v>
      </c>
      <c r="L313" s="56">
        <v>2020</v>
      </c>
      <c r="M313" s="93" t="s">
        <v>117</v>
      </c>
      <c r="N313" s="93" t="s">
        <v>121</v>
      </c>
      <c r="O313" s="21"/>
      <c r="P313" s="21"/>
      <c r="Q313" s="22"/>
    </row>
    <row r="314" spans="1:17" s="14" customFormat="1" ht="11.25" customHeight="1">
      <c r="B314" s="8" t="s">
        <v>1</v>
      </c>
      <c r="C314" s="4">
        <f t="shared" ref="C314:L314" si="152">SUM(C237,C274)</f>
        <v>16704.893779999999</v>
      </c>
      <c r="D314" s="4">
        <f t="shared" si="152"/>
        <v>16927.841779999999</v>
      </c>
      <c r="E314" s="4">
        <f t="shared" si="152"/>
        <v>16985.874779999998</v>
      </c>
      <c r="F314" s="4">
        <f t="shared" si="152"/>
        <v>16992.104779999998</v>
      </c>
      <c r="G314" s="4">
        <f t="shared" si="152"/>
        <v>17026.241629999997</v>
      </c>
      <c r="H314" s="4">
        <f t="shared" si="152"/>
        <v>17030.341629999999</v>
      </c>
      <c r="I314" s="4">
        <f t="shared" si="152"/>
        <v>17027.504629999996</v>
      </c>
      <c r="J314" s="4">
        <f t="shared" si="152"/>
        <v>17046.31623</v>
      </c>
      <c r="K314" s="4">
        <f t="shared" si="152"/>
        <v>17084.773229999999</v>
      </c>
      <c r="L314" s="4">
        <f t="shared" si="152"/>
        <v>17084.668229999999</v>
      </c>
      <c r="M314" s="3">
        <f t="shared" ref="M314:M327" si="153">((L314/K314)-1)*100</f>
        <v>-6.1458234525968436E-4</v>
      </c>
      <c r="N314" s="4">
        <f>L314-K314</f>
        <v>-0.10499999999956344</v>
      </c>
      <c r="O314" s="21"/>
      <c r="P314" s="21"/>
      <c r="Q314" s="22"/>
    </row>
    <row r="315" spans="1:17" s="14" customFormat="1" ht="11.25" customHeight="1">
      <c r="B315" s="8" t="s">
        <v>56</v>
      </c>
      <c r="C315" s="4">
        <f t="shared" ref="C315:L315" si="154">C238</f>
        <v>2450.9399999999996</v>
      </c>
      <c r="D315" s="4">
        <f t="shared" si="154"/>
        <v>2450.9399999999996</v>
      </c>
      <c r="E315" s="4">
        <f t="shared" si="154"/>
        <v>2450.9399999999996</v>
      </c>
      <c r="F315" s="4">
        <f t="shared" si="154"/>
        <v>2450.9399999999996</v>
      </c>
      <c r="G315" s="4">
        <f t="shared" si="154"/>
        <v>3328.8900000000003</v>
      </c>
      <c r="H315" s="4">
        <f t="shared" si="154"/>
        <v>3328.8900000000003</v>
      </c>
      <c r="I315" s="4">
        <f t="shared" si="154"/>
        <v>3328.8900000000003</v>
      </c>
      <c r="J315" s="4">
        <f t="shared" si="154"/>
        <v>3328.8900000000003</v>
      </c>
      <c r="K315" s="4">
        <f t="shared" si="154"/>
        <v>3328.8900000000003</v>
      </c>
      <c r="L315" s="4">
        <f t="shared" si="154"/>
        <v>3328.8900000000003</v>
      </c>
      <c r="M315" s="3">
        <f t="shared" si="153"/>
        <v>0</v>
      </c>
      <c r="N315" s="4">
        <f t="shared" ref="N315:N327" si="155">L315-K315</f>
        <v>0</v>
      </c>
      <c r="O315" s="21"/>
      <c r="P315" s="21"/>
      <c r="Q315" s="22"/>
    </row>
    <row r="316" spans="1:17" s="14" customFormat="1" ht="11.25" customHeight="1">
      <c r="B316" s="8" t="s">
        <v>2</v>
      </c>
      <c r="C316" s="4">
        <f t="shared" ref="C316:L316" si="156">C239</f>
        <v>7572.58</v>
      </c>
      <c r="D316" s="4">
        <f t="shared" si="156"/>
        <v>7572.58</v>
      </c>
      <c r="E316" s="4">
        <f t="shared" si="156"/>
        <v>7572.58</v>
      </c>
      <c r="F316" s="4">
        <f t="shared" si="156"/>
        <v>7572.58</v>
      </c>
      <c r="G316" s="4">
        <f t="shared" si="156"/>
        <v>7572.58</v>
      </c>
      <c r="H316" s="4">
        <f t="shared" si="156"/>
        <v>7572.58</v>
      </c>
      <c r="I316" s="4">
        <f t="shared" si="156"/>
        <v>7117.29</v>
      </c>
      <c r="J316" s="4">
        <f t="shared" si="156"/>
        <v>7117.29</v>
      </c>
      <c r="K316" s="4">
        <f t="shared" si="156"/>
        <v>7117.29</v>
      </c>
      <c r="L316" s="4">
        <f t="shared" si="156"/>
        <v>7117.29</v>
      </c>
      <c r="M316" s="3">
        <f t="shared" si="153"/>
        <v>0</v>
      </c>
      <c r="N316" s="4">
        <f t="shared" si="155"/>
        <v>0</v>
      </c>
      <c r="O316" s="21"/>
      <c r="P316" s="21"/>
      <c r="Q316" s="22"/>
    </row>
    <row r="317" spans="1:17" s="14" customFormat="1" ht="11.25" customHeight="1">
      <c r="B317" s="8" t="s">
        <v>3</v>
      </c>
      <c r="C317" s="4">
        <f t="shared" ref="C317:L317" si="157">SUM(C240,C256)</f>
        <v>11571.79</v>
      </c>
      <c r="D317" s="4">
        <f t="shared" si="157"/>
        <v>11063.869999999999</v>
      </c>
      <c r="E317" s="4">
        <f t="shared" si="157"/>
        <v>11078.77</v>
      </c>
      <c r="F317" s="4">
        <f t="shared" si="157"/>
        <v>10936.42</v>
      </c>
      <c r="G317" s="4">
        <f t="shared" si="157"/>
        <v>10936.42</v>
      </c>
      <c r="H317" s="4">
        <f t="shared" si="157"/>
        <v>10004.269999999999</v>
      </c>
      <c r="I317" s="4">
        <f t="shared" si="157"/>
        <v>10004.269999999999</v>
      </c>
      <c r="J317" s="4">
        <f t="shared" si="157"/>
        <v>10030.284999999998</v>
      </c>
      <c r="K317" s="4">
        <f t="shared" si="157"/>
        <v>9683.4449999999979</v>
      </c>
      <c r="L317" s="4">
        <f t="shared" si="157"/>
        <v>6219.0749999999998</v>
      </c>
      <c r="M317" s="3">
        <f t="shared" si="153"/>
        <v>-35.776213940390001</v>
      </c>
      <c r="N317" s="4">
        <f t="shared" si="155"/>
        <v>-3464.3699999999981</v>
      </c>
      <c r="O317" s="21"/>
      <c r="P317" s="21"/>
      <c r="Q317" s="22"/>
    </row>
    <row r="318" spans="1:17" s="14" customFormat="1" ht="11.25" customHeight="1">
      <c r="B318" s="8" t="s">
        <v>20</v>
      </c>
      <c r="C318" s="4">
        <f t="shared" ref="C318:L318" si="158">SUM(C241,C259,C261,C278,C280,C294,C303)</f>
        <v>3382.55</v>
      </c>
      <c r="D318" s="4">
        <f t="shared" si="158"/>
        <v>3105.55</v>
      </c>
      <c r="E318" s="4">
        <f t="shared" si="158"/>
        <v>2995.88</v>
      </c>
      <c r="F318" s="4">
        <f t="shared" si="158"/>
        <v>2995.6000000000004</v>
      </c>
      <c r="G318" s="4">
        <f t="shared" si="158"/>
        <v>2490.0600000000004</v>
      </c>
      <c r="H318" s="4">
        <f t="shared" si="158"/>
        <v>2490.0600000000004</v>
      </c>
      <c r="I318" s="4">
        <f t="shared" si="158"/>
        <v>2490.0600000000004</v>
      </c>
      <c r="J318" s="4">
        <f t="shared" si="158"/>
        <v>2490.0600000000004</v>
      </c>
      <c r="K318" s="4">
        <f t="shared" si="158"/>
        <v>2447.46</v>
      </c>
      <c r="L318" s="4">
        <f t="shared" si="158"/>
        <v>2447.46</v>
      </c>
      <c r="M318" s="3">
        <f t="shared" si="153"/>
        <v>0</v>
      </c>
      <c r="N318" s="4">
        <f t="shared" si="155"/>
        <v>0</v>
      </c>
      <c r="O318" s="21"/>
      <c r="P318" s="21"/>
      <c r="Q318" s="22"/>
    </row>
    <row r="319" spans="1:17" s="14" customFormat="1" ht="11.25" customHeight="1">
      <c r="B319" s="8" t="s">
        <v>21</v>
      </c>
      <c r="C319" s="4">
        <f t="shared" ref="C319:L319" si="159">SUM(C242,C260,C279)</f>
        <v>26633.880000000005</v>
      </c>
      <c r="D319" s="4">
        <f t="shared" si="159"/>
        <v>26669.86</v>
      </c>
      <c r="E319" s="4">
        <f t="shared" si="159"/>
        <v>26669.86</v>
      </c>
      <c r="F319" s="4">
        <f t="shared" si="159"/>
        <v>26669.86</v>
      </c>
      <c r="G319" s="4">
        <f t="shared" si="159"/>
        <v>26669.86</v>
      </c>
      <c r="H319" s="4">
        <f t="shared" si="159"/>
        <v>26669.86</v>
      </c>
      <c r="I319" s="4">
        <f t="shared" si="159"/>
        <v>26669.86</v>
      </c>
      <c r="J319" s="4">
        <f t="shared" si="159"/>
        <v>26284.010000000002</v>
      </c>
      <c r="K319" s="4">
        <f t="shared" si="159"/>
        <v>26284.010000000002</v>
      </c>
      <c r="L319" s="4">
        <f t="shared" si="159"/>
        <v>26284.010000000002</v>
      </c>
      <c r="M319" s="3">
        <f t="shared" si="153"/>
        <v>0</v>
      </c>
      <c r="N319" s="4">
        <f t="shared" si="155"/>
        <v>0</v>
      </c>
      <c r="O319" s="21"/>
      <c r="P319" s="21"/>
      <c r="Q319" s="22"/>
    </row>
    <row r="320" spans="1:17" s="14" customFormat="1" ht="11.25" customHeight="1">
      <c r="B320" s="8" t="s">
        <v>4</v>
      </c>
      <c r="C320" s="4" t="str">
        <f t="shared" ref="C320:L320" si="160">C281</f>
        <v>-</v>
      </c>
      <c r="D320" s="4" t="str">
        <f t="shared" si="160"/>
        <v>-</v>
      </c>
      <c r="E320" s="4" t="str">
        <f t="shared" si="160"/>
        <v>-</v>
      </c>
      <c r="F320" s="4">
        <f t="shared" si="160"/>
        <v>11.39</v>
      </c>
      <c r="G320" s="4">
        <f t="shared" si="160"/>
        <v>11.39</v>
      </c>
      <c r="H320" s="4">
        <f t="shared" si="160"/>
        <v>11.39</v>
      </c>
      <c r="I320" s="4">
        <f t="shared" si="160"/>
        <v>11.39</v>
      </c>
      <c r="J320" s="4">
        <f t="shared" si="160"/>
        <v>11.39</v>
      </c>
      <c r="K320" s="4">
        <f t="shared" si="160"/>
        <v>11.39</v>
      </c>
      <c r="L320" s="4">
        <f t="shared" si="160"/>
        <v>11.39</v>
      </c>
      <c r="M320" s="3">
        <f t="shared" si="153"/>
        <v>0</v>
      </c>
      <c r="N320" s="4">
        <f t="shared" si="155"/>
        <v>0</v>
      </c>
      <c r="O320" s="21"/>
      <c r="P320" s="21"/>
      <c r="Q320" s="22"/>
    </row>
    <row r="321" spans="2:17" s="14" customFormat="1" ht="11.25" customHeight="1">
      <c r="B321" s="8" t="s">
        <v>5</v>
      </c>
      <c r="C321" s="4">
        <f t="shared" ref="C321:L321" si="161">SUM(C243,C262,C282)</f>
        <v>21166.898749999997</v>
      </c>
      <c r="D321" s="4">
        <f t="shared" si="161"/>
        <v>22757.853349999998</v>
      </c>
      <c r="E321" s="4">
        <f t="shared" si="161"/>
        <v>23009.240349999993</v>
      </c>
      <c r="F321" s="4">
        <f t="shared" si="161"/>
        <v>23027.710849999996</v>
      </c>
      <c r="G321" s="4">
        <f t="shared" si="161"/>
        <v>22956.206649999996</v>
      </c>
      <c r="H321" s="4">
        <f t="shared" si="161"/>
        <v>23002.25965</v>
      </c>
      <c r="I321" s="4">
        <f t="shared" si="161"/>
        <v>23082.667250000002</v>
      </c>
      <c r="J321" s="4">
        <f t="shared" si="161"/>
        <v>23546.290500000003</v>
      </c>
      <c r="K321" s="4">
        <f t="shared" si="161"/>
        <v>25874.499500000002</v>
      </c>
      <c r="L321" s="4">
        <f t="shared" si="161"/>
        <v>27063.279000000006</v>
      </c>
      <c r="M321" s="3">
        <f t="shared" si="153"/>
        <v>4.5944057777813407</v>
      </c>
      <c r="N321" s="4">
        <f t="shared" si="155"/>
        <v>1188.7795000000042</v>
      </c>
      <c r="O321" s="21"/>
      <c r="P321" s="21"/>
      <c r="Q321" s="22"/>
    </row>
    <row r="322" spans="2:17" s="14" customFormat="1" ht="11.25" customHeight="1">
      <c r="B322" s="8" t="s">
        <v>6</v>
      </c>
      <c r="C322" s="4">
        <f t="shared" ref="C322:L322" si="162">SUM(C244,C263,C283,C304)</f>
        <v>4233.2897000000976</v>
      </c>
      <c r="D322" s="4">
        <f t="shared" si="162"/>
        <v>4532.3108400000965</v>
      </c>
      <c r="E322" s="4">
        <f t="shared" si="162"/>
        <v>4638.4240800001462</v>
      </c>
      <c r="F322" s="4">
        <f t="shared" si="162"/>
        <v>4645.6996200001468</v>
      </c>
      <c r="G322" s="4">
        <f t="shared" si="162"/>
        <v>4678.3942710001274</v>
      </c>
      <c r="H322" s="4">
        <f t="shared" si="162"/>
        <v>4682.9819660001276</v>
      </c>
      <c r="I322" s="4">
        <f t="shared" si="162"/>
        <v>4685.4967100001268</v>
      </c>
      <c r="J322" s="4">
        <f t="shared" si="162"/>
        <v>4711.8426750001281</v>
      </c>
      <c r="K322" s="4">
        <f t="shared" si="162"/>
        <v>8913.9557800001257</v>
      </c>
      <c r="L322" s="4">
        <f t="shared" si="162"/>
        <v>10430.771916000125</v>
      </c>
      <c r="M322" s="3">
        <f t="shared" si="153"/>
        <v>17.016195429230386</v>
      </c>
      <c r="N322" s="4">
        <f t="shared" si="155"/>
        <v>1516.8161359999995</v>
      </c>
      <c r="O322" s="21"/>
      <c r="P322" s="21"/>
      <c r="Q322" s="22"/>
    </row>
    <row r="323" spans="2:17" s="14" customFormat="1" ht="11.25" customHeight="1">
      <c r="B323" s="8" t="s">
        <v>7</v>
      </c>
      <c r="C323" s="4">
        <f t="shared" ref="C323:L323" si="163">C245</f>
        <v>998.52</v>
      </c>
      <c r="D323" s="4">
        <f t="shared" si="163"/>
        <v>1949.92</v>
      </c>
      <c r="E323" s="4">
        <f t="shared" si="163"/>
        <v>2299.4275000000002</v>
      </c>
      <c r="F323" s="4">
        <f t="shared" si="163"/>
        <v>2299.4275000000002</v>
      </c>
      <c r="G323" s="4">
        <f t="shared" si="163"/>
        <v>2304.0129999999999</v>
      </c>
      <c r="H323" s="4">
        <f t="shared" si="163"/>
        <v>2304.0129999999999</v>
      </c>
      <c r="I323" s="4">
        <f t="shared" si="163"/>
        <v>2304.0129999999999</v>
      </c>
      <c r="J323" s="4">
        <f t="shared" si="163"/>
        <v>2304.0129999999999</v>
      </c>
      <c r="K323" s="4">
        <f t="shared" si="163"/>
        <v>2304.0129999999999</v>
      </c>
      <c r="L323" s="4">
        <f t="shared" si="163"/>
        <v>2304.0129999999999</v>
      </c>
      <c r="M323" s="3">
        <f t="shared" si="153"/>
        <v>0</v>
      </c>
      <c r="N323" s="4">
        <f t="shared" si="155"/>
        <v>0</v>
      </c>
      <c r="O323" s="21"/>
      <c r="P323" s="21"/>
      <c r="Q323" s="22"/>
    </row>
    <row r="324" spans="2:17" s="14" customFormat="1" ht="11.25" customHeight="1">
      <c r="B324" s="8" t="s">
        <v>22</v>
      </c>
      <c r="C324" s="4">
        <f t="shared" ref="C324:L324" si="164">SUM(C246,C264,C284)</f>
        <v>886.28791000000001</v>
      </c>
      <c r="D324" s="4">
        <f t="shared" si="164"/>
        <v>973.93041000000005</v>
      </c>
      <c r="E324" s="4">
        <f t="shared" si="164"/>
        <v>949.94041000000016</v>
      </c>
      <c r="F324" s="4">
        <f t="shared" si="164"/>
        <v>987.46341000000007</v>
      </c>
      <c r="G324" s="4">
        <f t="shared" si="164"/>
        <v>882.09399999999994</v>
      </c>
      <c r="H324" s="4">
        <f t="shared" si="164"/>
        <v>870.40099999999984</v>
      </c>
      <c r="I324" s="4">
        <f t="shared" si="164"/>
        <v>872.12700000000007</v>
      </c>
      <c r="J324" s="4">
        <f t="shared" si="164"/>
        <v>876.86300000000017</v>
      </c>
      <c r="K324" s="4">
        <f t="shared" si="164"/>
        <v>1077.5919999999999</v>
      </c>
      <c r="L324" s="4">
        <f t="shared" si="164"/>
        <v>1076.4199999999998</v>
      </c>
      <c r="M324" s="3">
        <f t="shared" si="153"/>
        <v>-0.10876101530078452</v>
      </c>
      <c r="N324" s="4">
        <f t="shared" si="155"/>
        <v>-1.1720000000000255</v>
      </c>
      <c r="O324" s="21"/>
      <c r="P324" s="21"/>
      <c r="Q324" s="22"/>
    </row>
    <row r="325" spans="2:17" s="14" customFormat="1" ht="11.25" customHeight="1">
      <c r="B325" s="8" t="s">
        <v>8</v>
      </c>
      <c r="C325" s="4">
        <f t="shared" ref="C325:L325" si="165">SUM(C247,C265,C285,C305)</f>
        <v>7296.6786999999986</v>
      </c>
      <c r="D325" s="4">
        <f t="shared" si="165"/>
        <v>7238.2111999999979</v>
      </c>
      <c r="E325" s="4">
        <f t="shared" si="165"/>
        <v>7178.9416999999994</v>
      </c>
      <c r="F325" s="4">
        <f t="shared" si="165"/>
        <v>7168.8631999999989</v>
      </c>
      <c r="G325" s="4">
        <f t="shared" si="165"/>
        <v>6147.1016100000006</v>
      </c>
      <c r="H325" s="4">
        <f t="shared" si="165"/>
        <v>5965.8286099999996</v>
      </c>
      <c r="I325" s="4">
        <f t="shared" si="165"/>
        <v>5801.7436100000014</v>
      </c>
      <c r="J325" s="4">
        <f t="shared" si="165"/>
        <v>5727.9105000000009</v>
      </c>
      <c r="K325" s="4">
        <f t="shared" si="165"/>
        <v>5677.7165000000005</v>
      </c>
      <c r="L325" s="4">
        <f t="shared" si="165"/>
        <v>5666.259500000001</v>
      </c>
      <c r="M325" s="3">
        <f t="shared" si="153"/>
        <v>-0.20178887057850092</v>
      </c>
      <c r="N325" s="4">
        <f t="shared" si="155"/>
        <v>-11.456999999999425</v>
      </c>
      <c r="O325" s="21"/>
      <c r="P325" s="21"/>
      <c r="Q325" s="22"/>
    </row>
    <row r="326" spans="2:17" s="14" customFormat="1" ht="11.25" customHeight="1">
      <c r="B326" s="8" t="s">
        <v>9</v>
      </c>
      <c r="C326" s="4">
        <f t="shared" ref="C326:L326" si="166">SUM(C248,C266,C307)</f>
        <v>0</v>
      </c>
      <c r="D326" s="4">
        <f t="shared" si="166"/>
        <v>0</v>
      </c>
      <c r="E326" s="4">
        <f t="shared" si="166"/>
        <v>0</v>
      </c>
      <c r="F326" s="4">
        <f t="shared" si="166"/>
        <v>0</v>
      </c>
      <c r="G326" s="4">
        <f t="shared" si="166"/>
        <v>508.07149999999996</v>
      </c>
      <c r="H326" s="4">
        <f t="shared" si="166"/>
        <v>496.13949999999994</v>
      </c>
      <c r="I326" s="4">
        <f t="shared" si="166"/>
        <v>496.13949999999994</v>
      </c>
      <c r="J326" s="4">
        <f t="shared" si="166"/>
        <v>489.61150000000004</v>
      </c>
      <c r="K326" s="4">
        <f t="shared" si="166"/>
        <v>489.61150000000004</v>
      </c>
      <c r="L326" s="4">
        <f t="shared" si="166"/>
        <v>479.93149999999997</v>
      </c>
      <c r="M326" s="3">
        <f t="shared" si="153"/>
        <v>-1.9770777442931875</v>
      </c>
      <c r="N326" s="4">
        <f t="shared" si="155"/>
        <v>-9.6800000000000637</v>
      </c>
      <c r="O326" s="21"/>
      <c r="P326" s="21"/>
      <c r="Q326" s="22"/>
    </row>
    <row r="327" spans="2:17" s="14" customFormat="1" ht="11.25" customHeight="1">
      <c r="B327" s="8" t="s">
        <v>10</v>
      </c>
      <c r="C327" s="4">
        <f t="shared" ref="C327:L327" si="167">SUM(C249,C267,C307)</f>
        <v>0</v>
      </c>
      <c r="D327" s="4">
        <f t="shared" si="167"/>
        <v>0</v>
      </c>
      <c r="E327" s="4">
        <f t="shared" si="167"/>
        <v>0</v>
      </c>
      <c r="F327" s="4">
        <f t="shared" si="167"/>
        <v>0</v>
      </c>
      <c r="G327" s="4">
        <f t="shared" si="167"/>
        <v>160.27550000000002</v>
      </c>
      <c r="H327" s="4">
        <f t="shared" si="167"/>
        <v>160.27550000000002</v>
      </c>
      <c r="I327" s="4">
        <f t="shared" si="167"/>
        <v>160.27550000000002</v>
      </c>
      <c r="J327" s="4">
        <f t="shared" si="167"/>
        <v>160.27550000000002</v>
      </c>
      <c r="K327" s="4">
        <f t="shared" si="167"/>
        <v>160.27550000000002</v>
      </c>
      <c r="L327" s="4">
        <f t="shared" si="167"/>
        <v>160.27550000000002</v>
      </c>
      <c r="M327" s="3">
        <f t="shared" si="153"/>
        <v>0</v>
      </c>
      <c r="N327" s="4">
        <f t="shared" si="155"/>
        <v>0</v>
      </c>
      <c r="O327" s="21"/>
      <c r="P327" s="21"/>
      <c r="Q327" s="22"/>
    </row>
    <row r="328" spans="2:17" s="14" customFormat="1" ht="11.25" customHeight="1">
      <c r="B328" s="42" t="s">
        <v>87</v>
      </c>
      <c r="C328" s="43">
        <f>SUM(C314,C320:C324,C327)</f>
        <v>43989.890140000083</v>
      </c>
      <c r="D328" s="43">
        <f t="shared" ref="D328" si="168">SUM(D314,D320:D324,D327)</f>
        <v>47141.856380000085</v>
      </c>
      <c r="E328" s="43">
        <f t="shared" ref="E328" si="169">SUM(E314,E320:E324,E327)</f>
        <v>47882.907120000134</v>
      </c>
      <c r="F328" s="43">
        <f t="shared" ref="F328" si="170">SUM(F314,F320:F324,F327)</f>
        <v>47963.796160000136</v>
      </c>
      <c r="G328" s="43">
        <f t="shared" ref="G328" si="171">SUM(G314,G320:G324,G327)</f>
        <v>48018.615051000124</v>
      </c>
      <c r="H328" s="43">
        <f t="shared" ref="H328" si="172">SUM(H314,H320:H324,H327)</f>
        <v>48061.662746000133</v>
      </c>
      <c r="I328" s="43">
        <f t="shared" ref="I328" si="173">SUM(I314,I320:I324,I327)</f>
        <v>48143.47409000012</v>
      </c>
      <c r="J328" s="43">
        <f t="shared" ref="J328" si="174">SUM(J314,J320:J324,J327)</f>
        <v>48656.99090500013</v>
      </c>
      <c r="K328" s="43">
        <f t="shared" ref="K328" si="175">SUM(K314,K320:K324,K327)</f>
        <v>55426.499010000123</v>
      </c>
      <c r="L328" s="43">
        <f>SUM(L314,L320:L324,L327)</f>
        <v>58130.817646000134</v>
      </c>
      <c r="M328" s="44">
        <f>((L328/K328)-1)*100</f>
        <v>4.8791077991631626</v>
      </c>
      <c r="N328" s="43">
        <f>SUM(N314,N320:N324,N327)</f>
        <v>2704.3186360000041</v>
      </c>
      <c r="O328" s="21"/>
      <c r="P328" s="21"/>
      <c r="Q328" s="22"/>
    </row>
    <row r="329" spans="2:17" s="14" customFormat="1" ht="11.25" customHeight="1">
      <c r="B329" s="42" t="s">
        <v>88</v>
      </c>
      <c r="C329" s="43">
        <f>SUM(C315:C319,C325:C326)</f>
        <v>58908.418700000002</v>
      </c>
      <c r="D329" s="43">
        <f t="shared" ref="D329:L329" si="176">SUM(D315:D319,D325:D326)</f>
        <v>58101.011200000001</v>
      </c>
      <c r="E329" s="43">
        <f t="shared" si="176"/>
        <v>57946.971699999995</v>
      </c>
      <c r="F329" s="43">
        <f t="shared" si="176"/>
        <v>57794.263200000001</v>
      </c>
      <c r="G329" s="43">
        <f t="shared" si="176"/>
        <v>57652.983109999994</v>
      </c>
      <c r="H329" s="43">
        <f t="shared" si="176"/>
        <v>56527.628109999998</v>
      </c>
      <c r="I329" s="43">
        <f t="shared" si="176"/>
        <v>55908.253109999998</v>
      </c>
      <c r="J329" s="43">
        <f t="shared" si="176"/>
        <v>55468.057000000001</v>
      </c>
      <c r="K329" s="43">
        <f t="shared" si="176"/>
        <v>55028.423000000003</v>
      </c>
      <c r="L329" s="43">
        <f t="shared" si="176"/>
        <v>51542.916000000005</v>
      </c>
      <c r="M329" s="44">
        <f t="shared" ref="M329:M330" si="177">((L329/K329)-1)*100</f>
        <v>-6.3340121522290405</v>
      </c>
      <c r="N329" s="43">
        <f t="shared" ref="N329" si="178">SUM(N315:N319,N325:N326)</f>
        <v>-3485.5069999999978</v>
      </c>
      <c r="O329" s="21"/>
      <c r="P329" s="21"/>
      <c r="Q329" s="22"/>
    </row>
    <row r="330" spans="2:17" s="14" customFormat="1" ht="11.25" customHeight="1">
      <c r="B330" s="31" t="s">
        <v>25</v>
      </c>
      <c r="C330" s="43">
        <f t="shared" ref="C330:L330" si="179">SUM(C328:C329)</f>
        <v>102898.30884000009</v>
      </c>
      <c r="D330" s="43">
        <f t="shared" si="179"/>
        <v>105242.86758000008</v>
      </c>
      <c r="E330" s="43">
        <f t="shared" si="179"/>
        <v>105829.87882000013</v>
      </c>
      <c r="F330" s="43">
        <f t="shared" si="179"/>
        <v>105758.05936000013</v>
      </c>
      <c r="G330" s="43">
        <f t="shared" si="179"/>
        <v>105671.59816100012</v>
      </c>
      <c r="H330" s="43">
        <f t="shared" si="179"/>
        <v>104589.29085600012</v>
      </c>
      <c r="I330" s="43">
        <f t="shared" si="179"/>
        <v>104051.72720000011</v>
      </c>
      <c r="J330" s="43">
        <f t="shared" si="179"/>
        <v>104125.04790500013</v>
      </c>
      <c r="K330" s="43">
        <f t="shared" si="179"/>
        <v>110454.92201000013</v>
      </c>
      <c r="L330" s="43">
        <f t="shared" si="179"/>
        <v>109673.73364600014</v>
      </c>
      <c r="M330" s="44">
        <f t="shared" si="177"/>
        <v>-0.70724631350449485</v>
      </c>
      <c r="N330" s="43">
        <f t="shared" ref="N330" si="180">SUM(N328:N329)</f>
        <v>-781.18836399999373</v>
      </c>
      <c r="O330" s="21"/>
      <c r="P330" s="21"/>
      <c r="Q330" s="22"/>
    </row>
    <row r="331" spans="2:17" s="14" customFormat="1" ht="11.25" customHeight="1">
      <c r="B331" s="20"/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21"/>
      <c r="N331" s="22"/>
      <c r="O331" s="21"/>
      <c r="P331" s="21"/>
      <c r="Q331" s="22"/>
    </row>
    <row r="332" spans="2:17">
      <c r="B332" s="13" t="s">
        <v>135</v>
      </c>
    </row>
    <row r="333" spans="2:17">
      <c r="B333" s="55"/>
      <c r="C333" s="56">
        <v>2011</v>
      </c>
      <c r="D333" s="56">
        <v>2012</v>
      </c>
      <c r="E333" s="56">
        <v>2013</v>
      </c>
      <c r="F333" s="56">
        <v>2014</v>
      </c>
      <c r="G333" s="56">
        <v>2015</v>
      </c>
      <c r="H333" s="56">
        <v>2016</v>
      </c>
      <c r="I333" s="56">
        <v>2017</v>
      </c>
      <c r="J333" s="56">
        <v>2018</v>
      </c>
      <c r="K333" s="56">
        <v>2019</v>
      </c>
      <c r="L333" s="56">
        <v>2020</v>
      </c>
    </row>
    <row r="334" spans="2:17">
      <c r="B334" s="40" t="s">
        <v>1</v>
      </c>
      <c r="C334" s="3">
        <f t="shared" ref="C334:C344" si="181">C237/$C$252*100</f>
        <v>17.103957578839204</v>
      </c>
      <c r="D334" s="3">
        <f>D237/$D$252*100</f>
        <v>16.93731794233447</v>
      </c>
      <c r="E334" s="3">
        <f>E237/$E$252*100</f>
        <v>16.879460067775458</v>
      </c>
      <c r="F334" s="3">
        <f>F237/$F$252*100</f>
        <v>16.899766227388096</v>
      </c>
      <c r="G334" s="3">
        <f>G237/$G$252*100</f>
        <v>16.942471354128948</v>
      </c>
      <c r="H334" s="3">
        <f>H237/$H$252*100</f>
        <v>17.131175878712085</v>
      </c>
      <c r="I334" s="3">
        <f>I237/$I$252*100</f>
        <v>17.231125927788085</v>
      </c>
      <c r="J334" s="3">
        <f>J237/$J$252*100</f>
        <v>17.274295915703384</v>
      </c>
      <c r="K334" s="3">
        <f>K237/$K$252*100</f>
        <v>16.264975060399593</v>
      </c>
      <c r="L334" s="3">
        <f>L237/$L$252*100</f>
        <v>16.35339601558573</v>
      </c>
    </row>
    <row r="335" spans="2:17">
      <c r="B335" s="40" t="s">
        <v>18</v>
      </c>
      <c r="C335" s="3">
        <f t="shared" si="181"/>
        <v>2.5096803407839787</v>
      </c>
      <c r="D335" s="3">
        <f t="shared" ref="D335:D344" si="182">D238/$D$252*100</f>
        <v>2.4524950125559419</v>
      </c>
      <c r="E335" s="3">
        <f t="shared" ref="E335:E344" si="183">E238/$E$252*100</f>
        <v>2.4357662332458432</v>
      </c>
      <c r="F335" s="3">
        <f t="shared" ref="F335:F344" si="184">F238/$F$252*100</f>
        <v>2.437802292180169</v>
      </c>
      <c r="G335" s="3">
        <f t="shared" ref="G335:G346" si="185">G238/$G$252*100</f>
        <v>3.3129046773368596</v>
      </c>
      <c r="H335" s="3">
        <f t="shared" ref="H335:H346" si="186">H238/$H$252*100</f>
        <v>3.3489971184485947</v>
      </c>
      <c r="I335" s="3">
        <f t="shared" ref="I335:I346" si="187">I238/$I$252*100</f>
        <v>3.3690977987599582</v>
      </c>
      <c r="J335" s="3">
        <f t="shared" ref="J335:J346" si="188">J238/$J$252*100</f>
        <v>3.373810813591207</v>
      </c>
      <c r="K335" s="3">
        <f t="shared" ref="K335:K346" si="189">K238/$K$252*100</f>
        <v>3.169530818587702</v>
      </c>
      <c r="L335" s="3">
        <f t="shared" ref="L335:L346" si="190">L238/$L$252*100</f>
        <v>3.1867808626252554</v>
      </c>
    </row>
    <row r="336" spans="2:17">
      <c r="B336" s="40" t="s">
        <v>2</v>
      </c>
      <c r="C336" s="3">
        <f t="shared" si="181"/>
        <v>7.7540678902845217</v>
      </c>
      <c r="D336" s="3">
        <f t="shared" si="182"/>
        <v>7.5773844656257916</v>
      </c>
      <c r="E336" s="3">
        <f t="shared" si="183"/>
        <v>7.5256981658273201</v>
      </c>
      <c r="F336" s="3">
        <f t="shared" si="184"/>
        <v>7.5319889029179441</v>
      </c>
      <c r="G336" s="3">
        <f t="shared" si="185"/>
        <v>7.5362164870294759</v>
      </c>
      <c r="H336" s="3">
        <f t="shared" si="186"/>
        <v>7.6183198000599166</v>
      </c>
      <c r="I336" s="3">
        <f t="shared" si="187"/>
        <v>7.203255761571052</v>
      </c>
      <c r="J336" s="3">
        <f t="shared" si="188"/>
        <v>7.2133323616774838</v>
      </c>
      <c r="K336" s="3">
        <f t="shared" si="189"/>
        <v>6.7765741733208555</v>
      </c>
      <c r="L336" s="3">
        <f t="shared" si="190"/>
        <v>6.8134554057821388</v>
      </c>
    </row>
    <row r="337" spans="2:12">
      <c r="B337" s="40" t="s">
        <v>3</v>
      </c>
      <c r="C337" s="3">
        <f t="shared" si="181"/>
        <v>11.369498885757068</v>
      </c>
      <c r="D337" s="3">
        <f t="shared" si="182"/>
        <v>10.602192355049944</v>
      </c>
      <c r="E337" s="3">
        <f t="shared" si="183"/>
        <v>10.544681211390202</v>
      </c>
      <c r="F337" s="3">
        <f t="shared" si="184"/>
        <v>10.411908553692809</v>
      </c>
      <c r="G337" s="3">
        <f t="shared" si="185"/>
        <v>10.41775259033966</v>
      </c>
      <c r="H337" s="3">
        <f t="shared" si="186"/>
        <v>9.5934684389993041</v>
      </c>
      <c r="I337" s="3">
        <f t="shared" si="187"/>
        <v>9.6510484354427799</v>
      </c>
      <c r="J337" s="3">
        <f t="shared" si="188"/>
        <v>9.6909152934808755</v>
      </c>
      <c r="K337" s="3">
        <f t="shared" si="189"/>
        <v>8.7739063538213937</v>
      </c>
      <c r="L337" s="3">
        <f t="shared" si="190"/>
        <v>5.7226816293617233</v>
      </c>
    </row>
    <row r="338" spans="2:12">
      <c r="B338" s="40" t="s">
        <v>20</v>
      </c>
      <c r="C338" s="3">
        <f t="shared" si="181"/>
        <v>0.82584942448574628</v>
      </c>
      <c r="D338" s="3">
        <f t="shared" si="182"/>
        <v>0.50584072998412033</v>
      </c>
      <c r="E338" s="3">
        <f t="shared" si="183"/>
        <v>0.50239032625459568</v>
      </c>
      <c r="F338" s="3">
        <f t="shared" si="184"/>
        <v>0.50281027472843853</v>
      </c>
      <c r="G338" s="3">
        <f t="shared" si="185"/>
        <v>0</v>
      </c>
      <c r="H338" s="3">
        <f t="shared" si="186"/>
        <v>0</v>
      </c>
      <c r="I338" s="3">
        <f t="shared" si="187"/>
        <v>0</v>
      </c>
      <c r="J338" s="3">
        <f t="shared" si="188"/>
        <v>0</v>
      </c>
      <c r="K338" s="3">
        <f t="shared" si="189"/>
        <v>0</v>
      </c>
      <c r="L338" s="3">
        <f t="shared" si="190"/>
        <v>0</v>
      </c>
    </row>
    <row r="339" spans="2:12">
      <c r="B339" s="40" t="s">
        <v>21</v>
      </c>
      <c r="C339" s="3">
        <f t="shared" si="181"/>
        <v>25.508775831280438</v>
      </c>
      <c r="D339" s="3">
        <f t="shared" si="182"/>
        <v>24.963538213784101</v>
      </c>
      <c r="E339" s="3">
        <f t="shared" si="183"/>
        <v>24.793258755746635</v>
      </c>
      <c r="F339" s="3">
        <f t="shared" si="184"/>
        <v>24.813983460487048</v>
      </c>
      <c r="G339" s="3">
        <f t="shared" si="185"/>
        <v>24.827911149915895</v>
      </c>
      <c r="H339" s="3">
        <f t="shared" si="186"/>
        <v>25.098398836216028</v>
      </c>
      <c r="I339" s="3">
        <f t="shared" si="187"/>
        <v>25.249039423081506</v>
      </c>
      <c r="J339" s="3">
        <f t="shared" si="188"/>
        <v>24.893303434452122</v>
      </c>
      <c r="K339" s="3">
        <f t="shared" si="189"/>
        <v>23.38604526789306</v>
      </c>
      <c r="L339" s="3">
        <f t="shared" si="190"/>
        <v>23.513322878941853</v>
      </c>
    </row>
    <row r="340" spans="2:12">
      <c r="B340" s="40" t="s">
        <v>5</v>
      </c>
      <c r="C340" s="3">
        <f t="shared" si="181"/>
        <v>21.521816476186064</v>
      </c>
      <c r="D340" s="3">
        <f t="shared" si="182"/>
        <v>22.623046267141714</v>
      </c>
      <c r="E340" s="3">
        <f t="shared" si="183"/>
        <v>22.711491313632116</v>
      </c>
      <c r="F340" s="3">
        <f t="shared" si="184"/>
        <v>22.748847360384843</v>
      </c>
      <c r="G340" s="3">
        <f t="shared" si="185"/>
        <v>22.691016177817065</v>
      </c>
      <c r="H340" s="3">
        <f t="shared" si="186"/>
        <v>22.984554629867954</v>
      </c>
      <c r="I340" s="3">
        <f t="shared" si="187"/>
        <v>23.148379280390511</v>
      </c>
      <c r="J340" s="3">
        <f t="shared" si="188"/>
        <v>23.436991275778478</v>
      </c>
      <c r="K340" s="3">
        <f t="shared" si="189"/>
        <v>24.222668144104762</v>
      </c>
      <c r="L340" s="3">
        <f t="shared" si="190"/>
        <v>25.478744695792827</v>
      </c>
    </row>
    <row r="341" spans="2:12">
      <c r="B341" s="40" t="s">
        <v>6</v>
      </c>
      <c r="C341" s="3">
        <f t="shared" si="181"/>
        <v>4.1286936276017832</v>
      </c>
      <c r="D341" s="3">
        <f t="shared" si="182"/>
        <v>4.2963153229084252</v>
      </c>
      <c r="E341" s="3">
        <f t="shared" si="183"/>
        <v>4.3692814424449287</v>
      </c>
      <c r="F341" s="3">
        <f t="shared" si="184"/>
        <v>4.3790651252004844</v>
      </c>
      <c r="G341" s="3">
        <f t="shared" si="185"/>
        <v>4.4110324669263283</v>
      </c>
      <c r="H341" s="3">
        <f t="shared" si="186"/>
        <v>4.4630984774312372</v>
      </c>
      <c r="I341" s="3">
        <f t="shared" si="187"/>
        <v>4.4917951524238191</v>
      </c>
      <c r="J341" s="3">
        <f t="shared" si="188"/>
        <v>4.5242302040060567</v>
      </c>
      <c r="K341" s="3">
        <f t="shared" si="189"/>
        <v>8.2507022015984095</v>
      </c>
      <c r="L341" s="3">
        <f t="shared" si="190"/>
        <v>9.747548194438993</v>
      </c>
    </row>
    <row r="342" spans="2:12">
      <c r="B342" s="40" t="s">
        <v>7</v>
      </c>
      <c r="C342" s="3">
        <f t="shared" si="181"/>
        <v>1.0224509836550952</v>
      </c>
      <c r="D342" s="3">
        <f t="shared" si="182"/>
        <v>1.9511571376219259</v>
      </c>
      <c r="E342" s="3">
        <f t="shared" si="183"/>
        <v>2.2851917469611283</v>
      </c>
      <c r="F342" s="3">
        <f t="shared" si="184"/>
        <v>2.2871019405624438</v>
      </c>
      <c r="G342" s="3">
        <f t="shared" si="185"/>
        <v>2.2929491344997666</v>
      </c>
      <c r="H342" s="3">
        <f t="shared" si="186"/>
        <v>2.3179296696100207</v>
      </c>
      <c r="I342" s="3">
        <f t="shared" si="187"/>
        <v>2.331841883214623</v>
      </c>
      <c r="J342" s="3">
        <f t="shared" si="188"/>
        <v>2.3351038856960478</v>
      </c>
      <c r="K342" s="3">
        <f t="shared" si="189"/>
        <v>2.1937162867883004</v>
      </c>
      <c r="L342" s="3">
        <f t="shared" si="190"/>
        <v>2.2056554994727375</v>
      </c>
    </row>
    <row r="343" spans="2:12">
      <c r="B343" s="8" t="s">
        <v>22</v>
      </c>
      <c r="C343" s="3">
        <f t="shared" si="181"/>
        <v>0.90408036941490211</v>
      </c>
      <c r="D343" s="3">
        <f t="shared" si="182"/>
        <v>0.96904683734507224</v>
      </c>
      <c r="E343" s="3">
        <f t="shared" si="183"/>
        <v>0.93859536811318389</v>
      </c>
      <c r="F343" s="3">
        <f t="shared" si="184"/>
        <v>0.9767018072003556</v>
      </c>
      <c r="G343" s="3">
        <f t="shared" si="185"/>
        <v>0.87206016293737998</v>
      </c>
      <c r="H343" s="3">
        <f t="shared" si="186"/>
        <v>0.86979719476543027</v>
      </c>
      <c r="I343" s="3">
        <f t="shared" si="187"/>
        <v>0.87676456481396214</v>
      </c>
      <c r="J343" s="3">
        <f t="shared" si="188"/>
        <v>0.88279097526143691</v>
      </c>
      <c r="K343" s="3">
        <f t="shared" si="189"/>
        <v>1.0204588818838911</v>
      </c>
      <c r="L343" s="3">
        <f t="shared" si="190"/>
        <v>1.0248907205829636</v>
      </c>
    </row>
    <row r="344" spans="2:12">
      <c r="B344" s="8" t="s">
        <v>8</v>
      </c>
      <c r="C344" s="3">
        <f t="shared" si="181"/>
        <v>7.3511285917111868</v>
      </c>
      <c r="D344" s="3">
        <f t="shared" si="182"/>
        <v>7.1216657156484953</v>
      </c>
      <c r="E344" s="3">
        <f t="shared" si="183"/>
        <v>7.0141853686085902</v>
      </c>
      <c r="F344" s="3">
        <f t="shared" si="184"/>
        <v>7.010024055257345</v>
      </c>
      <c r="G344" s="3">
        <f t="shared" si="185"/>
        <v>6.1071465997622951</v>
      </c>
      <c r="H344" s="3">
        <f t="shared" si="186"/>
        <v>5.9913129875925648</v>
      </c>
      <c r="I344" s="3">
        <f t="shared" si="187"/>
        <v>5.8612059565816415</v>
      </c>
      <c r="J344" s="3">
        <f t="shared" si="188"/>
        <v>5.7945757385135845</v>
      </c>
      <c r="K344" s="3">
        <f t="shared" si="189"/>
        <v>5.3959303420237292</v>
      </c>
      <c r="L344" s="3">
        <f t="shared" si="190"/>
        <v>5.4143295712271051</v>
      </c>
    </row>
    <row r="345" spans="2:12">
      <c r="B345" s="40" t="s">
        <v>9</v>
      </c>
      <c r="C345" s="3" t="str">
        <f>IF(C248="-","-",ROUND((C248/$C$252*100),1))</f>
        <v>-</v>
      </c>
      <c r="D345" s="3" t="str">
        <f>IF(D248="-","-",ROUND((D248/$D$252*100),1))</f>
        <v>-</v>
      </c>
      <c r="E345" s="3" t="str">
        <f>IF(E248="-","-",ROUND((E248/$E$252*100),1))</f>
        <v>-</v>
      </c>
      <c r="F345" s="3" t="str">
        <f>IF(F248="-","-",ROUND((F248/$F$252*100),1))</f>
        <v>-</v>
      </c>
      <c r="G345" s="3">
        <f t="shared" si="185"/>
        <v>0.46733254182893469</v>
      </c>
      <c r="H345" s="3">
        <f t="shared" si="186"/>
        <v>0.4604198248491691</v>
      </c>
      <c r="I345" s="3">
        <f t="shared" si="187"/>
        <v>0.46318326458380649</v>
      </c>
      <c r="J345" s="3">
        <f t="shared" si="188"/>
        <v>0.45721511909626544</v>
      </c>
      <c r="K345" s="3">
        <f t="shared" si="189"/>
        <v>0.42953131955769741</v>
      </c>
      <c r="L345" s="3">
        <f t="shared" si="190"/>
        <v>0.42260226227173692</v>
      </c>
    </row>
    <row r="346" spans="2:12">
      <c r="B346" s="41" t="s">
        <v>10</v>
      </c>
      <c r="C346" s="3" t="str">
        <f>IF(C249="-","-",ROUND((C249/$C$252*100),1))</f>
        <v>-</v>
      </c>
      <c r="D346" s="3" t="str">
        <f>IF(D249="-","-",ROUND((D249/$D$252*100),1))</f>
        <v>-</v>
      </c>
      <c r="E346" s="3" t="str">
        <f>IF(E249="-","-",ROUND((E249/$E$252*100),1))</f>
        <v>-</v>
      </c>
      <c r="F346" s="3" t="str">
        <f>IF(F249="-","-",ROUND((F249/$F$252*100),1))</f>
        <v>-</v>
      </c>
      <c r="G346" s="3">
        <f t="shared" si="185"/>
        <v>0.12120665747737897</v>
      </c>
      <c r="H346" s="3">
        <f t="shared" si="186"/>
        <v>0.12252714344767536</v>
      </c>
      <c r="I346" s="3">
        <f t="shared" si="187"/>
        <v>0.12326255134824925</v>
      </c>
      <c r="J346" s="3">
        <f t="shared" si="188"/>
        <v>0.12343498274304451</v>
      </c>
      <c r="K346" s="3">
        <f t="shared" si="189"/>
        <v>0.11596115002058466</v>
      </c>
      <c r="L346" s="3">
        <f t="shared" si="190"/>
        <v>0.1165922639169284</v>
      </c>
    </row>
    <row r="347" spans="2:12">
      <c r="B347" s="42" t="s">
        <v>39</v>
      </c>
      <c r="C347" s="44">
        <f>SUM(C334,C340:C343,C346)</f>
        <v>44.680999035697049</v>
      </c>
      <c r="D347" s="44">
        <f t="shared" ref="D347:G347" si="191">SUM(D334,D340:D343,D346)</f>
        <v>46.776883507351613</v>
      </c>
      <c r="E347" s="44">
        <f t="shared" si="191"/>
        <v>47.184019938926816</v>
      </c>
      <c r="F347" s="44">
        <f t="shared" si="191"/>
        <v>47.291482460736226</v>
      </c>
      <c r="G347" s="44">
        <f t="shared" si="191"/>
        <v>47.330735953786871</v>
      </c>
      <c r="H347" s="44">
        <f>SUM(H334,H340:H343,H346)</f>
        <v>47.889082993834414</v>
      </c>
      <c r="I347" s="44">
        <f t="shared" ref="I347:K347" si="192">SUM(I334,I340:I343,I346)</f>
        <v>48.203169359979249</v>
      </c>
      <c r="J347" s="44">
        <f t="shared" si="192"/>
        <v>48.576847239188446</v>
      </c>
      <c r="K347" s="44">
        <f t="shared" si="192"/>
        <v>52.068481724795532</v>
      </c>
      <c r="L347" s="44">
        <f>SUM(L334,L340:L343,L346)</f>
        <v>54.926827389790184</v>
      </c>
    </row>
    <row r="348" spans="2:12">
      <c r="B348" s="42" t="s">
        <v>40</v>
      </c>
      <c r="C348" s="44">
        <f>SUM(C335:C339,C344:C345)</f>
        <v>55.319000964302944</v>
      </c>
      <c r="D348" s="44">
        <f t="shared" ref="D348:G348" si="193">SUM(D335:D339,D344:D345)</f>
        <v>53.223116492648394</v>
      </c>
      <c r="E348" s="44">
        <f t="shared" si="193"/>
        <v>52.815980061073191</v>
      </c>
      <c r="F348" s="44">
        <f t="shared" si="193"/>
        <v>52.708517539263752</v>
      </c>
      <c r="G348" s="44">
        <f t="shared" si="193"/>
        <v>52.669264046213122</v>
      </c>
      <c r="H348" s="44">
        <f>SUM(H335:H339,H344:H345)</f>
        <v>52.110917006165579</v>
      </c>
      <c r="I348" s="44">
        <f t="shared" ref="I348:L348" si="194">SUM(I335:I339,I344:I345)</f>
        <v>51.796830640020744</v>
      </c>
      <c r="J348" s="44">
        <f t="shared" si="194"/>
        <v>51.42315276081154</v>
      </c>
      <c r="K348" s="44">
        <f t="shared" si="194"/>
        <v>47.931518275204439</v>
      </c>
      <c r="L348" s="44">
        <f t="shared" si="194"/>
        <v>45.073172610209816</v>
      </c>
    </row>
    <row r="349" spans="2:12">
      <c r="B349" s="42" t="s">
        <v>41</v>
      </c>
      <c r="C349" s="44">
        <f>SUM(C347:C348)</f>
        <v>100</v>
      </c>
      <c r="D349" s="44">
        <f t="shared" ref="D349:G349" si="195">SUM(D347:D348)</f>
        <v>100</v>
      </c>
      <c r="E349" s="44">
        <f t="shared" si="195"/>
        <v>100</v>
      </c>
      <c r="F349" s="44">
        <f t="shared" si="195"/>
        <v>99.999999999999972</v>
      </c>
      <c r="G349" s="44">
        <f t="shared" si="195"/>
        <v>100</v>
      </c>
      <c r="H349" s="44">
        <f>SUM(H347:H348)</f>
        <v>100</v>
      </c>
      <c r="I349" s="44">
        <f t="shared" ref="I349:L349" si="196">SUM(I347:I348)</f>
        <v>100</v>
      </c>
      <c r="J349" s="44">
        <f t="shared" si="196"/>
        <v>99.999999999999986</v>
      </c>
      <c r="K349" s="44">
        <f t="shared" si="196"/>
        <v>99.999999999999972</v>
      </c>
      <c r="L349" s="44">
        <f t="shared" si="196"/>
        <v>100</v>
      </c>
    </row>
    <row r="350" spans="2:12">
      <c r="B350" s="45" t="s">
        <v>42</v>
      </c>
    </row>
    <row r="351" spans="2:12">
      <c r="B351" s="45" t="s">
        <v>43</v>
      </c>
    </row>
    <row r="352" spans="2:12">
      <c r="B352" s="45"/>
    </row>
    <row r="353" spans="2:14">
      <c r="B353" s="13" t="s">
        <v>134</v>
      </c>
    </row>
    <row r="354" spans="2:14">
      <c r="B354" s="55"/>
      <c r="C354" s="56">
        <v>2011</v>
      </c>
      <c r="D354" s="56">
        <v>2012</v>
      </c>
      <c r="E354" s="56">
        <v>2013</v>
      </c>
      <c r="F354" s="56">
        <v>2014</v>
      </c>
      <c r="G354" s="56">
        <v>2015</v>
      </c>
      <c r="H354" s="56">
        <v>2016</v>
      </c>
      <c r="I354" s="56">
        <v>2017</v>
      </c>
      <c r="J354" s="56">
        <v>2018</v>
      </c>
      <c r="K354" s="56">
        <v>2019</v>
      </c>
      <c r="L354" s="56">
        <v>2020</v>
      </c>
      <c r="M354" s="93" t="s">
        <v>117</v>
      </c>
    </row>
    <row r="355" spans="2:14">
      <c r="B355" s="87" t="s">
        <v>59</v>
      </c>
      <c r="C355" s="4">
        <v>5.6000000000000006E-4</v>
      </c>
      <c r="D355" s="4">
        <v>1.58E-3</v>
      </c>
      <c r="E355" s="4">
        <v>1.1000000000000001E-3</v>
      </c>
      <c r="F355" s="4">
        <v>5.5999999999999999E-3</v>
      </c>
      <c r="G355" s="4">
        <v>6.2300000000000003E-3</v>
      </c>
      <c r="H355" s="4">
        <v>3.9700000000000004E-3</v>
      </c>
      <c r="I355" s="4">
        <v>1.711E-2</v>
      </c>
      <c r="J355" s="4">
        <v>7.8899999999999994E-3</v>
      </c>
      <c r="K355" s="4">
        <v>1.472E-2</v>
      </c>
      <c r="L355" s="4">
        <v>1.2889999999999997E-2</v>
      </c>
      <c r="M355" s="3">
        <f>((L355/K355)-1)*100</f>
        <v>-12.43206521739133</v>
      </c>
    </row>
    <row r="356" spans="2:14">
      <c r="B356" s="87" t="s">
        <v>60</v>
      </c>
      <c r="C356" s="4">
        <v>3986.9997699999999</v>
      </c>
      <c r="D356" s="4">
        <v>4910.520955</v>
      </c>
      <c r="E356" s="4">
        <v>4879.0747929999998</v>
      </c>
      <c r="F356" s="4">
        <v>5962.7619610000002</v>
      </c>
      <c r="G356" s="4">
        <v>9130.8855050000002</v>
      </c>
      <c r="H356" s="4">
        <v>12135.331732999999</v>
      </c>
      <c r="I356" s="4">
        <v>15564.216642000001</v>
      </c>
      <c r="J356" s="4">
        <v>15513.896062999998</v>
      </c>
      <c r="K356" s="4">
        <v>12813.152964999999</v>
      </c>
      <c r="L356" s="4">
        <v>11640.055236814089</v>
      </c>
      <c r="M356" s="3">
        <f t="shared" ref="M356:M368" si="197">((L356/K356)-1)*100</f>
        <v>-9.1554181191023538</v>
      </c>
    </row>
    <row r="357" spans="2:14">
      <c r="B357" s="87" t="s">
        <v>61</v>
      </c>
      <c r="C357" s="4">
        <v>3929.8308790000001</v>
      </c>
      <c r="D357" s="4">
        <v>2870.6081570000001</v>
      </c>
      <c r="E357" s="4">
        <v>5323.46641</v>
      </c>
      <c r="F357" s="4">
        <v>6344.7284030000001</v>
      </c>
      <c r="G357" s="4">
        <v>5810.6983620000001</v>
      </c>
      <c r="H357" s="4">
        <v>9701.608037</v>
      </c>
      <c r="I357" s="4">
        <v>8190.1813360000006</v>
      </c>
      <c r="J357" s="4">
        <v>8324.1034359999994</v>
      </c>
      <c r="K357" s="4">
        <v>4699.957512</v>
      </c>
      <c r="L357" s="4">
        <v>6664.2927927007422</v>
      </c>
      <c r="M357" s="3">
        <f t="shared" si="197"/>
        <v>41.79474549898319</v>
      </c>
    </row>
    <row r="358" spans="2:14">
      <c r="B358" s="87" t="s">
        <v>62</v>
      </c>
      <c r="C358" s="4">
        <v>15.614409999999999</v>
      </c>
      <c r="D358" s="4">
        <v>4.6427500000000004</v>
      </c>
      <c r="E358" s="4">
        <v>1.1239300000000001</v>
      </c>
      <c r="F358" s="4">
        <v>2.5326</v>
      </c>
      <c r="G358" s="4">
        <v>14.139290000000001</v>
      </c>
      <c r="H358" s="4">
        <v>7.9168100000000008</v>
      </c>
      <c r="I358" s="4">
        <v>8.1806099999999997</v>
      </c>
      <c r="J358" s="4">
        <v>180.10076999999998</v>
      </c>
      <c r="K358" s="4">
        <v>1207.7143799999999</v>
      </c>
      <c r="L358" s="4">
        <v>382.50903684293974</v>
      </c>
      <c r="M358" s="3">
        <f>((L358/K358)-1)*100</f>
        <v>-68.327856057908349</v>
      </c>
    </row>
    <row r="359" spans="2:14">
      <c r="B359" s="2" t="s">
        <v>63</v>
      </c>
      <c r="C359" s="125">
        <f>SUM(C355:C358)</f>
        <v>7932.4456190000001</v>
      </c>
      <c r="D359" s="125">
        <f>SUM(D355:D358)</f>
        <v>7785.7734420000006</v>
      </c>
      <c r="E359" s="125">
        <f t="shared" ref="E359:L359" si="198">SUM(E355:E358)</f>
        <v>10203.666233</v>
      </c>
      <c r="F359" s="125">
        <f t="shared" si="198"/>
        <v>12310.028564000002</v>
      </c>
      <c r="G359" s="125">
        <f t="shared" si="198"/>
        <v>14955.729386999999</v>
      </c>
      <c r="H359" s="125">
        <f t="shared" si="198"/>
        <v>21844.860549999998</v>
      </c>
      <c r="I359" s="125">
        <f t="shared" si="198"/>
        <v>23762.595698000001</v>
      </c>
      <c r="J359" s="125">
        <f t="shared" si="198"/>
        <v>24018.108158999999</v>
      </c>
      <c r="K359" s="125">
        <f t="shared" si="198"/>
        <v>18720.839576999999</v>
      </c>
      <c r="L359" s="125">
        <f t="shared" si="198"/>
        <v>18686.869956357772</v>
      </c>
      <c r="M359" s="95">
        <f t="shared" si="197"/>
        <v>-0.18145351068528104</v>
      </c>
    </row>
    <row r="360" spans="2:14">
      <c r="B360" s="87" t="s">
        <v>59</v>
      </c>
      <c r="C360" s="4">
        <v>305.7133</v>
      </c>
      <c r="D360" s="4">
        <v>286.21886000000001</v>
      </c>
      <c r="E360" s="4">
        <v>287.39902000000001</v>
      </c>
      <c r="F360" s="4">
        <v>234.51143999999999</v>
      </c>
      <c r="G360" s="4">
        <v>264.05766</v>
      </c>
      <c r="H360" s="4">
        <v>278.28510999999997</v>
      </c>
      <c r="I360" s="4">
        <v>233.13106999999999</v>
      </c>
      <c r="J360" s="4">
        <v>210.44004000000001</v>
      </c>
      <c r="K360" s="4">
        <v>208.26219</v>
      </c>
      <c r="L360" s="4">
        <v>188.98045192111098</v>
      </c>
      <c r="M360" s="3">
        <f t="shared" si="197"/>
        <v>-9.2583959089688861</v>
      </c>
    </row>
    <row r="361" spans="2:14">
      <c r="B361" s="87" t="s">
        <v>60</v>
      </c>
      <c r="C361" s="4">
        <v>2462.5921660000004</v>
      </c>
      <c r="D361" s="4">
        <v>3027.7288429999999</v>
      </c>
      <c r="E361" s="4">
        <v>3171.2084360000003</v>
      </c>
      <c r="F361" s="4">
        <v>2395.2653879999998</v>
      </c>
      <c r="G361" s="4">
        <v>1806.6752649999999</v>
      </c>
      <c r="H361" s="4">
        <v>4333.8223339999995</v>
      </c>
      <c r="I361" s="4">
        <v>3099.0964599999998</v>
      </c>
      <c r="J361" s="4">
        <v>3467.2583050000003</v>
      </c>
      <c r="K361" s="4">
        <v>3116.2900370000002</v>
      </c>
      <c r="L361" s="4">
        <v>6357.5011298828686</v>
      </c>
      <c r="M361" s="3">
        <f t="shared" si="197"/>
        <v>104.00864664070637</v>
      </c>
    </row>
    <row r="362" spans="2:14">
      <c r="B362" s="87" t="s">
        <v>61</v>
      </c>
      <c r="C362" s="4">
        <v>6743.869447</v>
      </c>
      <c r="D362" s="4">
        <v>10767.619210000001</v>
      </c>
      <c r="E362" s="4">
        <v>8100.1192170000004</v>
      </c>
      <c r="F362" s="4">
        <v>7247.4240899999995</v>
      </c>
      <c r="G362" s="4">
        <v>8077.1108450000002</v>
      </c>
      <c r="H362" s="4">
        <v>4615.5146349999995</v>
      </c>
      <c r="I362" s="4">
        <v>5505.1060750000006</v>
      </c>
      <c r="J362" s="4">
        <v>5668.9747180000004</v>
      </c>
      <c r="K362" s="4">
        <v>8099.031121</v>
      </c>
      <c r="L362" s="4">
        <v>7603.3438077546944</v>
      </c>
      <c r="M362" s="3">
        <f t="shared" si="197"/>
        <v>-6.1203285410280301</v>
      </c>
    </row>
    <row r="363" spans="2:14">
      <c r="B363" s="87" t="s">
        <v>62</v>
      </c>
      <c r="C363" s="4">
        <v>4510.3970399999998</v>
      </c>
      <c r="D363" s="4">
        <v>4904.1601200000005</v>
      </c>
      <c r="E363" s="4">
        <v>5377.0720099999999</v>
      </c>
      <c r="F363" s="4">
        <v>5838.9516700000004</v>
      </c>
      <c r="G363" s="4">
        <v>4941.0487800000001</v>
      </c>
      <c r="H363" s="4">
        <v>4959.1947799999998</v>
      </c>
      <c r="I363" s="4">
        <v>5756.2685700000002</v>
      </c>
      <c r="J363" s="4">
        <v>3569.1239500000001</v>
      </c>
      <c r="K363" s="4">
        <v>434.93117999999998</v>
      </c>
      <c r="L363" s="4">
        <v>680.41597990069442</v>
      </c>
      <c r="M363" s="3">
        <f t="shared" si="197"/>
        <v>56.442216881460297</v>
      </c>
    </row>
    <row r="364" spans="2:14">
      <c r="B364" s="2" t="s">
        <v>64</v>
      </c>
      <c r="C364" s="125">
        <f>SUM(C360:C363)</f>
        <v>14022.571953000001</v>
      </c>
      <c r="D364" s="125">
        <f>SUM(D360:D363)</f>
        <v>18985.727033000003</v>
      </c>
      <c r="E364" s="125">
        <f t="shared" ref="E364:L364" si="199">SUM(E360:E363)</f>
        <v>16935.798683000001</v>
      </c>
      <c r="F364" s="125">
        <f t="shared" si="199"/>
        <v>15716.152587999999</v>
      </c>
      <c r="G364" s="125">
        <f t="shared" si="199"/>
        <v>15088.89255</v>
      </c>
      <c r="H364" s="125">
        <f t="shared" si="199"/>
        <v>14186.816858999999</v>
      </c>
      <c r="I364" s="125">
        <f t="shared" si="199"/>
        <v>14593.602175</v>
      </c>
      <c r="J364" s="125">
        <f t="shared" si="199"/>
        <v>12915.797012999999</v>
      </c>
      <c r="K364" s="125">
        <f t="shared" si="199"/>
        <v>11858.514528</v>
      </c>
      <c r="L364" s="125">
        <f t="shared" si="199"/>
        <v>14830.241369459369</v>
      </c>
      <c r="M364" s="95">
        <f t="shared" si="197"/>
        <v>25.059857492627845</v>
      </c>
    </row>
    <row r="365" spans="2:14">
      <c r="B365" s="87" t="s">
        <v>59</v>
      </c>
      <c r="C365" s="4">
        <f>C355-C360</f>
        <v>-305.71274</v>
      </c>
      <c r="D365" s="4">
        <f>D355-D360</f>
        <v>-286.21728000000002</v>
      </c>
      <c r="E365" s="4">
        <f t="shared" ref="E365:L365" si="200">E355-E360</f>
        <v>-287.39792</v>
      </c>
      <c r="F365" s="4">
        <f t="shared" si="200"/>
        <v>-234.50584000000001</v>
      </c>
      <c r="G365" s="4">
        <f t="shared" si="200"/>
        <v>-264.05142999999998</v>
      </c>
      <c r="H365" s="4">
        <f t="shared" si="200"/>
        <v>-278.28113999999999</v>
      </c>
      <c r="I365" s="4">
        <f t="shared" si="200"/>
        <v>-233.11395999999999</v>
      </c>
      <c r="J365" s="4">
        <f t="shared" si="200"/>
        <v>-210.43215000000001</v>
      </c>
      <c r="K365" s="4">
        <f t="shared" si="200"/>
        <v>-208.24746999999999</v>
      </c>
      <c r="L365" s="4">
        <f t="shared" si="200"/>
        <v>-188.96756192111098</v>
      </c>
      <c r="M365" s="3">
        <f t="shared" si="197"/>
        <v>-9.258171577733453</v>
      </c>
      <c r="N365" s="101"/>
    </row>
    <row r="366" spans="2:14">
      <c r="B366" s="87" t="s">
        <v>60</v>
      </c>
      <c r="C366" s="4">
        <f t="shared" ref="C366" si="201">C356-C361</f>
        <v>1524.4076039999995</v>
      </c>
      <c r="D366" s="4">
        <f t="shared" ref="D366:L368" si="202">D356-D361</f>
        <v>1882.7921120000001</v>
      </c>
      <c r="E366" s="4">
        <f t="shared" si="202"/>
        <v>1707.8663569999994</v>
      </c>
      <c r="F366" s="4">
        <f t="shared" si="202"/>
        <v>3567.4965730000004</v>
      </c>
      <c r="G366" s="4">
        <f t="shared" si="202"/>
        <v>7324.2102400000003</v>
      </c>
      <c r="H366" s="4">
        <f t="shared" si="202"/>
        <v>7801.5093989999996</v>
      </c>
      <c r="I366" s="4">
        <f t="shared" si="202"/>
        <v>12465.120182000002</v>
      </c>
      <c r="J366" s="4">
        <f t="shared" si="202"/>
        <v>12046.637757999997</v>
      </c>
      <c r="K366" s="4">
        <f t="shared" si="202"/>
        <v>9696.8629279999986</v>
      </c>
      <c r="L366" s="4">
        <f t="shared" si="202"/>
        <v>5282.5541069312203</v>
      </c>
      <c r="M366" s="3">
        <f t="shared" si="197"/>
        <v>-45.523060951210539</v>
      </c>
      <c r="N366" s="101"/>
    </row>
    <row r="367" spans="2:14">
      <c r="B367" s="87" t="s">
        <v>61</v>
      </c>
      <c r="C367" s="4">
        <f t="shared" ref="C367" si="203">C357-C362</f>
        <v>-2814.0385679999999</v>
      </c>
      <c r="D367" s="4">
        <f t="shared" si="202"/>
        <v>-7897.0110530000002</v>
      </c>
      <c r="E367" s="4">
        <f t="shared" si="202"/>
        <v>-2776.6528070000004</v>
      </c>
      <c r="F367" s="4">
        <f t="shared" si="202"/>
        <v>-902.69568699999945</v>
      </c>
      <c r="G367" s="4">
        <f t="shared" si="202"/>
        <v>-2266.4124830000001</v>
      </c>
      <c r="H367" s="4">
        <f t="shared" si="202"/>
        <v>5086.0934020000004</v>
      </c>
      <c r="I367" s="4">
        <f t="shared" si="202"/>
        <v>2685.075261</v>
      </c>
      <c r="J367" s="4">
        <f t="shared" si="202"/>
        <v>2655.128717999999</v>
      </c>
      <c r="K367" s="4">
        <f t="shared" si="202"/>
        <v>-3399.073609</v>
      </c>
      <c r="L367" s="4">
        <f t="shared" si="202"/>
        <v>-939.05101505395214</v>
      </c>
      <c r="M367" s="3">
        <f t="shared" si="197"/>
        <v>-72.37332511518575</v>
      </c>
      <c r="N367" s="101"/>
    </row>
    <row r="368" spans="2:14">
      <c r="B368" s="87" t="s">
        <v>62</v>
      </c>
      <c r="C368" s="4">
        <f t="shared" ref="C368" si="204">C358-C363</f>
        <v>-4494.7826299999997</v>
      </c>
      <c r="D368" s="4">
        <f t="shared" si="202"/>
        <v>-4899.5173700000005</v>
      </c>
      <c r="E368" s="4">
        <f t="shared" si="202"/>
        <v>-5375.9480800000001</v>
      </c>
      <c r="F368" s="4">
        <f t="shared" si="202"/>
        <v>-5836.4190700000008</v>
      </c>
      <c r="G368" s="4">
        <f t="shared" si="202"/>
        <v>-4926.90949</v>
      </c>
      <c r="H368" s="4">
        <f t="shared" si="202"/>
        <v>-4951.2779700000001</v>
      </c>
      <c r="I368" s="4">
        <f t="shared" si="202"/>
        <v>-5748.0879599999998</v>
      </c>
      <c r="J368" s="4">
        <f t="shared" si="202"/>
        <v>-3389.0231800000001</v>
      </c>
      <c r="K368" s="4">
        <f t="shared" si="202"/>
        <v>772.78319999999985</v>
      </c>
      <c r="L368" s="4">
        <f t="shared" si="202"/>
        <v>-297.90694305775469</v>
      </c>
      <c r="M368" s="3">
        <f t="shared" si="197"/>
        <v>-138.54987311548112</v>
      </c>
      <c r="N368" s="101"/>
    </row>
    <row r="369" spans="2:14">
      <c r="B369" s="27" t="s">
        <v>55</v>
      </c>
      <c r="C369" s="9">
        <f>SUM(C365:C368)</f>
        <v>-6090.1263340000005</v>
      </c>
      <c r="D369" s="9">
        <f>SUM(D365:D368)</f>
        <v>-11199.953591000001</v>
      </c>
      <c r="E369" s="9">
        <f t="shared" ref="E369:L369" si="205">SUM(E365:E368)</f>
        <v>-6732.132450000001</v>
      </c>
      <c r="F369" s="9">
        <f t="shared" si="205"/>
        <v>-3406.1240239999997</v>
      </c>
      <c r="G369" s="9">
        <f t="shared" si="205"/>
        <v>-133.16316299999926</v>
      </c>
      <c r="H369" s="9">
        <f t="shared" si="205"/>
        <v>7658.0436909999999</v>
      </c>
      <c r="I369" s="9">
        <f t="shared" si="205"/>
        <v>9168.993523000001</v>
      </c>
      <c r="J369" s="9">
        <f t="shared" si="205"/>
        <v>11102.311145999996</v>
      </c>
      <c r="K369" s="9">
        <f t="shared" si="205"/>
        <v>6862.3250489999982</v>
      </c>
      <c r="L369" s="9">
        <f t="shared" si="205"/>
        <v>3856.6285868984023</v>
      </c>
      <c r="M369" s="10">
        <f>((L369/K369)-1)*100</f>
        <v>-43.799972176188248</v>
      </c>
      <c r="N369" s="101"/>
    </row>
    <row r="370" spans="2:14"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</row>
    <row r="371" spans="2:14">
      <c r="B371" s="13" t="s">
        <v>69</v>
      </c>
    </row>
    <row r="372" spans="2:14">
      <c r="B372" s="55"/>
      <c r="C372" s="56"/>
      <c r="D372" s="56">
        <v>2011</v>
      </c>
      <c r="E372" s="56">
        <v>2012</v>
      </c>
      <c r="F372" s="56">
        <v>2013</v>
      </c>
      <c r="G372" s="56">
        <v>2014</v>
      </c>
      <c r="H372" s="56">
        <v>2015</v>
      </c>
      <c r="I372" s="56">
        <v>2016</v>
      </c>
      <c r="J372" s="56">
        <v>2017</v>
      </c>
      <c r="K372" s="56">
        <v>2018</v>
      </c>
      <c r="L372" s="56">
        <v>2019</v>
      </c>
      <c r="M372" s="56">
        <v>2020</v>
      </c>
      <c r="N372" s="93" t="s">
        <v>121</v>
      </c>
    </row>
    <row r="373" spans="2:14">
      <c r="B373" s="40" t="s">
        <v>70</v>
      </c>
      <c r="C373" s="40" t="s">
        <v>71</v>
      </c>
      <c r="D373" s="4">
        <v>19668.271000000001</v>
      </c>
      <c r="E373" s="4">
        <v>20105.767</v>
      </c>
      <c r="F373" s="4">
        <v>20636.399000000001</v>
      </c>
      <c r="G373" s="4">
        <v>21090.433000000001</v>
      </c>
      <c r="H373" s="4">
        <v>21180.746999999999</v>
      </c>
      <c r="I373" s="4">
        <v>21615.888999999999</v>
      </c>
      <c r="J373" s="4">
        <v>21724.85</v>
      </c>
      <c r="K373" s="4">
        <v>21726.609999999997</v>
      </c>
      <c r="L373" s="4">
        <v>21738.015999999996</v>
      </c>
      <c r="M373" s="4">
        <v>21753.143999999997</v>
      </c>
      <c r="N373" s="4">
        <f>M373-L373</f>
        <v>15.128000000000611</v>
      </c>
    </row>
    <row r="374" spans="2:14"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</row>
    <row r="375" spans="2:14">
      <c r="B375" s="40" t="s">
        <v>72</v>
      </c>
      <c r="C375" s="40" t="s">
        <v>71</v>
      </c>
      <c r="D375" s="4">
        <v>18081.532000000003</v>
      </c>
      <c r="E375" s="4">
        <v>18450.847000000005</v>
      </c>
      <c r="F375" s="4">
        <v>18724.147000000004</v>
      </c>
      <c r="G375" s="4">
        <v>18863.264500000005</v>
      </c>
      <c r="H375" s="4">
        <v>19003.567500000005</v>
      </c>
      <c r="I375" s="4">
        <v>19091.544500000007</v>
      </c>
      <c r="J375" s="4">
        <v>19116.907210000008</v>
      </c>
      <c r="K375" s="4">
        <v>19192.410210000005</v>
      </c>
      <c r="L375" s="4">
        <v>19276.545210000011</v>
      </c>
      <c r="M375" s="4">
        <v>19305.967210000006</v>
      </c>
      <c r="N375" s="4">
        <f t="shared" ref="N375:N377" si="206">M375-L375</f>
        <v>29.421999999995023</v>
      </c>
    </row>
    <row r="376" spans="2:14">
      <c r="B376" s="40"/>
      <c r="C376" s="40" t="s">
        <v>45</v>
      </c>
      <c r="D376" s="4">
        <v>1540.836</v>
      </c>
      <c r="E376" s="4">
        <v>1543.8410000000001</v>
      </c>
      <c r="F376" s="4">
        <v>1543.8410000000001</v>
      </c>
      <c r="G376" s="4">
        <v>1545.2919999999999</v>
      </c>
      <c r="H376" s="4">
        <v>1674.0020000000002</v>
      </c>
      <c r="I376" s="4">
        <v>1800.9359999999999</v>
      </c>
      <c r="J376" s="4">
        <v>1809.2189999999998</v>
      </c>
      <c r="K376" s="4">
        <v>1853.9419999999998</v>
      </c>
      <c r="L376" s="4">
        <v>1873.3209999999999</v>
      </c>
      <c r="M376" s="4">
        <v>1928.78</v>
      </c>
      <c r="N376" s="4">
        <f t="shared" si="206"/>
        <v>55.45900000000006</v>
      </c>
    </row>
    <row r="377" spans="2:14">
      <c r="B377" s="40"/>
      <c r="C377" s="40" t="s">
        <v>46</v>
      </c>
      <c r="D377" s="4">
        <v>1289.05</v>
      </c>
      <c r="E377" s="4">
        <v>1289.05</v>
      </c>
      <c r="F377" s="4">
        <v>1289.05</v>
      </c>
      <c r="G377" s="4">
        <v>1289.135</v>
      </c>
      <c r="H377" s="4">
        <v>1346.9589999999998</v>
      </c>
      <c r="I377" s="4">
        <v>1354.1649999999997</v>
      </c>
      <c r="J377" s="4">
        <v>1355.0969999999998</v>
      </c>
      <c r="K377" s="4">
        <v>1481.8359999999998</v>
      </c>
      <c r="L377" s="4">
        <v>1549.192</v>
      </c>
      <c r="M377" s="4">
        <v>1560.9969999999998</v>
      </c>
      <c r="N377" s="4">
        <f t="shared" si="206"/>
        <v>11.804999999999836</v>
      </c>
    </row>
    <row r="378" spans="2:14">
      <c r="B378" s="40"/>
      <c r="C378" s="40" t="s">
        <v>25</v>
      </c>
      <c r="D378" s="4">
        <f t="shared" ref="D378:L378" si="207">SUM(D375:D377)</f>
        <v>20911.418000000001</v>
      </c>
      <c r="E378" s="4">
        <f t="shared" si="207"/>
        <v>21283.738000000005</v>
      </c>
      <c r="F378" s="4">
        <f t="shared" si="207"/>
        <v>21557.038000000004</v>
      </c>
      <c r="G378" s="4">
        <f t="shared" si="207"/>
        <v>21697.691500000004</v>
      </c>
      <c r="H378" s="4">
        <f t="shared" si="207"/>
        <v>22024.528500000004</v>
      </c>
      <c r="I378" s="4">
        <f t="shared" si="207"/>
        <v>22246.64550000001</v>
      </c>
      <c r="J378" s="4">
        <f t="shared" si="207"/>
        <v>22281.223210000011</v>
      </c>
      <c r="K378" s="4">
        <f t="shared" si="207"/>
        <v>22528.188210000004</v>
      </c>
      <c r="L378" s="4">
        <f t="shared" si="207"/>
        <v>22699.05821000001</v>
      </c>
      <c r="M378" s="4">
        <f>SUM(M375:M377)</f>
        <v>22795.744210000004</v>
      </c>
      <c r="N378" s="4">
        <f t="shared" ref="N378" si="208">SUM(N375:N377)</f>
        <v>96.68599999999492</v>
      </c>
    </row>
    <row r="379" spans="2:14" ht="12.75" customHeight="1">
      <c r="B379" s="91" t="s">
        <v>73</v>
      </c>
      <c r="C379" s="91"/>
      <c r="D379" s="92">
        <f>SUM(D373,D378)</f>
        <v>40579.688999999998</v>
      </c>
      <c r="E379" s="92">
        <f t="shared" ref="E379:L379" si="209">SUM(E373,E378)</f>
        <v>41389.505000000005</v>
      </c>
      <c r="F379" s="92">
        <f t="shared" si="209"/>
        <v>42193.437000000005</v>
      </c>
      <c r="G379" s="92">
        <f t="shared" si="209"/>
        <v>42788.124500000005</v>
      </c>
      <c r="H379" s="92">
        <f t="shared" si="209"/>
        <v>43205.275500000003</v>
      </c>
      <c r="I379" s="92">
        <f t="shared" si="209"/>
        <v>43862.534500000009</v>
      </c>
      <c r="J379" s="92">
        <f t="shared" si="209"/>
        <v>44006.07321000001</v>
      </c>
      <c r="K379" s="92">
        <f t="shared" si="209"/>
        <v>44254.798210000001</v>
      </c>
      <c r="L379" s="92">
        <f t="shared" si="209"/>
        <v>44437.074210000006</v>
      </c>
      <c r="M379" s="92">
        <f t="shared" ref="M379:N379" si="210">SUM(M373,M378)</f>
        <v>44548.888210000005</v>
      </c>
      <c r="N379" s="92">
        <f t="shared" si="210"/>
        <v>111.81399999999553</v>
      </c>
    </row>
    <row r="380" spans="2:14">
      <c r="B380" s="45" t="s">
        <v>122</v>
      </c>
    </row>
    <row r="381" spans="2:14">
      <c r="L381"/>
      <c r="M381"/>
    </row>
    <row r="382" spans="2:14">
      <c r="M382"/>
    </row>
  </sheetData>
  <pageMargins left="0.7" right="0.7" top="0.75" bottom="0.75" header="0.3" footer="0.3"/>
  <pageSetup paperSize="9" orientation="portrait" r:id="rId1"/>
  <ignoredErrors>
    <ignoredError sqref="M67 M328:M329 M308:M310 M296:M297 M286:M288 M268:M270 M250:M252" formula="1"/>
    <ignoredError sqref="G252:L252 C359:L359 C21:J21 D79:K79 C294:L297 L278 L303 C32:K32 C66:L67 C51:K51 C74:L74 C259:L259 C278:K278 C303:K303 D268:F268 G269:L269" formulaRange="1"/>
    <ignoredError sqref="M29:M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RESUMEN</vt:lpstr>
      <vt:lpstr>DEMANDA</vt:lpstr>
      <vt:lpstr>PRODUCCION</vt:lpstr>
      <vt:lpstr>Data 1</vt:lpstr>
      <vt:lpstr>DEMANDA!Área_de_impresión</vt:lpstr>
      <vt:lpstr>PRODUCCION!Área_de_impresión</vt:lpstr>
      <vt:lpstr>RESUMEN!Área_de_impresión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Sevilla Penas, Marta</dc:creator>
  <cp:lastModifiedBy>Sevilla Penas, Marta</cp:lastModifiedBy>
  <cp:lastPrinted>2018-12-13T11:21:15Z</cp:lastPrinted>
  <dcterms:created xsi:type="dcterms:W3CDTF">2018-10-29T09:21:57Z</dcterms:created>
  <dcterms:modified xsi:type="dcterms:W3CDTF">2020-12-17T10:17:58Z</dcterms:modified>
</cp:coreProperties>
</file>